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2600" windowHeight="12285" firstSheet="1" activeTab="2"/>
  </bookViews>
  <sheets>
    <sheet name="Chart1" sheetId="1" state="veryHidden" r:id="rId1"/>
    <sheet name="2013" sheetId="29" r:id="rId2"/>
    <sheet name="2030" sheetId="32" r:id="rId3"/>
    <sheet name="참고-&gt;" sheetId="36" r:id="rId4"/>
    <sheet name="배분계획" sheetId="31" r:id="rId5"/>
    <sheet name="송관로검토(율량배수지)공급계통검토" sheetId="25" state="hidden" r:id="rId6"/>
    <sheet name="용수배분계획" sheetId="28" state="hidden" r:id="rId7"/>
    <sheet name="가압장" sheetId="33" r:id="rId8"/>
    <sheet name="송수가압장계획" sheetId="35" r:id="rId9"/>
    <sheet name="송수계획" sheetId="34" r:id="rId10"/>
  </sheets>
  <externalReferences>
    <externalReference r:id="rId11"/>
    <externalReference r:id="rId12"/>
  </externalReferences>
  <definedNames>
    <definedName name="_xlnm.Print_Area" localSheetId="1">'2013'!$A$1:$AO$242</definedName>
    <definedName name="_xlnm.Print_Area" localSheetId="2">'2030'!$A$1:$AO$244</definedName>
    <definedName name="_xlnm.Print_Area" localSheetId="7">가압장!$A$1:$J$40</definedName>
    <definedName name="_xlnm.Print_Area" localSheetId="4">배분계획!$A$1:$H$22</definedName>
    <definedName name="_xlnm.Print_Area" localSheetId="5">'송관로검토(율량배수지)공급계통검토'!$A$157:$R$243</definedName>
  </definedNames>
  <calcPr calcId="125725"/>
</workbook>
</file>

<file path=xl/calcChain.xml><?xml version="1.0" encoding="utf-8"?>
<calcChain xmlns="http://schemas.openxmlformats.org/spreadsheetml/2006/main">
  <c r="F43" i="33"/>
  <c r="L43"/>
  <c r="L42"/>
  <c r="J210" i="32"/>
  <c r="J211" s="1"/>
  <c r="E196"/>
  <c r="J196"/>
  <c r="J195"/>
  <c r="AN210"/>
  <c r="R210"/>
  <c r="G11" i="31"/>
  <c r="C193" i="32" s="1"/>
  <c r="F11" i="31"/>
  <c r="E11"/>
  <c r="D11"/>
  <c r="C11"/>
  <c r="AN209" i="32"/>
  <c r="R209"/>
  <c r="AG174"/>
  <c r="AG173"/>
  <c r="AB174"/>
  <c r="AB173"/>
  <c r="W174"/>
  <c r="W173"/>
  <c r="R173"/>
  <c r="AE168"/>
  <c r="P171"/>
  <c r="J184"/>
  <c r="R174" s="1"/>
  <c r="AN184"/>
  <c r="R184"/>
  <c r="R187"/>
  <c r="AN186"/>
  <c r="R186"/>
  <c r="AL173"/>
  <c r="E197" l="1"/>
  <c r="L266"/>
  <c r="L265" s="1"/>
  <c r="N265" s="1"/>
  <c r="R266"/>
  <c r="Z265"/>
  <c r="D256" s="1"/>
  <c r="R265"/>
  <c r="AN266"/>
  <c r="N267"/>
  <c r="R267"/>
  <c r="AN265"/>
  <c r="S260"/>
  <c r="AA257"/>
  <c r="Q257"/>
  <c r="H257"/>
  <c r="AF256"/>
  <c r="AA256"/>
  <c r="W256"/>
  <c r="Q256"/>
  <c r="M256"/>
  <c r="H256"/>
  <c r="J24" i="35"/>
  <c r="L46" i="33"/>
  <c r="L45"/>
  <c r="I24" i="35" s="1"/>
  <c r="D13"/>
  <c r="C13"/>
  <c r="F30" i="33"/>
  <c r="L31"/>
  <c r="G14" i="35" s="1"/>
  <c r="L30" i="33"/>
  <c r="F11" i="35"/>
  <c r="D11"/>
  <c r="F9"/>
  <c r="D7"/>
  <c r="D5"/>
  <c r="D10"/>
  <c r="D9"/>
  <c r="L40" i="33"/>
  <c r="I22" i="35" s="1"/>
  <c r="L37" i="33"/>
  <c r="I20" i="35" s="1"/>
  <c r="L34" i="33"/>
  <c r="I18" i="35" s="1"/>
  <c r="L28" i="33"/>
  <c r="I16" i="35" s="1"/>
  <c r="L25" i="33"/>
  <c r="I12" i="35" s="1"/>
  <c r="L22" i="33"/>
  <c r="L21"/>
  <c r="I10" i="35" s="1"/>
  <c r="L17" i="33"/>
  <c r="I8" i="35" s="1"/>
  <c r="L11" i="33"/>
  <c r="L8"/>
  <c r="I6" i="35" s="1"/>
  <c r="F7"/>
  <c r="C7"/>
  <c r="E7" s="1"/>
  <c r="F5"/>
  <c r="C5"/>
  <c r="I5" i="34"/>
  <c r="H5"/>
  <c r="G5"/>
  <c r="I4"/>
  <c r="H4"/>
  <c r="G4"/>
  <c r="F5"/>
  <c r="F4"/>
  <c r="F17" i="33"/>
  <c r="F25"/>
  <c r="F11"/>
  <c r="F14"/>
  <c r="F28"/>
  <c r="F34"/>
  <c r="F40"/>
  <c r="F37"/>
  <c r="J20" i="35"/>
  <c r="L33" i="33"/>
  <c r="L27"/>
  <c r="C24"/>
  <c r="F8"/>
  <c r="F5"/>
  <c r="F21"/>
  <c r="AA231" i="32"/>
  <c r="AA230"/>
  <c r="AF230"/>
  <c r="W230"/>
  <c r="AN200"/>
  <c r="AK62"/>
  <c r="AK62" i="29"/>
  <c r="AA66"/>
  <c r="R66"/>
  <c r="L49" i="33"/>
  <c r="L50"/>
  <c r="P10"/>
  <c r="AA66" i="32"/>
  <c r="R66"/>
  <c r="AI201"/>
  <c r="AI200"/>
  <c r="AE200"/>
  <c r="R213"/>
  <c r="R214"/>
  <c r="Z201"/>
  <c r="Z200"/>
  <c r="Q201"/>
  <c r="Q200"/>
  <c r="H201"/>
  <c r="H200"/>
  <c r="L39" i="33"/>
  <c r="L36"/>
  <c r="L16"/>
  <c r="L7"/>
  <c r="C20"/>
  <c r="C13"/>
  <c r="C4"/>
  <c r="C10"/>
  <c r="C19"/>
  <c r="AN240" i="32"/>
  <c r="AN239"/>
  <c r="AN212"/>
  <c r="AN211"/>
  <c r="V200"/>
  <c r="M200"/>
  <c r="R241"/>
  <c r="R240"/>
  <c r="R239"/>
  <c r="J239"/>
  <c r="Q231"/>
  <c r="H231"/>
  <c r="Q230"/>
  <c r="M230"/>
  <c r="H230"/>
  <c r="R212"/>
  <c r="R211"/>
  <c r="AN185"/>
  <c r="R185"/>
  <c r="AN183"/>
  <c r="R183"/>
  <c r="AN182"/>
  <c r="R182"/>
  <c r="M174"/>
  <c r="H174"/>
  <c r="M173"/>
  <c r="H173"/>
  <c r="D173"/>
  <c r="R156"/>
  <c r="AN155"/>
  <c r="R155"/>
  <c r="Q147"/>
  <c r="H147"/>
  <c r="V146"/>
  <c r="Q146"/>
  <c r="M146"/>
  <c r="H146"/>
  <c r="R134"/>
  <c r="R133"/>
  <c r="AN132"/>
  <c r="R132"/>
  <c r="R131"/>
  <c r="AN130"/>
  <c r="R130"/>
  <c r="AN129"/>
  <c r="R129"/>
  <c r="AN128"/>
  <c r="R128"/>
  <c r="AH124"/>
  <c r="Z124"/>
  <c r="AM123"/>
  <c r="AH123"/>
  <c r="AD123"/>
  <c r="Z123"/>
  <c r="AA120"/>
  <c r="V120"/>
  <c r="M120"/>
  <c r="H120"/>
  <c r="AF119"/>
  <c r="AA119"/>
  <c r="V119"/>
  <c r="R119"/>
  <c r="M119"/>
  <c r="H119"/>
  <c r="F114"/>
  <c r="K113"/>
  <c r="F113"/>
  <c r="R101"/>
  <c r="H93"/>
  <c r="M92"/>
  <c r="H92"/>
  <c r="Z78"/>
  <c r="R78"/>
  <c r="R77"/>
  <c r="AN76"/>
  <c r="R76"/>
  <c r="AN75"/>
  <c r="R75"/>
  <c r="AN74"/>
  <c r="R74"/>
  <c r="M66"/>
  <c r="H66"/>
  <c r="AJ65"/>
  <c r="AF65"/>
  <c r="AA65"/>
  <c r="W65"/>
  <c r="R65"/>
  <c r="M65"/>
  <c r="H65"/>
  <c r="AK61"/>
  <c r="AJ59"/>
  <c r="R48"/>
  <c r="AN47"/>
  <c r="R47"/>
  <c r="Q39"/>
  <c r="H39"/>
  <c r="Q38"/>
  <c r="M38"/>
  <c r="H38"/>
  <c r="R27"/>
  <c r="AN26"/>
  <c r="R26"/>
  <c r="AN25"/>
  <c r="R25"/>
  <c r="AN24"/>
  <c r="R24"/>
  <c r="AN23"/>
  <c r="R23"/>
  <c r="AN22"/>
  <c r="R22"/>
  <c r="AN21"/>
  <c r="R21"/>
  <c r="AN20"/>
  <c r="Z20"/>
  <c r="R20"/>
  <c r="AG12"/>
  <c r="AB12"/>
  <c r="W12"/>
  <c r="R12"/>
  <c r="M12"/>
  <c r="H12"/>
  <c r="AG11"/>
  <c r="AB11"/>
  <c r="W11"/>
  <c r="R11"/>
  <c r="M11"/>
  <c r="H11"/>
  <c r="D11"/>
  <c r="AL9"/>
  <c r="AL8"/>
  <c r="AG7"/>
  <c r="AM6"/>
  <c r="AG6"/>
  <c r="R211" i="29"/>
  <c r="R210"/>
  <c r="AE200"/>
  <c r="AG173"/>
  <c r="AB174"/>
  <c r="AB173"/>
  <c r="R186"/>
  <c r="F114"/>
  <c r="F113"/>
  <c r="K113"/>
  <c r="AF119"/>
  <c r="AH124"/>
  <c r="AH123"/>
  <c r="Z124"/>
  <c r="Z123"/>
  <c r="AA120"/>
  <c r="AA119"/>
  <c r="V120"/>
  <c r="V119"/>
  <c r="M120"/>
  <c r="M119"/>
  <c r="H120"/>
  <c r="H119"/>
  <c r="H92"/>
  <c r="M92"/>
  <c r="H93"/>
  <c r="R101"/>
  <c r="AD123"/>
  <c r="R119"/>
  <c r="AM123"/>
  <c r="R134"/>
  <c r="R133"/>
  <c r="AK61"/>
  <c r="AA65"/>
  <c r="R65"/>
  <c r="M66"/>
  <c r="M65"/>
  <c r="H66"/>
  <c r="H65"/>
  <c r="Z78"/>
  <c r="AJ59"/>
  <c r="W65"/>
  <c r="AJ65"/>
  <c r="AF65"/>
  <c r="R78"/>
  <c r="AN75"/>
  <c r="R75"/>
  <c r="M38"/>
  <c r="AG7"/>
  <c r="AG6"/>
  <c r="AL9"/>
  <c r="AL8"/>
  <c r="AG12"/>
  <c r="AG11"/>
  <c r="AB12"/>
  <c r="AB11"/>
  <c r="W12"/>
  <c r="W11"/>
  <c r="R12"/>
  <c r="R11"/>
  <c r="M12"/>
  <c r="M11"/>
  <c r="H12"/>
  <c r="H11"/>
  <c r="AM6"/>
  <c r="D11"/>
  <c r="AN26"/>
  <c r="R26"/>
  <c r="AN25"/>
  <c r="R25"/>
  <c r="M227"/>
  <c r="AA227"/>
  <c r="V228"/>
  <c r="V227"/>
  <c r="Q228"/>
  <c r="Q227"/>
  <c r="H227"/>
  <c r="J236"/>
  <c r="H228"/>
  <c r="R238"/>
  <c r="AN24"/>
  <c r="AN23"/>
  <c r="AN22"/>
  <c r="AN21"/>
  <c r="AN20"/>
  <c r="D173"/>
  <c r="Q39"/>
  <c r="Q38"/>
  <c r="H39"/>
  <c r="H38"/>
  <c r="AN47"/>
  <c r="AN76"/>
  <c r="AN74"/>
  <c r="V146"/>
  <c r="M146"/>
  <c r="AN130"/>
  <c r="AN129"/>
  <c r="AN128"/>
  <c r="Q147"/>
  <c r="Q146"/>
  <c r="H147"/>
  <c r="H146"/>
  <c r="W174"/>
  <c r="W173"/>
  <c r="R174"/>
  <c r="R173"/>
  <c r="M174"/>
  <c r="M173"/>
  <c r="H174"/>
  <c r="H173"/>
  <c r="AN155"/>
  <c r="AN184"/>
  <c r="AN183"/>
  <c r="AN182"/>
  <c r="R237"/>
  <c r="R183"/>
  <c r="R184"/>
  <c r="R185"/>
  <c r="R156"/>
  <c r="R132"/>
  <c r="R131"/>
  <c r="R130"/>
  <c r="R129"/>
  <c r="R77"/>
  <c r="R76"/>
  <c r="R48"/>
  <c r="R27"/>
  <c r="R24"/>
  <c r="R23"/>
  <c r="R22"/>
  <c r="R21"/>
  <c r="R236"/>
  <c r="R209"/>
  <c r="R182"/>
  <c r="R155"/>
  <c r="R128"/>
  <c r="R74"/>
  <c r="Z20"/>
  <c r="R47"/>
  <c r="R20"/>
  <c r="J4" i="28"/>
  <c r="K4"/>
  <c r="L4"/>
  <c r="M4"/>
  <c r="N4"/>
  <c r="J5"/>
  <c r="K5"/>
  <c r="L5"/>
  <c r="M5"/>
  <c r="N5"/>
  <c r="J6"/>
  <c r="K6"/>
  <c r="L6"/>
  <c r="M6"/>
  <c r="N6"/>
  <c r="J7"/>
  <c r="K7"/>
  <c r="L7"/>
  <c r="M7"/>
  <c r="N7"/>
  <c r="J8"/>
  <c r="K8"/>
  <c r="L8"/>
  <c r="M8"/>
  <c r="N8"/>
  <c r="J9"/>
  <c r="K9"/>
  <c r="L9"/>
  <c r="M9"/>
  <c r="N9"/>
  <c r="J10"/>
  <c r="K10"/>
  <c r="L10"/>
  <c r="M10"/>
  <c r="N10"/>
  <c r="G30" i="25"/>
  <c r="F36"/>
  <c r="H38"/>
  <c r="H39"/>
  <c r="F40"/>
  <c r="H42"/>
  <c r="H43"/>
  <c r="C44"/>
  <c r="E46"/>
  <c r="E47"/>
  <c r="G48"/>
  <c r="H48"/>
  <c r="L53"/>
  <c r="E54"/>
  <c r="F54" s="1"/>
  <c r="I54" s="1"/>
  <c r="L54"/>
  <c r="E55"/>
  <c r="E53" s="1"/>
  <c r="F53" s="1"/>
  <c r="I53" s="1"/>
  <c r="L55"/>
  <c r="E58"/>
  <c r="F61"/>
  <c r="D62"/>
  <c r="F62"/>
  <c r="E68"/>
  <c r="F68" s="1"/>
  <c r="I68" s="1"/>
  <c r="O68"/>
  <c r="L68" s="1"/>
  <c r="F81"/>
  <c r="G81"/>
  <c r="H81"/>
  <c r="I81"/>
  <c r="N81"/>
  <c r="F82"/>
  <c r="G82"/>
  <c r="H82"/>
  <c r="I82"/>
  <c r="L82"/>
  <c r="N82"/>
  <c r="E83"/>
  <c r="E84"/>
  <c r="C85"/>
  <c r="D87"/>
  <c r="E87"/>
  <c r="F87"/>
  <c r="D88"/>
  <c r="E88"/>
  <c r="F88"/>
  <c r="E101"/>
  <c r="F101"/>
  <c r="I101" s="1"/>
  <c r="H101"/>
  <c r="L101"/>
  <c r="N101"/>
  <c r="E102"/>
  <c r="F102" s="1"/>
  <c r="H102"/>
  <c r="E103"/>
  <c r="F103" s="1"/>
  <c r="H103"/>
  <c r="E104"/>
  <c r="F104" s="1"/>
  <c r="H104"/>
  <c r="E105"/>
  <c r="F105" s="1"/>
  <c r="H105"/>
  <c r="E106"/>
  <c r="F106" s="1"/>
  <c r="H106"/>
  <c r="E107"/>
  <c r="F107" s="1"/>
  <c r="H107"/>
  <c r="O108"/>
  <c r="F109"/>
  <c r="H109"/>
  <c r="L109"/>
  <c r="F110"/>
  <c r="H110"/>
  <c r="E122"/>
  <c r="F122"/>
  <c r="H122"/>
  <c r="D123"/>
  <c r="E123"/>
  <c r="F123"/>
  <c r="H123"/>
  <c r="D124"/>
  <c r="E127"/>
  <c r="C128"/>
  <c r="E128"/>
  <c r="C129"/>
  <c r="C131"/>
  <c r="D133"/>
  <c r="F133"/>
  <c r="C134"/>
  <c r="D134"/>
  <c r="F134"/>
  <c r="F148"/>
  <c r="H148"/>
  <c r="I148" s="1"/>
  <c r="L148"/>
  <c r="N148"/>
  <c r="E149"/>
  <c r="F149"/>
  <c r="H149"/>
  <c r="I149"/>
  <c r="K149" s="1"/>
  <c r="F150"/>
  <c r="H150"/>
  <c r="I150"/>
  <c r="K150" s="1"/>
  <c r="M150" s="1"/>
  <c r="L151" s="1"/>
  <c r="L150"/>
  <c r="N150"/>
  <c r="E151"/>
  <c r="F151" s="1"/>
  <c r="H151"/>
  <c r="E152"/>
  <c r="F152" s="1"/>
  <c r="H152"/>
  <c r="E153"/>
  <c r="F153" s="1"/>
  <c r="H153"/>
  <c r="E154"/>
  <c r="F154" s="1"/>
  <c r="H154"/>
  <c r="E155"/>
  <c r="F155" s="1"/>
  <c r="H155"/>
  <c r="M161"/>
  <c r="M162"/>
  <c r="P162"/>
  <c r="K164"/>
  <c r="M164"/>
  <c r="K165"/>
  <c r="M165"/>
  <c r="J166"/>
  <c r="D168"/>
  <c r="F168"/>
  <c r="K168"/>
  <c r="M168"/>
  <c r="C169"/>
  <c r="D169"/>
  <c r="F169"/>
  <c r="K169"/>
  <c r="M169"/>
  <c r="K172"/>
  <c r="K173"/>
  <c r="E177"/>
  <c r="F177"/>
  <c r="I177" s="1"/>
  <c r="K177" s="1"/>
  <c r="M177" s="1"/>
  <c r="L178" s="1"/>
  <c r="H177"/>
  <c r="J177" s="1"/>
  <c r="L177"/>
  <c r="F178"/>
  <c r="H178"/>
  <c r="H179"/>
  <c r="J179" s="1"/>
  <c r="L179"/>
  <c r="F180"/>
  <c r="H180"/>
  <c r="H181"/>
  <c r="E182"/>
  <c r="E179" s="1"/>
  <c r="F179" s="1"/>
  <c r="I179" s="1"/>
  <c r="K179" s="1"/>
  <c r="M179" s="1"/>
  <c r="F182"/>
  <c r="I182" s="1"/>
  <c r="K182" s="1"/>
  <c r="H182"/>
  <c r="F183"/>
  <c r="H183"/>
  <c r="L183"/>
  <c r="F184"/>
  <c r="H184"/>
  <c r="D191"/>
  <c r="J191"/>
  <c r="C192"/>
  <c r="D192"/>
  <c r="J192"/>
  <c r="H197"/>
  <c r="L197"/>
  <c r="E198"/>
  <c r="F198" s="1"/>
  <c r="H198"/>
  <c r="N202"/>
  <c r="P205"/>
  <c r="N206"/>
  <c r="P206"/>
  <c r="N207"/>
  <c r="C209"/>
  <c r="E209"/>
  <c r="G209"/>
  <c r="L209"/>
  <c r="C210"/>
  <c r="E210"/>
  <c r="G210"/>
  <c r="L210"/>
  <c r="G212"/>
  <c r="J212"/>
  <c r="G213"/>
  <c r="J213"/>
  <c r="I214"/>
  <c r="L214"/>
  <c r="N214"/>
  <c r="E215"/>
  <c r="I215"/>
  <c r="L215"/>
  <c r="N215"/>
  <c r="E216"/>
  <c r="P216"/>
  <c r="L218"/>
  <c r="L219"/>
  <c r="F222"/>
  <c r="N222"/>
  <c r="F223"/>
  <c r="L223"/>
  <c r="N223"/>
  <c r="E228"/>
  <c r="F228" s="1"/>
  <c r="H228"/>
  <c r="L228"/>
  <c r="E229"/>
  <c r="F229" s="1"/>
  <c r="H229"/>
  <c r="H230"/>
  <c r="H231"/>
  <c r="E232"/>
  <c r="E231" s="1"/>
  <c r="H232"/>
  <c r="F233"/>
  <c r="H233"/>
  <c r="I233"/>
  <c r="K233" s="1"/>
  <c r="F234"/>
  <c r="H234"/>
  <c r="I234"/>
  <c r="K234" s="1"/>
  <c r="H235"/>
  <c r="L235"/>
  <c r="H236"/>
  <c r="H237"/>
  <c r="E238"/>
  <c r="E237" s="1"/>
  <c r="H238"/>
  <c r="F239"/>
  <c r="H239"/>
  <c r="I239"/>
  <c r="K239" s="1"/>
  <c r="M239" s="1"/>
  <c r="Q239" s="1"/>
  <c r="L239"/>
  <c r="H240"/>
  <c r="E241"/>
  <c r="E240" s="1"/>
  <c r="F240" s="1"/>
  <c r="H241"/>
  <c r="F242"/>
  <c r="H242"/>
  <c r="I242"/>
  <c r="K242" s="1"/>
  <c r="M242" s="1"/>
  <c r="Q242" s="1"/>
  <c r="L242"/>
  <c r="F251"/>
  <c r="H251"/>
  <c r="I251"/>
  <c r="J251" s="1"/>
  <c r="L251"/>
  <c r="E252"/>
  <c r="F252"/>
  <c r="H252"/>
  <c r="I252"/>
  <c r="J252" s="1"/>
  <c r="E253"/>
  <c r="F253"/>
  <c r="H253"/>
  <c r="I253"/>
  <c r="J253" s="1"/>
  <c r="E254"/>
  <c r="F254"/>
  <c r="H254"/>
  <c r="I254"/>
  <c r="J254" s="1"/>
  <c r="E255"/>
  <c r="F255"/>
  <c r="H255"/>
  <c r="I255"/>
  <c r="K255" s="1"/>
  <c r="E256"/>
  <c r="F256"/>
  <c r="H256"/>
  <c r="I256"/>
  <c r="J256" s="1"/>
  <c r="N209" i="29"/>
  <c r="T209" s="1"/>
  <c r="N211"/>
  <c r="T211"/>
  <c r="V211" s="1"/>
  <c r="AN185"/>
  <c r="AN132"/>
  <c r="N210"/>
  <c r="T210" s="1"/>
  <c r="X211"/>
  <c r="AB211" s="1"/>
  <c r="AN211" s="1"/>
  <c r="J10" i="35"/>
  <c r="F31" i="33"/>
  <c r="T267" i="32"/>
  <c r="X267" s="1"/>
  <c r="V267"/>
  <c r="X210" i="29" l="1"/>
  <c r="AB210" s="1"/>
  <c r="AN210" s="1"/>
  <c r="V210"/>
  <c r="L181" i="25"/>
  <c r="L180"/>
  <c r="K148"/>
  <c r="J148"/>
  <c r="E236"/>
  <c r="F237"/>
  <c r="E230"/>
  <c r="F230" s="1"/>
  <c r="F231"/>
  <c r="V209" i="29"/>
  <c r="X209"/>
  <c r="AB209" s="1"/>
  <c r="AN209" s="1"/>
  <c r="M228" i="25"/>
  <c r="I198"/>
  <c r="J110"/>
  <c r="J106"/>
  <c r="I104"/>
  <c r="I102"/>
  <c r="J241"/>
  <c r="J153"/>
  <c r="M148"/>
  <c r="L149" s="1"/>
  <c r="M149" s="1"/>
  <c r="Q149" s="1"/>
  <c r="J229"/>
  <c r="J182"/>
  <c r="J180"/>
  <c r="J178"/>
  <c r="M178"/>
  <c r="Q178" s="1"/>
  <c r="J105"/>
  <c r="I103"/>
  <c r="K101"/>
  <c r="M101" s="1"/>
  <c r="L102" s="1"/>
  <c r="J101"/>
  <c r="J152"/>
  <c r="J240"/>
  <c r="J237"/>
  <c r="K256"/>
  <c r="K254"/>
  <c r="K253"/>
  <c r="K252"/>
  <c r="K251"/>
  <c r="M251" s="1"/>
  <c r="L252" s="1"/>
  <c r="F241"/>
  <c r="F238"/>
  <c r="F232"/>
  <c r="I232" s="1"/>
  <c r="E181"/>
  <c r="F181" s="1"/>
  <c r="I181" s="1"/>
  <c r="K181" s="1"/>
  <c r="E197"/>
  <c r="F197" s="1"/>
  <c r="I197" s="1"/>
  <c r="T265" i="32"/>
  <c r="J255" i="25"/>
  <c r="J242"/>
  <c r="I241"/>
  <c r="K241" s="1"/>
  <c r="I240"/>
  <c r="K240" s="1"/>
  <c r="J239"/>
  <c r="I238"/>
  <c r="K238" s="1"/>
  <c r="I237"/>
  <c r="K237" s="1"/>
  <c r="J234"/>
  <c r="J233"/>
  <c r="I231"/>
  <c r="K231" s="1"/>
  <c r="I230"/>
  <c r="K230" s="1"/>
  <c r="I229"/>
  <c r="K229" s="1"/>
  <c r="I228"/>
  <c r="K228" s="1"/>
  <c r="I184"/>
  <c r="K184" s="1"/>
  <c r="I183"/>
  <c r="K183" s="1"/>
  <c r="M183" s="1"/>
  <c r="Q183" s="1"/>
  <c r="I180"/>
  <c r="K180" s="1"/>
  <c r="I178"/>
  <c r="K178" s="1"/>
  <c r="I155"/>
  <c r="K155" s="1"/>
  <c r="I154"/>
  <c r="K154" s="1"/>
  <c r="I153"/>
  <c r="K153" s="1"/>
  <c r="I152"/>
  <c r="K152" s="1"/>
  <c r="I151"/>
  <c r="K151" s="1"/>
  <c r="M151" s="1"/>
  <c r="L152" s="1"/>
  <c r="M152" s="1"/>
  <c r="L153" s="1"/>
  <c r="M153" s="1"/>
  <c r="L154" s="1"/>
  <c r="M154" s="1"/>
  <c r="L155" s="1"/>
  <c r="M155" s="1"/>
  <c r="Q155" s="1"/>
  <c r="J150"/>
  <c r="J149"/>
  <c r="I110"/>
  <c r="K110" s="1"/>
  <c r="I109"/>
  <c r="K109" s="1"/>
  <c r="M109" s="1"/>
  <c r="Q109" s="1"/>
  <c r="I107"/>
  <c r="K107" s="1"/>
  <c r="I106"/>
  <c r="K106" s="1"/>
  <c r="I105"/>
  <c r="K105" s="1"/>
  <c r="N266" i="32"/>
  <c r="T266" s="1"/>
  <c r="V266" s="1"/>
  <c r="J68" i="25"/>
  <c r="K68"/>
  <c r="M68" s="1"/>
  <c r="K53"/>
  <c r="M53" s="1"/>
  <c r="J53"/>
  <c r="K54"/>
  <c r="M54" s="1"/>
  <c r="J54"/>
  <c r="F55"/>
  <c r="I55" s="1"/>
  <c r="C10" i="35"/>
  <c r="C9"/>
  <c r="L20" i="33"/>
  <c r="L19"/>
  <c r="X265" i="32"/>
  <c r="AB265" s="1"/>
  <c r="Z266" s="1"/>
  <c r="V265"/>
  <c r="L13" i="33"/>
  <c r="J22" i="35"/>
  <c r="F13"/>
  <c r="L4" i="33"/>
  <c r="C11" i="35"/>
  <c r="E11" s="1"/>
  <c r="H14"/>
  <c r="L10" i="33"/>
  <c r="J8" i="35"/>
  <c r="F22" i="33"/>
  <c r="L24"/>
  <c r="J6" i="35"/>
  <c r="J18"/>
  <c r="J12"/>
  <c r="J16"/>
  <c r="C5" i="33"/>
  <c r="L5" s="1"/>
  <c r="E13" i="35"/>
  <c r="C14" i="33"/>
  <c r="L14" s="1"/>
  <c r="E9" i="35"/>
  <c r="E5"/>
  <c r="K197" i="25" l="1"/>
  <c r="M197" s="1"/>
  <c r="L198" s="1"/>
  <c r="J197"/>
  <c r="K232"/>
  <c r="J232"/>
  <c r="J103"/>
  <c r="K103"/>
  <c r="J104"/>
  <c r="K104"/>
  <c r="L240"/>
  <c r="M240" s="1"/>
  <c r="L241" s="1"/>
  <c r="M241" s="1"/>
  <c r="L229"/>
  <c r="M229" s="1"/>
  <c r="J102"/>
  <c r="K102"/>
  <c r="K198"/>
  <c r="J198"/>
  <c r="X266" i="32"/>
  <c r="AB266" s="1"/>
  <c r="Z267" s="1"/>
  <c r="AB267" s="1"/>
  <c r="AN267" s="1"/>
  <c r="J183" i="25"/>
  <c r="J184"/>
  <c r="J238"/>
  <c r="J151"/>
  <c r="M180"/>
  <c r="Q180" s="1"/>
  <c r="J154"/>
  <c r="M102"/>
  <c r="J228"/>
  <c r="J107"/>
  <c r="J155"/>
  <c r="J181"/>
  <c r="E235"/>
  <c r="F235" s="1"/>
  <c r="I235" s="1"/>
  <c r="F236"/>
  <c r="I236" s="1"/>
  <c r="J109"/>
  <c r="J231"/>
  <c r="M181"/>
  <c r="L182" s="1"/>
  <c r="M182" s="1"/>
  <c r="M252"/>
  <c r="L253" s="1"/>
  <c r="M253" s="1"/>
  <c r="L254" s="1"/>
  <c r="M254" s="1"/>
  <c r="L255" s="1"/>
  <c r="M255" s="1"/>
  <c r="L256" s="1"/>
  <c r="J230"/>
  <c r="J55"/>
  <c r="K55"/>
  <c r="M55" s="1"/>
  <c r="L103" l="1"/>
  <c r="M103" s="1"/>
  <c r="L104" s="1"/>
  <c r="M104" s="1"/>
  <c r="L105" s="1"/>
  <c r="M105" s="1"/>
  <c r="L106" s="1"/>
  <c r="M106" s="1"/>
  <c r="L107" s="1"/>
  <c r="M107" s="1"/>
  <c r="L110"/>
  <c r="M110" s="1"/>
  <c r="Q110" s="1"/>
  <c r="L230"/>
  <c r="M230" s="1"/>
  <c r="L231" s="1"/>
  <c r="M231" s="1"/>
  <c r="L232" s="1"/>
  <c r="M232" s="1"/>
  <c r="L233" s="1"/>
  <c r="M233" s="1"/>
  <c r="Q233" s="1"/>
  <c r="L234"/>
  <c r="M234" s="1"/>
  <c r="Q234" s="1"/>
  <c r="K235"/>
  <c r="M235" s="1"/>
  <c r="L236" s="1"/>
  <c r="J235"/>
  <c r="L184"/>
  <c r="M184" s="1"/>
  <c r="Q184" s="1"/>
  <c r="J170" s="1"/>
  <c r="M256"/>
  <c r="Q256" s="1"/>
  <c r="K236"/>
  <c r="J236"/>
  <c r="M198"/>
  <c r="Q198" s="1"/>
  <c r="C10" i="31"/>
  <c r="S231" i="29" s="1"/>
  <c r="M236" i="25" l="1"/>
  <c r="L237" s="1"/>
  <c r="M237" s="1"/>
  <c r="L238" s="1"/>
  <c r="M238" s="1"/>
  <c r="F10" i="31"/>
  <c r="E10"/>
  <c r="D10"/>
  <c r="E9"/>
  <c r="G10" l="1"/>
  <c r="S234" i="32" s="1"/>
  <c r="D9" i="31"/>
  <c r="F9"/>
  <c r="G9" l="1"/>
  <c r="J15" i="32" s="1"/>
  <c r="C9" i="31" l="1"/>
  <c r="J15" i="29" s="1"/>
  <c r="C18" i="31" l="1"/>
  <c r="L133" i="29" s="1"/>
  <c r="N133" l="1"/>
  <c r="T133" s="1"/>
  <c r="L132"/>
  <c r="N132" s="1"/>
  <c r="T132" s="1"/>
  <c r="V133" l="1"/>
  <c r="X133"/>
  <c r="X132"/>
  <c r="V132"/>
  <c r="D18" i="31" l="1"/>
  <c r="E18"/>
  <c r="I11" i="35" s="1"/>
  <c r="F18" i="31"/>
  <c r="K11" i="35" s="1"/>
  <c r="G18" i="31" l="1"/>
  <c r="L133" i="32" l="1"/>
  <c r="M11" i="35"/>
  <c r="N133" i="32" l="1"/>
  <c r="T133" s="1"/>
  <c r="L132"/>
  <c r="N132" s="1"/>
  <c r="T132" s="1"/>
  <c r="C23" i="33"/>
  <c r="X132" i="32" l="1"/>
  <c r="V132"/>
  <c r="V133"/>
  <c r="X133"/>
  <c r="C15" i="31" l="1"/>
  <c r="L78" i="29" s="1"/>
  <c r="N78" s="1"/>
  <c r="T78" s="1"/>
  <c r="X78" l="1"/>
  <c r="AB78" s="1"/>
  <c r="AN78" s="1"/>
  <c r="V78"/>
  <c r="C22" i="31" l="1"/>
  <c r="L238" i="29" s="1"/>
  <c r="L237" l="1"/>
  <c r="N238"/>
  <c r="T238" s="1"/>
  <c r="L236" l="1"/>
  <c r="N236" s="1"/>
  <c r="T236" s="1"/>
  <c r="N237"/>
  <c r="T237" s="1"/>
  <c r="V238"/>
  <c r="X238"/>
  <c r="V236" l="1"/>
  <c r="X236"/>
  <c r="V237"/>
  <c r="X237"/>
  <c r="C20" i="31" l="1"/>
  <c r="L101" i="29" l="1"/>
  <c r="N101" s="1"/>
  <c r="T101" s="1"/>
  <c r="L101" i="32"/>
  <c r="N101" s="1"/>
  <c r="T101" s="1"/>
  <c r="Y177" i="29"/>
  <c r="X101" l="1"/>
  <c r="AB101" s="1"/>
  <c r="AN101" s="1"/>
  <c r="V101"/>
  <c r="X101" i="32"/>
  <c r="AB101" s="1"/>
  <c r="AN101" s="1"/>
  <c r="V101"/>
  <c r="C4" i="31" l="1"/>
  <c r="T15" i="29" s="1"/>
  <c r="C6" i="31" l="1"/>
  <c r="O177" i="29" s="1"/>
  <c r="C12" i="31" l="1"/>
  <c r="L49" i="29" l="1"/>
  <c r="L48" s="1"/>
  <c r="Y15"/>
  <c r="C16" i="31"/>
  <c r="L134" i="29" s="1"/>
  <c r="N134" s="1"/>
  <c r="T134" s="1"/>
  <c r="C13" i="31" l="1"/>
  <c r="X134" i="29"/>
  <c r="V134"/>
  <c r="N48"/>
  <c r="T48" s="1"/>
  <c r="L47"/>
  <c r="N47" s="1"/>
  <c r="T47" s="1"/>
  <c r="C21" i="31"/>
  <c r="L27" i="29" s="1"/>
  <c r="L26" l="1"/>
  <c r="N26" s="1"/>
  <c r="T26" s="1"/>
  <c r="N27"/>
  <c r="T27" s="1"/>
  <c r="V48"/>
  <c r="X48"/>
  <c r="J69"/>
  <c r="L156"/>
  <c r="X47"/>
  <c r="V47"/>
  <c r="V26" l="1"/>
  <c r="X26"/>
  <c r="L155"/>
  <c r="N155" s="1"/>
  <c r="T155" s="1"/>
  <c r="N156"/>
  <c r="T156" s="1"/>
  <c r="X27"/>
  <c r="V27"/>
  <c r="C5" i="31"/>
  <c r="D16" l="1"/>
  <c r="J177" i="29"/>
  <c r="C19" i="31"/>
  <c r="V155" i="29"/>
  <c r="X155"/>
  <c r="X156"/>
  <c r="V156"/>
  <c r="C7" i="31" l="1"/>
  <c r="AI15" i="29" s="1"/>
  <c r="L25" s="1"/>
  <c r="N25" s="1"/>
  <c r="T25" s="1"/>
  <c r="L186"/>
  <c r="V59"/>
  <c r="X25" l="1"/>
  <c r="V25"/>
  <c r="N186"/>
  <c r="T186" s="1"/>
  <c r="L185"/>
  <c r="C14" i="31"/>
  <c r="V186" i="29" l="1"/>
  <c r="X186"/>
  <c r="L184"/>
  <c r="N185"/>
  <c r="T185" s="1"/>
  <c r="L77"/>
  <c r="L183" l="1"/>
  <c r="N184"/>
  <c r="T184" s="1"/>
  <c r="L76"/>
  <c r="N77"/>
  <c r="T77" s="1"/>
  <c r="X185"/>
  <c r="V185"/>
  <c r="E16" i="31"/>
  <c r="D6"/>
  <c r="V77" i="29" l="1"/>
  <c r="X77"/>
  <c r="N183"/>
  <c r="T183" s="1"/>
  <c r="L182"/>
  <c r="N182" s="1"/>
  <c r="T182" s="1"/>
  <c r="F16" i="31"/>
  <c r="V184" i="29"/>
  <c r="X184"/>
  <c r="N76"/>
  <c r="T76" s="1"/>
  <c r="D7" i="31"/>
  <c r="X76" i="29" l="1"/>
  <c r="V76"/>
  <c r="X183"/>
  <c r="V183"/>
  <c r="V182"/>
  <c r="X182"/>
  <c r="D20" i="31"/>
  <c r="E6"/>
  <c r="E7" l="1"/>
  <c r="F7"/>
  <c r="F6"/>
  <c r="G16" l="1"/>
  <c r="L134" i="32" s="1"/>
  <c r="N134" s="1"/>
  <c r="T134" s="1"/>
  <c r="D19" i="31" l="1"/>
  <c r="D4"/>
  <c r="D22"/>
  <c r="X134" i="32"/>
  <c r="V134"/>
  <c r="E20" i="31"/>
  <c r="I19" i="35" s="1"/>
  <c r="I21" s="1"/>
  <c r="E12" i="31" l="1"/>
  <c r="G13" i="35"/>
  <c r="G17"/>
  <c r="G15"/>
  <c r="E22" i="31"/>
  <c r="F20"/>
  <c r="K19" i="35" s="1"/>
  <c r="K21" s="1"/>
  <c r="D12" i="31"/>
  <c r="G6"/>
  <c r="T177" i="32" s="1"/>
  <c r="D21" i="31" l="1"/>
  <c r="D15"/>
  <c r="G9" i="35" s="1"/>
  <c r="I13"/>
  <c r="I17"/>
  <c r="F22" i="31"/>
  <c r="G7"/>
  <c r="AI15" i="32" s="1"/>
  <c r="E19" i="31" l="1"/>
  <c r="E4"/>
  <c r="F12"/>
  <c r="K13" i="35"/>
  <c r="K17"/>
  <c r="F21" i="31" l="1"/>
  <c r="G22"/>
  <c r="E21"/>
  <c r="F4"/>
  <c r="I15" i="35"/>
  <c r="D14" i="31"/>
  <c r="G5" i="35" s="1"/>
  <c r="D13" i="31"/>
  <c r="F19"/>
  <c r="E15"/>
  <c r="I9" i="35" s="1"/>
  <c r="G20" i="31" l="1"/>
  <c r="L241" i="32"/>
  <c r="C29" i="33"/>
  <c r="M17" i="35"/>
  <c r="M13"/>
  <c r="F15" i="31"/>
  <c r="K9" i="35" s="1"/>
  <c r="K15"/>
  <c r="C32" i="33" l="1"/>
  <c r="N241" i="32"/>
  <c r="T241" s="1"/>
  <c r="L240"/>
  <c r="E14" i="31"/>
  <c r="I5" i="35" s="1"/>
  <c r="M19"/>
  <c r="M21" s="1"/>
  <c r="L214" i="32"/>
  <c r="AD177"/>
  <c r="G19" i="31" l="1"/>
  <c r="G4"/>
  <c r="F14"/>
  <c r="K5" i="35" s="1"/>
  <c r="E13" i="31"/>
  <c r="G12"/>
  <c r="V241" i="32"/>
  <c r="X241"/>
  <c r="N240"/>
  <c r="T240" s="1"/>
  <c r="L239"/>
  <c r="N239" s="1"/>
  <c r="T239" s="1"/>
  <c r="L213"/>
  <c r="N214"/>
  <c r="T214" s="1"/>
  <c r="X240" l="1"/>
  <c r="V240"/>
  <c r="T15"/>
  <c r="G15" i="31"/>
  <c r="X239" i="32"/>
  <c r="V239"/>
  <c r="M15" i="35"/>
  <c r="L187" i="32"/>
  <c r="G21" i="31"/>
  <c r="L27" i="32" s="1"/>
  <c r="F13" i="31"/>
  <c r="L212" i="32"/>
  <c r="N213"/>
  <c r="T213" s="1"/>
  <c r="C38" i="33"/>
  <c r="Y15" i="32"/>
  <c r="L48"/>
  <c r="V214"/>
  <c r="X214"/>
  <c r="G13" i="31" l="1"/>
  <c r="L47" i="32"/>
  <c r="N47" s="1"/>
  <c r="T47" s="1"/>
  <c r="N48"/>
  <c r="T48" s="1"/>
  <c r="X213"/>
  <c r="V213"/>
  <c r="M9" i="35"/>
  <c r="L78" i="32"/>
  <c r="N187"/>
  <c r="T187" s="1"/>
  <c r="L186"/>
  <c r="C26" i="33"/>
  <c r="L211" i="32"/>
  <c r="C35" i="33"/>
  <c r="N212" i="32"/>
  <c r="T212" s="1"/>
  <c r="L26"/>
  <c r="C3" i="33"/>
  <c r="N27" i="32"/>
  <c r="T27" s="1"/>
  <c r="X27" l="1"/>
  <c r="V27"/>
  <c r="X187"/>
  <c r="V187"/>
  <c r="X48"/>
  <c r="V48"/>
  <c r="V212"/>
  <c r="X212"/>
  <c r="L185"/>
  <c r="N186"/>
  <c r="T186" s="1"/>
  <c r="J69"/>
  <c r="L156"/>
  <c r="N26"/>
  <c r="T26" s="1"/>
  <c r="L25"/>
  <c r="N25" s="1"/>
  <c r="T25" s="1"/>
  <c r="N78"/>
  <c r="T78" s="1"/>
  <c r="C18" i="33"/>
  <c r="G14" i="31"/>
  <c r="L210" i="32"/>
  <c r="N211"/>
  <c r="T211" s="1"/>
  <c r="X47"/>
  <c r="V47"/>
  <c r="X211" l="1"/>
  <c r="V211"/>
  <c r="L155"/>
  <c r="N155" s="1"/>
  <c r="T155" s="1"/>
  <c r="N156"/>
  <c r="T156" s="1"/>
  <c r="C12" i="33"/>
  <c r="X78" i="32"/>
  <c r="AB78" s="1"/>
  <c r="AN78" s="1"/>
  <c r="V78"/>
  <c r="V26"/>
  <c r="X26"/>
  <c r="L184"/>
  <c r="N185"/>
  <c r="T185" s="1"/>
  <c r="L209"/>
  <c r="N209" s="1"/>
  <c r="T209" s="1"/>
  <c r="N210"/>
  <c r="T210" s="1"/>
  <c r="M5" i="35"/>
  <c r="L77" i="32"/>
  <c r="V25"/>
  <c r="X25"/>
  <c r="X186"/>
  <c r="V186"/>
  <c r="X209" l="1"/>
  <c r="V209"/>
  <c r="X210"/>
  <c r="V210"/>
  <c r="L183"/>
  <c r="C41" i="33"/>
  <c r="N184" i="32"/>
  <c r="T184" s="1"/>
  <c r="V155"/>
  <c r="X155"/>
  <c r="C6" i="33"/>
  <c r="N77" i="32"/>
  <c r="T77" s="1"/>
  <c r="X185"/>
  <c r="V185"/>
  <c r="V156"/>
  <c r="X156"/>
  <c r="N183" l="1"/>
  <c r="T183" s="1"/>
  <c r="X184"/>
  <c r="V184"/>
  <c r="V77"/>
  <c r="X77"/>
  <c r="X183" l="1"/>
  <c r="V183"/>
  <c r="C24" i="31" l="1"/>
  <c r="D24" l="1"/>
  <c r="E24" l="1"/>
  <c r="G8" l="1"/>
  <c r="O15" i="32" s="1"/>
  <c r="F8" i="31"/>
  <c r="E8"/>
  <c r="D8"/>
  <c r="C8" l="1"/>
  <c r="O15" i="29" l="1"/>
  <c r="F24" i="31" l="1"/>
  <c r="G24"/>
  <c r="C44" i="33" s="1"/>
  <c r="C17" i="31" l="1"/>
  <c r="L131" i="29" l="1"/>
  <c r="O69"/>
  <c r="L75" s="1"/>
  <c r="AD15"/>
  <c r="L24" s="1"/>
  <c r="C23" i="31"/>
  <c r="L130" i="29" l="1"/>
  <c r="N131"/>
  <c r="T131" s="1"/>
  <c r="L74"/>
  <c r="N74" s="1"/>
  <c r="T74" s="1"/>
  <c r="N75"/>
  <c r="T75" s="1"/>
  <c r="L23"/>
  <c r="N24"/>
  <c r="T24" s="1"/>
  <c r="N130" l="1"/>
  <c r="T130" s="1"/>
  <c r="L129"/>
  <c r="V24"/>
  <c r="X24"/>
  <c r="X131"/>
  <c r="V131"/>
  <c r="L22"/>
  <c r="N23"/>
  <c r="T23" s="1"/>
  <c r="V74"/>
  <c r="X74"/>
  <c r="X75"/>
  <c r="V75"/>
  <c r="D5" i="31"/>
  <c r="X130" i="29" l="1"/>
  <c r="V130"/>
  <c r="L128"/>
  <c r="N128" s="1"/>
  <c r="T128" s="1"/>
  <c r="N129"/>
  <c r="T129" s="1"/>
  <c r="N22"/>
  <c r="T22" s="1"/>
  <c r="L21"/>
  <c r="X23"/>
  <c r="V23"/>
  <c r="G7" i="35"/>
  <c r="V22" i="29" l="1"/>
  <c r="X22"/>
  <c r="N21"/>
  <c r="T21" s="1"/>
  <c r="L20"/>
  <c r="N20" s="1"/>
  <c r="T20" s="1"/>
  <c r="V128"/>
  <c r="X128"/>
  <c r="V129"/>
  <c r="X129"/>
  <c r="E5" i="31"/>
  <c r="V21" i="29" l="1"/>
  <c r="X21"/>
  <c r="V20"/>
  <c r="X20"/>
  <c r="AB20" s="1"/>
  <c r="Z21" s="1"/>
  <c r="AB21" s="1"/>
  <c r="Z22" s="1"/>
  <c r="AB22" s="1"/>
  <c r="I7" i="35"/>
  <c r="F5" i="31"/>
  <c r="D17" l="1"/>
  <c r="D23" s="1"/>
  <c r="U9" i="29"/>
  <c r="Z23"/>
  <c r="AB23" s="1"/>
  <c r="Z47"/>
  <c r="AB47" s="1"/>
  <c r="Z48" s="1"/>
  <c r="AB48" s="1"/>
  <c r="AN48" s="1"/>
  <c r="K7" i="35"/>
  <c r="Z9" i="29" l="1"/>
  <c r="Z236"/>
  <c r="Z24"/>
  <c r="AB24" s="1"/>
  <c r="F17" i="31" l="1"/>
  <c r="F23" s="1"/>
  <c r="Z75" i="29"/>
  <c r="AB75" s="1"/>
  <c r="Z74"/>
  <c r="Z25"/>
  <c r="AB25" s="1"/>
  <c r="AE9"/>
  <c r="AB236"/>
  <c r="D227"/>
  <c r="G5" i="31"/>
  <c r="AB74" i="29" l="1"/>
  <c r="D65"/>
  <c r="Z26"/>
  <c r="AB26" s="1"/>
  <c r="Z27" s="1"/>
  <c r="AB27" s="1"/>
  <c r="AN27" s="1"/>
  <c r="AM11"/>
  <c r="E17" i="31"/>
  <c r="E23" s="1"/>
  <c r="AN236" i="29"/>
  <c r="Z237"/>
  <c r="AB237" s="1"/>
  <c r="P63"/>
  <c r="Z128"/>
  <c r="D92"/>
  <c r="J177" i="32"/>
  <c r="L182" s="1"/>
  <c r="M7" i="35"/>
  <c r="V59" i="32"/>
  <c r="L76" s="1"/>
  <c r="Z76" i="29" l="1"/>
  <c r="AB76" s="1"/>
  <c r="Z155"/>
  <c r="K63"/>
  <c r="Z238"/>
  <c r="AB238" s="1"/>
  <c r="AN238" s="1"/>
  <c r="AN237"/>
  <c r="AB128"/>
  <c r="Z129" s="1"/>
  <c r="AB129" s="1"/>
  <c r="Z130" s="1"/>
  <c r="AB130" s="1"/>
  <c r="D119"/>
  <c r="Z134"/>
  <c r="AB134" s="1"/>
  <c r="AN134" s="1"/>
  <c r="C15" i="33"/>
  <c r="N182" i="32"/>
  <c r="T182" s="1"/>
  <c r="N76"/>
  <c r="T76" s="1"/>
  <c r="Z77" i="29" l="1"/>
  <c r="AB77" s="1"/>
  <c r="AN77" s="1"/>
  <c r="Z182"/>
  <c r="AB182" s="1"/>
  <c r="Z132"/>
  <c r="AB132" s="1"/>
  <c r="Z133" s="1"/>
  <c r="AB133" s="1"/>
  <c r="AN133" s="1"/>
  <c r="Z131"/>
  <c r="AB131" s="1"/>
  <c r="AN131" s="1"/>
  <c r="Y117"/>
  <c r="D146"/>
  <c r="AB155"/>
  <c r="Z156" s="1"/>
  <c r="AB156" s="1"/>
  <c r="AN156" s="1"/>
  <c r="V182" i="32"/>
  <c r="X182"/>
  <c r="X76"/>
  <c r="V76"/>
  <c r="G17" i="31" l="1"/>
  <c r="Z183" i="29"/>
  <c r="AB183" s="1"/>
  <c r="K171"/>
  <c r="O69" i="32" l="1"/>
  <c r="L75" s="1"/>
  <c r="L131"/>
  <c r="AD15"/>
  <c r="L24" s="1"/>
  <c r="G23" i="31"/>
  <c r="Z184" i="29"/>
  <c r="AB184" s="1"/>
  <c r="Z185" s="1"/>
  <c r="AB185" s="1"/>
  <c r="P171"/>
  <c r="D200" l="1"/>
  <c r="Z171"/>
  <c r="Z186"/>
  <c r="AB186" s="1"/>
  <c r="AN186" s="1"/>
  <c r="N75" i="32"/>
  <c r="T75" s="1"/>
  <c r="L74"/>
  <c r="N74" s="1"/>
  <c r="T74" s="1"/>
  <c r="L130"/>
  <c r="N131"/>
  <c r="T131" s="1"/>
  <c r="L23"/>
  <c r="N24"/>
  <c r="T24" s="1"/>
  <c r="X24" l="1"/>
  <c r="V24"/>
  <c r="X74"/>
  <c r="V74"/>
  <c r="L129"/>
  <c r="C9" i="33"/>
  <c r="N130" i="32"/>
  <c r="T130" s="1"/>
  <c r="X131"/>
  <c r="V131"/>
  <c r="N23"/>
  <c r="T23" s="1"/>
  <c r="L22"/>
  <c r="V75"/>
  <c r="X75"/>
  <c r="L128" l="1"/>
  <c r="N128" s="1"/>
  <c r="T128" s="1"/>
  <c r="N129"/>
  <c r="T129" s="1"/>
  <c r="X23"/>
  <c r="V23"/>
  <c r="L21"/>
  <c r="N22"/>
  <c r="T22" s="1"/>
  <c r="X130"/>
  <c r="V130"/>
  <c r="L20" l="1"/>
  <c r="N20" s="1"/>
  <c r="T20" s="1"/>
  <c r="N21"/>
  <c r="T21" s="1"/>
  <c r="X128"/>
  <c r="V128"/>
  <c r="V22"/>
  <c r="X22"/>
  <c r="X129"/>
  <c r="V129"/>
  <c r="X20" l="1"/>
  <c r="AB20" s="1"/>
  <c r="Z21" s="1"/>
  <c r="AB21" s="1"/>
  <c r="Z22" s="1"/>
  <c r="AB22" s="1"/>
  <c r="V20"/>
  <c r="V21"/>
  <c r="X21"/>
  <c r="U9" l="1"/>
  <c r="Z47"/>
  <c r="AB47" s="1"/>
  <c r="Z48" s="1"/>
  <c r="AB48" s="1"/>
  <c r="AN48" s="1"/>
  <c r="Z23"/>
  <c r="AB23" s="1"/>
  <c r="Z9" l="1"/>
  <c r="Z239"/>
  <c r="Z24"/>
  <c r="AB24" s="1"/>
  <c r="Z74" l="1"/>
  <c r="Z75"/>
  <c r="AB75" s="1"/>
  <c r="Z25"/>
  <c r="AB25" s="1"/>
  <c r="AE9"/>
  <c r="AB239"/>
  <c r="Z240" s="1"/>
  <c r="AB240" s="1"/>
  <c r="Z241" s="1"/>
  <c r="AB241" s="1"/>
  <c r="AN241" s="1"/>
  <c r="D230"/>
  <c r="D65" l="1"/>
  <c r="AB74"/>
  <c r="Z128"/>
  <c r="D92"/>
  <c r="P63"/>
  <c r="Z26"/>
  <c r="AB26" s="1"/>
  <c r="Z27" s="1"/>
  <c r="AB27" s="1"/>
  <c r="AN27" s="1"/>
  <c r="AM11"/>
  <c r="Z155" l="1"/>
  <c r="K63"/>
  <c r="Z76"/>
  <c r="AB76" s="1"/>
  <c r="AB128"/>
  <c r="Z129" s="1"/>
  <c r="AB129" s="1"/>
  <c r="Z130" s="1"/>
  <c r="AB130" s="1"/>
  <c r="Z134"/>
  <c r="AB134" s="1"/>
  <c r="AN134" s="1"/>
  <c r="D119"/>
  <c r="AB155" l="1"/>
  <c r="Z156" s="1"/>
  <c r="AB156" s="1"/>
  <c r="AN156" s="1"/>
  <c r="D146"/>
  <c r="Z77"/>
  <c r="AB77" s="1"/>
  <c r="AN77" s="1"/>
  <c r="Z182"/>
  <c r="AB182" s="1"/>
  <c r="Z131"/>
  <c r="AB131" s="1"/>
  <c r="AN131" s="1"/>
  <c r="Z132"/>
  <c r="AB132" s="1"/>
  <c r="Z133" s="1"/>
  <c r="AB133" s="1"/>
  <c r="AN133" s="1"/>
  <c r="Y117"/>
  <c r="Z183" l="1"/>
  <c r="AB183" s="1"/>
  <c r="K171"/>
  <c r="Z184" l="1"/>
  <c r="AB184" s="1"/>
  <c r="Z185" s="1"/>
  <c r="AB185" s="1"/>
  <c r="Z186" s="1"/>
  <c r="AB186" s="1"/>
  <c r="U171"/>
  <c r="Z187" l="1"/>
  <c r="AB187" s="1"/>
  <c r="D200"/>
  <c r="P195"/>
  <c r="Z209"/>
  <c r="AB209" s="1"/>
  <c r="Z211" s="1"/>
  <c r="AB211" s="1"/>
  <c r="Z212" s="1"/>
  <c r="AB212" s="1"/>
  <c r="Z213" s="1"/>
  <c r="AB213" s="1"/>
  <c r="AE171"/>
  <c r="Z210" l="1"/>
  <c r="AB210" s="1"/>
  <c r="AN187"/>
  <c r="Z214"/>
  <c r="AB214" s="1"/>
  <c r="AN214" s="1"/>
  <c r="AN213"/>
</calcChain>
</file>

<file path=xl/comments1.xml><?xml version="1.0" encoding="utf-8"?>
<comments xmlns="http://schemas.openxmlformats.org/spreadsheetml/2006/main">
  <authors>
    <author>withus</author>
  </authors>
  <commentList>
    <comment ref="AJ77" authorId="0">
      <text>
        <r>
          <rPr>
            <b/>
            <sz val="9"/>
            <color indexed="81"/>
            <rFont val="Tahoma"/>
            <family val="2"/>
          </rPr>
          <t>withus:</t>
        </r>
        <r>
          <rPr>
            <sz val="9"/>
            <color indexed="81"/>
            <rFont val="Tahoma"/>
            <family val="2"/>
          </rPr>
          <t xml:space="preserve">
40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</rPr>
          <t xml:space="preserve"> 50</t>
        </r>
        <r>
          <rPr>
            <sz val="9"/>
            <color indexed="81"/>
            <rFont val="돋움"/>
            <family val="3"/>
            <charset val="129"/>
          </rPr>
          <t xml:space="preserve">으로 변경
</t>
        </r>
      </text>
    </comment>
    <comment ref="AJ130" authorId="0">
      <text>
        <r>
          <rPr>
            <b/>
            <sz val="9"/>
            <color indexed="81"/>
            <rFont val="Tahoma"/>
            <family val="2"/>
          </rPr>
          <t>withus:</t>
        </r>
        <r>
          <rPr>
            <sz val="9"/>
            <color indexed="81"/>
            <rFont val="Tahoma"/>
            <family val="2"/>
          </rPr>
          <t xml:space="preserve">
60</t>
        </r>
        <r>
          <rPr>
            <sz val="9"/>
            <color indexed="81"/>
            <rFont val="돋움"/>
            <family val="3"/>
            <charset val="129"/>
          </rPr>
          <t>에서 80으로 수정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53" authorId="0">
      <text>
        <r>
          <rPr>
            <b/>
            <sz val="9"/>
            <color indexed="81"/>
            <rFont val="굴림"/>
            <family val="3"/>
            <charset val="129"/>
          </rPr>
          <t>User:</t>
        </r>
        <r>
          <rPr>
            <sz val="9"/>
            <color indexed="81"/>
            <rFont val="굴림"/>
            <family val="3"/>
            <charset val="129"/>
          </rPr>
          <t xml:space="preserve">
수동배수지 용량포함</t>
        </r>
      </text>
    </comment>
  </commentList>
</comments>
</file>

<file path=xl/sharedStrings.xml><?xml version="1.0" encoding="utf-8"?>
<sst xmlns="http://schemas.openxmlformats.org/spreadsheetml/2006/main" count="2005" uniqueCount="498">
  <si>
    <t>관경(mm)</t>
  </si>
  <si>
    <t>Q : 유량(㎥/sec)</t>
  </si>
  <si>
    <t>L : 연장(m)</t>
  </si>
  <si>
    <t>V : 유속(m/sec)</t>
  </si>
  <si>
    <t>(㎥/day)</t>
  </si>
  <si>
    <t>(㎥/sec)</t>
  </si>
  <si>
    <t>2구간</t>
    <phoneticPr fontId="2" type="noConversion"/>
  </si>
  <si>
    <t>3구간</t>
    <phoneticPr fontId="2" type="noConversion"/>
  </si>
  <si>
    <t xml:space="preserve">           -1.8 5           -4.87             1.85 </t>
  </si>
  <si>
    <t xml:space="preserve">        I = 10.666 × C        × D        × Q</t>
  </si>
  <si>
    <t xml:space="preserve">                   0.63            0.54</t>
  </si>
  <si>
    <t xml:space="preserve">        V = 0.35464 × C× D      × I</t>
  </si>
  <si>
    <t xml:space="preserve">      Δh = I x L</t>
  </si>
  <si>
    <t xml:space="preserve">       여기서,</t>
  </si>
  <si>
    <t>I : 동수경사(‰)</t>
  </si>
  <si>
    <t>D : 관경(m)</t>
  </si>
  <si>
    <t>Δh : 마찰손실수두(m)</t>
  </si>
  <si>
    <t>구                       분</t>
  </si>
  <si>
    <t>2006년</t>
  </si>
  <si>
    <t>2011년</t>
  </si>
  <si>
    <t>2016년</t>
  </si>
  <si>
    <t>비  고</t>
  </si>
  <si>
    <t>배분량</t>
  </si>
  <si>
    <t>합계</t>
  </si>
  <si>
    <t>총                      계</t>
  </si>
  <si>
    <t>구       분</t>
  </si>
  <si>
    <t>연장(m)</t>
  </si>
  <si>
    <t>유속계수(C)</t>
  </si>
  <si>
    <t>동수경사(‰)</t>
  </si>
  <si>
    <t>유속(m/sec)</t>
  </si>
  <si>
    <t>손실수두(m)</t>
  </si>
  <si>
    <t>동수두(m)</t>
  </si>
  <si>
    <t>배수지(흡수정)</t>
  </si>
  <si>
    <t>비        고</t>
  </si>
  <si>
    <t>시점</t>
  </si>
  <si>
    <t>종점</t>
  </si>
  <si>
    <t>H.W.L</t>
  </si>
  <si>
    <t>L.W.L</t>
  </si>
  <si>
    <t>펌프양정(m)</t>
  </si>
  <si>
    <t xml:space="preserve"> 나. 송수관로 용수 배분량</t>
    <phoneticPr fontId="2" type="noConversion"/>
  </si>
  <si>
    <t xml:space="preserve"> 가. 적용공식 : Hazen - William 공식</t>
    <phoneticPr fontId="2" type="noConversion"/>
  </si>
  <si>
    <t>2003년</t>
    <phoneticPr fontId="2" type="noConversion"/>
  </si>
  <si>
    <t>1구간</t>
    <phoneticPr fontId="2" type="noConversion"/>
  </si>
  <si>
    <t xml:space="preserve">  ◎ 지북정수장 계통</t>
    <phoneticPr fontId="2" type="noConversion"/>
  </si>
  <si>
    <t>지북정수장~용암2배수지</t>
    <phoneticPr fontId="2" type="noConversion"/>
  </si>
  <si>
    <t>지북정수장~율량배수지</t>
    <phoneticPr fontId="2" type="noConversion"/>
  </si>
  <si>
    <t>용암2배수지~용암고지배수지</t>
    <phoneticPr fontId="2" type="noConversion"/>
  </si>
  <si>
    <t>영운정수장~용암1배수지</t>
    <phoneticPr fontId="2" type="noConversion"/>
  </si>
  <si>
    <t>청주광역정수장~송정배수지(공업)</t>
    <phoneticPr fontId="2" type="noConversion"/>
  </si>
  <si>
    <t>( 2011년 기준)</t>
    <phoneticPr fontId="2" type="noConversion"/>
  </si>
  <si>
    <t xml:space="preserve">  ◎ 영운정수장 계통</t>
    <phoneticPr fontId="2" type="noConversion"/>
  </si>
  <si>
    <t>◎  송수관로 수리검토</t>
    <phoneticPr fontId="2" type="noConversion"/>
  </si>
  <si>
    <t>C : 유속계수 = 110</t>
    <phoneticPr fontId="2" type="noConversion"/>
  </si>
  <si>
    <t>2021년</t>
    <phoneticPr fontId="2" type="noConversion"/>
  </si>
  <si>
    <t>지북정수장</t>
    <phoneticPr fontId="2" type="noConversion"/>
  </si>
  <si>
    <t>영운정수장</t>
    <phoneticPr fontId="2" type="noConversion"/>
  </si>
  <si>
    <t>청주광역정수장</t>
    <phoneticPr fontId="2" type="noConversion"/>
  </si>
  <si>
    <t>청주광역정수장~가경배수지</t>
    <phoneticPr fontId="2" type="noConversion"/>
  </si>
  <si>
    <t>청주광역정수장~개신배수지</t>
    <phoneticPr fontId="2" type="noConversion"/>
  </si>
  <si>
    <t>청주광역정수장~장성배수지</t>
    <phoneticPr fontId="2" type="noConversion"/>
  </si>
  <si>
    <t>2구간:대성가압장~대성배수지</t>
    <phoneticPr fontId="2" type="noConversion"/>
  </si>
  <si>
    <t>1구간:영운수장~용암1배수지</t>
    <phoneticPr fontId="2" type="noConversion"/>
  </si>
  <si>
    <t>배수</t>
    <phoneticPr fontId="2" type="noConversion"/>
  </si>
  <si>
    <t>관로</t>
    <phoneticPr fontId="2" type="noConversion"/>
  </si>
  <si>
    <t>대성가압장</t>
    <phoneticPr fontId="2" type="noConversion"/>
  </si>
  <si>
    <t>3구간:수동가압장~수동배수지</t>
    <phoneticPr fontId="2" type="noConversion"/>
  </si>
  <si>
    <t>수동가압장</t>
    <phoneticPr fontId="2" type="noConversion"/>
  </si>
  <si>
    <t>1구간:지북정수장~금천배수지</t>
    <phoneticPr fontId="2" type="noConversion"/>
  </si>
  <si>
    <t>주)금천배수지에서 북부배수지까지의 배수관로 수리검토결과 7.4m 여유수두가 있음.</t>
    <phoneticPr fontId="2" type="noConversion"/>
  </si>
  <si>
    <t>1-1구간</t>
    <phoneticPr fontId="2" type="noConversion"/>
  </si>
  <si>
    <t>1-2구간</t>
    <phoneticPr fontId="2" type="noConversion"/>
  </si>
  <si>
    <t>1-3구간</t>
    <phoneticPr fontId="2" type="noConversion"/>
  </si>
  <si>
    <t>1-4구간</t>
    <phoneticPr fontId="2" type="noConversion"/>
  </si>
  <si>
    <t>율량가압장(가압펌프)</t>
    <phoneticPr fontId="2" type="noConversion"/>
  </si>
  <si>
    <t xml:space="preserve">  ◎ 단기1안 - 지북정수장 ~ 율량배수지 송수관로수리검토(율량가압장신설)</t>
    <phoneticPr fontId="2" type="noConversion"/>
  </si>
  <si>
    <t xml:space="preserve">  ◎ 단기2안 - 지북정수장 ~ 율량배수지 송수관로수리검토(정수장내 송수펌프 개량)</t>
    <phoneticPr fontId="2" type="noConversion"/>
  </si>
  <si>
    <t>2-1구간</t>
    <phoneticPr fontId="2" type="noConversion"/>
  </si>
  <si>
    <t>2-2구간</t>
    <phoneticPr fontId="2" type="noConversion"/>
  </si>
  <si>
    <t>2-3구간</t>
    <phoneticPr fontId="2" type="noConversion"/>
  </si>
  <si>
    <t>2-4구간</t>
    <phoneticPr fontId="2" type="noConversion"/>
  </si>
  <si>
    <t>1-1구간:지북정수장~D1100 분기점</t>
    <phoneticPr fontId="2" type="noConversion"/>
  </si>
  <si>
    <t>1-2구간:D1100 분기점~금천배수지 분기점</t>
    <phoneticPr fontId="2" type="noConversion"/>
  </si>
  <si>
    <t>2-1구간:금천배수지분기점~D1000 분기점</t>
    <phoneticPr fontId="2" type="noConversion"/>
  </si>
  <si>
    <t>2-5구간</t>
    <phoneticPr fontId="2" type="noConversion"/>
  </si>
  <si>
    <t>2-6구간</t>
    <phoneticPr fontId="2" type="noConversion"/>
  </si>
  <si>
    <t>1-3구간:금천배수지 분기점~금천배수지</t>
    <phoneticPr fontId="2" type="noConversion"/>
  </si>
  <si>
    <t>2-2구간:D1000 분기점~D800 분기점</t>
    <phoneticPr fontId="2" type="noConversion"/>
  </si>
  <si>
    <t>2-5구간:D800 분기점~북부배수지(율량가압장)</t>
    <phoneticPr fontId="2" type="noConversion"/>
  </si>
  <si>
    <t>2-6구간:율량가압장~율량배수지(신설)</t>
    <phoneticPr fontId="2" type="noConversion"/>
  </si>
  <si>
    <t>2-3구간:D800 분기점~D700(신설) 분기점</t>
    <phoneticPr fontId="2" type="noConversion"/>
  </si>
  <si>
    <t>2-4구간:D700(신설) 분기점~D800 분기점</t>
    <phoneticPr fontId="2" type="noConversion"/>
  </si>
  <si>
    <t>잔류수두(m)</t>
  </si>
  <si>
    <t>잔류수두(m)</t>
    <phoneticPr fontId="2" type="noConversion"/>
  </si>
  <si>
    <t>(신설)</t>
    <phoneticPr fontId="2" type="noConversion"/>
  </si>
  <si>
    <t>1-1구간:지북정수장~금천배수지 분기점</t>
    <phoneticPr fontId="2" type="noConversion"/>
  </si>
  <si>
    <t>1-2구간:D1100 분기점~금천배수지</t>
    <phoneticPr fontId="2" type="noConversion"/>
  </si>
  <si>
    <t>2-3구간:D1100 분기점~D1000 분기점</t>
    <phoneticPr fontId="2" type="noConversion"/>
  </si>
  <si>
    <t>2-4구간:D1000 분기점~D800 분기점</t>
    <phoneticPr fontId="2" type="noConversion"/>
  </si>
  <si>
    <t>2-5구간:D800 분기점~D700(신설)분기점</t>
    <phoneticPr fontId="2" type="noConversion"/>
  </si>
  <si>
    <t>2-6구간:D700(신설)분기점~율량배수지(신설)</t>
    <phoneticPr fontId="2" type="noConversion"/>
  </si>
  <si>
    <t>2-1구간</t>
    <phoneticPr fontId="2" type="noConversion"/>
  </si>
  <si>
    <t>2-1구간:지북정수장~D800 분기점</t>
    <phoneticPr fontId="2" type="noConversion"/>
  </si>
  <si>
    <t>2-2구간:D800 분기점~D1100 분기점</t>
    <phoneticPr fontId="2" type="noConversion"/>
  </si>
  <si>
    <t>정수장수계</t>
    <phoneticPr fontId="2" type="noConversion"/>
  </si>
  <si>
    <t>배수지명</t>
    <phoneticPr fontId="2" type="noConversion"/>
  </si>
  <si>
    <t>용수수요량(㎥/일)</t>
  </si>
  <si>
    <t>배수지 체류시간(hr)</t>
    <phoneticPr fontId="2" type="noConversion"/>
  </si>
  <si>
    <t>비  고</t>
    <phoneticPr fontId="2" type="noConversion"/>
  </si>
  <si>
    <t>2006년</t>
    <phoneticPr fontId="2" type="noConversion"/>
  </si>
  <si>
    <t>2011년</t>
    <phoneticPr fontId="2" type="noConversion"/>
  </si>
  <si>
    <t>2016년</t>
    <phoneticPr fontId="2" type="noConversion"/>
  </si>
  <si>
    <t>금천배수지</t>
    <phoneticPr fontId="2" type="noConversion"/>
  </si>
  <si>
    <t>율량배수지</t>
    <phoneticPr fontId="2" type="noConversion"/>
  </si>
  <si>
    <t>신설</t>
    <phoneticPr fontId="2" type="noConversion"/>
  </si>
  <si>
    <t>2010년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</si>
  <si>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</si>
  <si>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</si>
  <si>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</si>
  <si>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2030년</t>
    <phoneticPr fontId="2" type="noConversion"/>
  </si>
  <si>
    <t>용암1배수지</t>
    <phoneticPr fontId="2" type="noConversion"/>
  </si>
  <si>
    <t>년차별 용수배분계획</t>
    <phoneticPr fontId="2" type="noConversion"/>
  </si>
  <si>
    <t>1-5구간</t>
    <phoneticPr fontId="2" type="noConversion"/>
  </si>
  <si>
    <t>가경배수지</t>
    <phoneticPr fontId="2" type="noConversion"/>
  </si>
  <si>
    <t>개신배수지</t>
    <phoneticPr fontId="2" type="noConversion"/>
  </si>
  <si>
    <t>잔류수두(m)</t>
    <phoneticPr fontId="2" type="noConversion"/>
  </si>
  <si>
    <t>배수지시설
용량(㎥)</t>
    <phoneticPr fontId="2" type="noConversion"/>
  </si>
  <si>
    <t>신설</t>
    <phoneticPr fontId="2" type="noConversion"/>
  </si>
  <si>
    <t>송정2배수지</t>
    <phoneticPr fontId="2" type="noConversion"/>
  </si>
  <si>
    <t>송정배수지</t>
    <phoneticPr fontId="2" type="noConversion"/>
  </si>
  <si>
    <t xml:space="preserve">  ◎ 광역정수장 송수관로(생활용수) 수리계산</t>
    <phoneticPr fontId="2" type="noConversion"/>
  </si>
  <si>
    <t>3-1구간</t>
    <phoneticPr fontId="2" type="noConversion"/>
  </si>
  <si>
    <t>3-2구간</t>
    <phoneticPr fontId="2" type="noConversion"/>
  </si>
  <si>
    <t>3-3구간</t>
    <phoneticPr fontId="2" type="noConversion"/>
  </si>
  <si>
    <t>1-1구간:광역정수장 ~ 개신배수지 분기점</t>
    <phoneticPr fontId="2" type="noConversion"/>
  </si>
  <si>
    <t>1-2구간:개신배수지 분기점 ~ 가경배수지 분기점</t>
    <phoneticPr fontId="2" type="noConversion"/>
  </si>
  <si>
    <t>1-3구간:가경배수지 분기점 ~ D500 시작점</t>
    <phoneticPr fontId="2" type="noConversion"/>
  </si>
  <si>
    <t>2-1구간:가경배수지 분기점 ~ 가경배수지</t>
    <phoneticPr fontId="2" type="noConversion"/>
  </si>
  <si>
    <t>1-1구간:지북정수장 ~ 방서교 앞</t>
    <phoneticPr fontId="2" type="noConversion"/>
  </si>
  <si>
    <t>1-1구간</t>
    <phoneticPr fontId="2" type="noConversion"/>
  </si>
  <si>
    <t>1-2구간:방서사거리 ~ 용암1배수지</t>
    <phoneticPr fontId="2" type="noConversion"/>
  </si>
  <si>
    <t>1-1구간:영운정수장 ~ 방서사거리</t>
    <phoneticPr fontId="2" type="noConversion"/>
  </si>
  <si>
    <t xml:space="preserve">  ◎ 지북정수장 송수관로(생활용수) 수리계산</t>
    <phoneticPr fontId="2" type="noConversion"/>
  </si>
  <si>
    <t xml:space="preserve">  ◎ 영운정수장 송수관로(생활용수) 수리계산</t>
    <phoneticPr fontId="2" type="noConversion"/>
  </si>
  <si>
    <t xml:space="preserve">   배 수   관 로</t>
    <phoneticPr fontId="2" type="noConversion"/>
  </si>
  <si>
    <t>1-2구간:방서교 앞 ~ 금천배수지</t>
    <phoneticPr fontId="2" type="noConversion"/>
  </si>
  <si>
    <t>1-3구간:금천배수지 ~ 명암가압장 분기점</t>
    <phoneticPr fontId="2" type="noConversion"/>
  </si>
  <si>
    <t>1-4구간:명암가압장 분기점 ~ 용정탱크</t>
    <phoneticPr fontId="2" type="noConversion"/>
  </si>
  <si>
    <t>2-3구간:명암가압장 ~ 명암탱크</t>
    <phoneticPr fontId="2" type="noConversion"/>
  </si>
  <si>
    <t>3-1구간</t>
    <phoneticPr fontId="2" type="noConversion"/>
  </si>
  <si>
    <t xml:space="preserve">       2-3구간</t>
    <phoneticPr fontId="2" type="noConversion"/>
  </si>
  <si>
    <t xml:space="preserve">                      1-1구간</t>
    <phoneticPr fontId="2" type="noConversion"/>
  </si>
  <si>
    <t>3-4구간</t>
    <phoneticPr fontId="2" type="noConversion"/>
  </si>
  <si>
    <t>3-5구간</t>
    <phoneticPr fontId="2" type="noConversion"/>
  </si>
  <si>
    <t>4-2구간</t>
    <phoneticPr fontId="2" type="noConversion"/>
  </si>
  <si>
    <t>4-1구간</t>
    <phoneticPr fontId="2" type="noConversion"/>
  </si>
  <si>
    <t>4-3구간</t>
    <phoneticPr fontId="2" type="noConversion"/>
  </si>
  <si>
    <t>4-1구간:개신배수지 분기점 ~ D1000 시작점</t>
    <phoneticPr fontId="2" type="noConversion"/>
  </si>
  <si>
    <t>4-2구간:D1000 시작점 ~ 개신가압장</t>
    <phoneticPr fontId="2" type="noConversion"/>
  </si>
  <si>
    <t>4-3구간:개신가압장 ~ 개신배수지</t>
    <phoneticPr fontId="2" type="noConversion"/>
  </si>
  <si>
    <t>3-1구간:가경배수지 ~ D500 시작점</t>
    <phoneticPr fontId="2" type="noConversion"/>
  </si>
  <si>
    <t>3-2구간:D500 시작점 ~ D300 시작점</t>
    <phoneticPr fontId="2" type="noConversion"/>
  </si>
  <si>
    <t>3-3구간:D300 시작점 ~ D150 시작점</t>
    <phoneticPr fontId="2" type="noConversion"/>
  </si>
  <si>
    <t>3-4구간:D150 시작점 ~ 주봉가압장</t>
    <phoneticPr fontId="2" type="noConversion"/>
  </si>
  <si>
    <t>3-5구간:주봉가압장 ~ 주봉탱크</t>
    <phoneticPr fontId="2" type="noConversion"/>
  </si>
  <si>
    <t>3-1구간:수동가압장 ~ 수동탱크</t>
    <phoneticPr fontId="2" type="noConversion"/>
  </si>
  <si>
    <t>2-1구간:명암가압장 분기점 ~ D100(기존) 시작점</t>
    <phoneticPr fontId="2" type="noConversion"/>
  </si>
  <si>
    <t>2-2구간:D100(기존) 시작점 ~ 명암가압장</t>
    <phoneticPr fontId="2" type="noConversion"/>
  </si>
  <si>
    <t>1-6구간:휴암가압장 ~ 휴암탱크</t>
    <phoneticPr fontId="2" type="noConversion"/>
  </si>
  <si>
    <t>1-6구간</t>
    <phoneticPr fontId="2" type="noConversion"/>
  </si>
  <si>
    <t>1-5구간:D300 시작점 ~ 휴암가압장</t>
    <phoneticPr fontId="2" type="noConversion"/>
  </si>
  <si>
    <t>1-4구간:D500 시작점 ~ D300 시작점</t>
    <phoneticPr fontId="2" type="noConversion"/>
  </si>
  <si>
    <t xml:space="preserve">  ◎ 지북정수장 송수관로(생활용수) 수리계산-수동탱크</t>
    <phoneticPr fontId="2" type="noConversion"/>
  </si>
  <si>
    <t>1-1구간:금천배수지 ~ D1100(기존)시작점</t>
    <phoneticPr fontId="2" type="noConversion"/>
  </si>
  <si>
    <t>1-2구간:D1100(기존)시작점 ~ D800(기존)시작점</t>
    <phoneticPr fontId="2" type="noConversion"/>
  </si>
  <si>
    <t>1-3구간:D800(기존)시작점 ~ D600(기존)시작점</t>
    <phoneticPr fontId="2" type="noConversion"/>
  </si>
  <si>
    <t>1-6구간:수동가압장 ~ 수동탱크</t>
    <phoneticPr fontId="2" type="noConversion"/>
  </si>
  <si>
    <t>1-4구간:D600(기존)시작점 ~ D500(기존)시작점</t>
    <phoneticPr fontId="2" type="noConversion"/>
  </si>
  <si>
    <t>1-5구간:D500(기존)시작점 ~ 수동가압장</t>
    <phoneticPr fontId="2" type="noConversion"/>
  </si>
  <si>
    <t>( 2009년 현재)</t>
    <phoneticPr fontId="2" type="noConversion"/>
  </si>
  <si>
    <t>구간</t>
    <phoneticPr fontId="2" type="noConversion"/>
  </si>
  <si>
    <t>지명</t>
    <phoneticPr fontId="2" type="noConversion"/>
  </si>
  <si>
    <t>배분량</t>
    <phoneticPr fontId="2" type="noConversion"/>
  </si>
  <si>
    <t>시점</t>
    <phoneticPr fontId="2" type="noConversion"/>
  </si>
  <si>
    <t>종점</t>
    <phoneticPr fontId="2" type="noConversion"/>
  </si>
  <si>
    <t>배수지(흡수정)</t>
    <phoneticPr fontId="2" type="noConversion"/>
  </si>
  <si>
    <t>H.W.L</t>
    <phoneticPr fontId="2" type="noConversion"/>
  </si>
  <si>
    <t>L.W.L</t>
    <phoneticPr fontId="2" type="noConversion"/>
  </si>
  <si>
    <t>비고</t>
    <phoneticPr fontId="2" type="noConversion"/>
  </si>
  <si>
    <t>(㎥/sec)</t>
    <phoneticPr fontId="2" type="noConversion"/>
  </si>
  <si>
    <t>관경
(mm)</t>
    <phoneticPr fontId="2" type="noConversion"/>
  </si>
  <si>
    <t>유속계수
(Ｃ)</t>
    <phoneticPr fontId="2" type="noConversion"/>
  </si>
  <si>
    <t>동수경사
(‰)</t>
    <phoneticPr fontId="2" type="noConversion"/>
  </si>
  <si>
    <t>손실수두(m)</t>
    <phoneticPr fontId="2" type="noConversion"/>
  </si>
  <si>
    <t>유속
(m/sec)</t>
    <phoneticPr fontId="2" type="noConversion"/>
  </si>
  <si>
    <t>손실수두
(m)</t>
    <phoneticPr fontId="2" type="noConversion"/>
  </si>
  <si>
    <t>연장
(m)</t>
    <phoneticPr fontId="2" type="noConversion"/>
  </si>
  <si>
    <t>동수두(m)</t>
    <phoneticPr fontId="2" type="noConversion"/>
  </si>
  <si>
    <t>(㎥/일)</t>
    <phoneticPr fontId="2" type="noConversion"/>
  </si>
  <si>
    <t>1-1</t>
    <phoneticPr fontId="2" type="noConversion"/>
  </si>
  <si>
    <t>석성정수장</t>
    <phoneticPr fontId="2" type="noConversion"/>
  </si>
  <si>
    <t>~</t>
    <phoneticPr fontId="2" type="noConversion"/>
  </si>
  <si>
    <t>신송산업</t>
    <phoneticPr fontId="2" type="noConversion"/>
  </si>
  <si>
    <t>신송산업</t>
    <phoneticPr fontId="2" type="noConversion"/>
  </si>
  <si>
    <t>논산 분기</t>
    <phoneticPr fontId="2" type="noConversion"/>
  </si>
  <si>
    <t>채운 분기</t>
    <phoneticPr fontId="2" type="noConversion"/>
  </si>
  <si>
    <t>대흥가압장</t>
    <phoneticPr fontId="2" type="noConversion"/>
  </si>
  <si>
    <t>대흥가압장</t>
    <phoneticPr fontId="2" type="noConversion"/>
  </si>
  <si>
    <t>강경배수지</t>
    <phoneticPr fontId="2" type="noConversion"/>
  </si>
  <si>
    <t>1-3</t>
  </si>
  <si>
    <t>1-4</t>
  </si>
  <si>
    <t>1-5</t>
  </si>
  <si>
    <t>1-6</t>
  </si>
  <si>
    <t>펌프양정:</t>
    <phoneticPr fontId="2" type="noConversion"/>
  </si>
  <si>
    <t>잔류수두:</t>
    <phoneticPr fontId="2" type="noConversion"/>
  </si>
  <si>
    <t>석성정수장</t>
    <phoneticPr fontId="2" type="noConversion"/>
  </si>
  <si>
    <t>논산1,2산단</t>
    <phoneticPr fontId="2" type="noConversion"/>
  </si>
  <si>
    <t>1-7</t>
  </si>
  <si>
    <t>논산 1,2산단</t>
    <phoneticPr fontId="2" type="noConversion"/>
  </si>
  <si>
    <t>성동배수지</t>
    <phoneticPr fontId="2" type="noConversion"/>
  </si>
  <si>
    <t>논산배수지</t>
    <phoneticPr fontId="2" type="noConversion"/>
  </si>
  <si>
    <t>채운면</t>
    <phoneticPr fontId="2" type="noConversion"/>
  </si>
  <si>
    <t>대흥가압장(P)</t>
    <phoneticPr fontId="2" type="noConversion"/>
  </si>
  <si>
    <t>양정(H):</t>
    <phoneticPr fontId="2" type="noConversion"/>
  </si>
  <si>
    <t>H.W.L :</t>
    <phoneticPr fontId="2" type="noConversion"/>
  </si>
  <si>
    <t>L.W.L :</t>
    <phoneticPr fontId="2" type="noConversion"/>
  </si>
  <si>
    <t>1-1 구간</t>
    <phoneticPr fontId="2" type="noConversion"/>
  </si>
  <si>
    <t>1-2 구간</t>
    <phoneticPr fontId="2" type="noConversion"/>
  </si>
  <si>
    <t>1-3 구간</t>
    <phoneticPr fontId="2" type="noConversion"/>
  </si>
  <si>
    <t>1-4 구간</t>
    <phoneticPr fontId="2" type="noConversion"/>
  </si>
  <si>
    <t>1-5 구간</t>
    <phoneticPr fontId="2" type="noConversion"/>
  </si>
  <si>
    <t>1-6 구간</t>
    <phoneticPr fontId="2" type="noConversion"/>
  </si>
  <si>
    <t>D=</t>
    <phoneticPr fontId="2" type="noConversion"/>
  </si>
  <si>
    <t>L=</t>
    <phoneticPr fontId="2" type="noConversion"/>
  </si>
  <si>
    <t>Q=</t>
    <phoneticPr fontId="2" type="noConversion"/>
  </si>
  <si>
    <t>동수두:</t>
    <phoneticPr fontId="2" type="noConversion"/>
  </si>
  <si>
    <t>2-1 구간</t>
    <phoneticPr fontId="2" type="noConversion"/>
  </si>
  <si>
    <t>2-2 구간</t>
    <phoneticPr fontId="2" type="noConversion"/>
  </si>
  <si>
    <t>2-1</t>
    <phoneticPr fontId="2" type="noConversion"/>
  </si>
  <si>
    <t>2-2</t>
    <phoneticPr fontId="2" type="noConversion"/>
  </si>
  <si>
    <t>성동배수지</t>
    <phoneticPr fontId="2" type="noConversion"/>
  </si>
  <si>
    <t>논산 분기</t>
    <phoneticPr fontId="2" type="noConversion"/>
  </si>
  <si>
    <t>3-1 구간</t>
    <phoneticPr fontId="2" type="noConversion"/>
  </si>
  <si>
    <t>마산배수지</t>
    <phoneticPr fontId="2" type="noConversion"/>
  </si>
  <si>
    <t>내동2배수지</t>
    <phoneticPr fontId="2" type="noConversion"/>
  </si>
  <si>
    <t>봉화배수지</t>
    <phoneticPr fontId="2" type="noConversion"/>
  </si>
  <si>
    <t>3-2 구간</t>
    <phoneticPr fontId="2" type="noConversion"/>
  </si>
  <si>
    <t>3-3 구간</t>
    <phoneticPr fontId="2" type="noConversion"/>
  </si>
  <si>
    <t>논산가압장(논산P)</t>
    <phoneticPr fontId="2" type="noConversion"/>
  </si>
  <si>
    <t>3-1</t>
    <phoneticPr fontId="2" type="noConversion"/>
  </si>
  <si>
    <t>내동2 분기</t>
    <phoneticPr fontId="2" type="noConversion"/>
  </si>
  <si>
    <t>마산 분기</t>
    <phoneticPr fontId="2" type="noConversion"/>
  </si>
  <si>
    <t>4-1 구간</t>
    <phoneticPr fontId="2" type="noConversion"/>
  </si>
  <si>
    <t>4-1</t>
    <phoneticPr fontId="2" type="noConversion"/>
  </si>
  <si>
    <t>5-1 구간</t>
    <phoneticPr fontId="2" type="noConversion"/>
  </si>
  <si>
    <t>5-2 구간</t>
    <phoneticPr fontId="2" type="noConversion"/>
  </si>
  <si>
    <t>5-1</t>
    <phoneticPr fontId="2" type="noConversion"/>
  </si>
  <si>
    <t>5-2</t>
  </si>
  <si>
    <t>봉화 분기</t>
    <phoneticPr fontId="2" type="noConversion"/>
  </si>
  <si>
    <t>동산가압장(P)</t>
    <phoneticPr fontId="2" type="noConversion"/>
  </si>
  <si>
    <t>6-1 구간</t>
    <phoneticPr fontId="2" type="noConversion"/>
  </si>
  <si>
    <t>6-2 구간</t>
    <phoneticPr fontId="2" type="noConversion"/>
  </si>
  <si>
    <t>봉화가압장</t>
    <phoneticPr fontId="2" type="noConversion"/>
  </si>
  <si>
    <t>봉화가압장</t>
    <phoneticPr fontId="2" type="noConversion"/>
  </si>
  <si>
    <t>6-1</t>
    <phoneticPr fontId="2" type="noConversion"/>
  </si>
  <si>
    <t>성동1가압장(P)</t>
    <phoneticPr fontId="2" type="noConversion"/>
  </si>
  <si>
    <t>성동1가압장</t>
    <phoneticPr fontId="2" type="noConversion"/>
  </si>
  <si>
    <t>성동1가압장</t>
    <phoneticPr fontId="2" type="noConversion"/>
  </si>
  <si>
    <t>논산가압장
(논산계통)</t>
    <phoneticPr fontId="2" type="noConversion"/>
  </si>
  <si>
    <t>논산가압장
(논산계통)</t>
    <phoneticPr fontId="2" type="noConversion"/>
  </si>
  <si>
    <t>논산가압장(연산P)</t>
    <phoneticPr fontId="2" type="noConversion"/>
  </si>
  <si>
    <t>7-1 구간</t>
    <phoneticPr fontId="2" type="noConversion"/>
  </si>
  <si>
    <t>양촌배수지</t>
    <phoneticPr fontId="2" type="noConversion"/>
  </si>
  <si>
    <t>7-1</t>
    <phoneticPr fontId="2" type="noConversion"/>
  </si>
  <si>
    <t>논산가압장
(연산계통)</t>
    <phoneticPr fontId="2" type="noConversion"/>
  </si>
  <si>
    <t>내동배수지</t>
    <phoneticPr fontId="2" type="noConversion"/>
  </si>
  <si>
    <t>성동,노성 분기</t>
    <phoneticPr fontId="2" type="noConversion"/>
  </si>
  <si>
    <t>노성가압장</t>
    <phoneticPr fontId="2" type="noConversion"/>
  </si>
  <si>
    <t>노성배수지</t>
    <phoneticPr fontId="2" type="noConversion"/>
  </si>
  <si>
    <t>9-1 구간</t>
    <phoneticPr fontId="2" type="noConversion"/>
  </si>
  <si>
    <t>9-2 구간</t>
    <phoneticPr fontId="2" type="noConversion"/>
  </si>
  <si>
    <t>9-1</t>
    <phoneticPr fontId="2" type="noConversion"/>
  </si>
  <si>
    <t>7-2 구간</t>
    <phoneticPr fontId="2" type="noConversion"/>
  </si>
  <si>
    <t>7-3 구간</t>
    <phoneticPr fontId="2" type="noConversion"/>
  </si>
  <si>
    <t>7-3</t>
  </si>
  <si>
    <t>연산중학교 인근</t>
    <phoneticPr fontId="2" type="noConversion"/>
  </si>
  <si>
    <t>부적1 분기</t>
    <phoneticPr fontId="2" type="noConversion"/>
  </si>
  <si>
    <t>부적1 분기</t>
    <phoneticPr fontId="2" type="noConversion"/>
  </si>
  <si>
    <t>부적2 분기</t>
    <phoneticPr fontId="2" type="noConversion"/>
  </si>
  <si>
    <t>부적면(1)</t>
    <phoneticPr fontId="2" type="noConversion"/>
  </si>
  <si>
    <t>부적면(2)</t>
    <phoneticPr fontId="2" type="noConversion"/>
  </si>
  <si>
    <t>7-2</t>
  </si>
  <si>
    <t>부적2 분기</t>
    <phoneticPr fontId="2" type="noConversion"/>
  </si>
  <si>
    <t>연산중학교</t>
    <phoneticPr fontId="2" type="noConversion"/>
  </si>
  <si>
    <t>직결</t>
    <phoneticPr fontId="2" type="noConversion"/>
  </si>
  <si>
    <t>채운</t>
    <phoneticPr fontId="2" type="noConversion"/>
  </si>
  <si>
    <t>부적1</t>
    <phoneticPr fontId="2" type="noConversion"/>
  </si>
  <si>
    <t>부적2</t>
    <phoneticPr fontId="2" type="noConversion"/>
  </si>
  <si>
    <t>노성특화</t>
    <phoneticPr fontId="2" type="noConversion"/>
  </si>
  <si>
    <t>구분</t>
    <phoneticPr fontId="2" type="noConversion"/>
  </si>
  <si>
    <t>단계별 용수량</t>
    <phoneticPr fontId="2" type="noConversion"/>
  </si>
  <si>
    <t>2013년 현재 직결급수양</t>
    <phoneticPr fontId="2" type="noConversion"/>
  </si>
  <si>
    <t>9-3 구간</t>
    <phoneticPr fontId="2" type="noConversion"/>
  </si>
  <si>
    <t>9-2</t>
  </si>
  <si>
    <t>9-3</t>
  </si>
  <si>
    <t>노성특화농단</t>
    <phoneticPr fontId="2" type="noConversion"/>
  </si>
  <si>
    <t>노성특화농단</t>
    <phoneticPr fontId="2" type="noConversion"/>
  </si>
  <si>
    <t>▷ 강경배수지 계통 송수관로 수리계산 (2013년)</t>
    <phoneticPr fontId="2" type="noConversion"/>
  </si>
  <si>
    <t>▷ 성동배수지 계통 송수관로 수리계산 (2013년)</t>
    <phoneticPr fontId="2" type="noConversion"/>
  </si>
  <si>
    <t>▷ 논산배수지 계통 송수관로 수리계산 (2013년)</t>
    <phoneticPr fontId="2" type="noConversion"/>
  </si>
  <si>
    <t>▷ 내동2배수지 계통 송수관로 수리계산 (2013년)</t>
    <phoneticPr fontId="2" type="noConversion"/>
  </si>
  <si>
    <t>▷ 마산배수지 계통 송수관로 수리계산 (2013년)</t>
    <phoneticPr fontId="2" type="noConversion"/>
  </si>
  <si>
    <t>▷ 봉화배수지 계통 송수관로 수리계산 (2013년)</t>
    <phoneticPr fontId="2" type="noConversion"/>
  </si>
  <si>
    <t>▷ 양촌배수지 계통 송수관로 수리계산 (2013년)</t>
    <phoneticPr fontId="2" type="noConversion"/>
  </si>
  <si>
    <t>▷ 노성배수지 계통 송수관로 수리계산 (2013년)</t>
    <phoneticPr fontId="2" type="noConversion"/>
  </si>
  <si>
    <t>광석</t>
    <phoneticPr fontId="2" type="noConversion"/>
  </si>
  <si>
    <t>논산산단</t>
    <phoneticPr fontId="2" type="noConversion"/>
  </si>
  <si>
    <t>성동배수지</t>
    <phoneticPr fontId="2" type="noConversion"/>
  </si>
  <si>
    <t>가야곡배수지</t>
    <phoneticPr fontId="2" type="noConversion"/>
  </si>
  <si>
    <t>벌곡배수지</t>
    <phoneticPr fontId="2" type="noConversion"/>
  </si>
  <si>
    <t>광석면</t>
    <phoneticPr fontId="2" type="noConversion"/>
  </si>
  <si>
    <t>성동,노성배수지</t>
    <phoneticPr fontId="2" type="noConversion"/>
  </si>
  <si>
    <t>광석 분기</t>
    <phoneticPr fontId="2" type="noConversion"/>
  </si>
  <si>
    <t>1-7 구간</t>
    <phoneticPr fontId="2" type="noConversion"/>
  </si>
  <si>
    <t>1-8 구간</t>
    <phoneticPr fontId="2" type="noConversion"/>
  </si>
  <si>
    <t>1-2</t>
  </si>
  <si>
    <t>1-8</t>
  </si>
  <si>
    <t>성동,노성 분기</t>
    <phoneticPr fontId="2" type="noConversion"/>
  </si>
  <si>
    <t>광석 분기</t>
    <phoneticPr fontId="2" type="noConversion"/>
  </si>
  <si>
    <t>봉화 분기</t>
    <phoneticPr fontId="2" type="noConversion"/>
  </si>
  <si>
    <t>논산 분기</t>
    <phoneticPr fontId="2" type="noConversion"/>
  </si>
  <si>
    <t>채운 분기</t>
    <phoneticPr fontId="2" type="noConversion"/>
  </si>
  <si>
    <t>내동가압장</t>
    <phoneticPr fontId="2" type="noConversion"/>
  </si>
  <si>
    <t>내동배수지</t>
    <phoneticPr fontId="2" type="noConversion"/>
  </si>
  <si>
    <t>3-2</t>
  </si>
  <si>
    <t>3-3</t>
  </si>
  <si>
    <t>3-4</t>
  </si>
  <si>
    <t>3-5</t>
  </si>
  <si>
    <t>3-4 구간</t>
    <phoneticPr fontId="2" type="noConversion"/>
  </si>
  <si>
    <t>내동가압장(P)</t>
    <phoneticPr fontId="2" type="noConversion"/>
  </si>
  <si>
    <t>양촌,벌곡배수지 계통</t>
    <phoneticPr fontId="2" type="noConversion"/>
  </si>
  <si>
    <t>마산,내동2배수지 계통</t>
    <phoneticPr fontId="2" type="noConversion"/>
  </si>
  <si>
    <t>논산,내동2배수지 계통</t>
    <phoneticPr fontId="2" type="noConversion"/>
  </si>
  <si>
    <t>한국주유소</t>
  </si>
  <si>
    <t>가야곡 분기</t>
    <phoneticPr fontId="2" type="noConversion"/>
  </si>
  <si>
    <t>4-6 구간</t>
    <phoneticPr fontId="2" type="noConversion"/>
  </si>
  <si>
    <t>4-2 구간</t>
    <phoneticPr fontId="2" type="noConversion"/>
  </si>
  <si>
    <t>4-3 구간</t>
    <phoneticPr fontId="2" type="noConversion"/>
  </si>
  <si>
    <t>4-4 구간</t>
    <phoneticPr fontId="2" type="noConversion"/>
  </si>
  <si>
    <t>4-5 구간</t>
    <phoneticPr fontId="2" type="noConversion"/>
  </si>
  <si>
    <t>한국주유소</t>
    <phoneticPr fontId="2" type="noConversion"/>
  </si>
  <si>
    <t>한국주요소</t>
    <phoneticPr fontId="2" type="noConversion"/>
  </si>
  <si>
    <t>동산가압장</t>
    <phoneticPr fontId="2" type="noConversion"/>
  </si>
  <si>
    <t>가야곡 분기</t>
    <phoneticPr fontId="2" type="noConversion"/>
  </si>
  <si>
    <t>마산배수지</t>
    <phoneticPr fontId="2" type="noConversion"/>
  </si>
  <si>
    <t>가야곡배수지</t>
    <phoneticPr fontId="2" type="noConversion"/>
  </si>
  <si>
    <t>4-2</t>
  </si>
  <si>
    <t>4-3</t>
  </si>
  <si>
    <t>4-4</t>
  </si>
  <si>
    <t>4-5</t>
  </si>
  <si>
    <t>4-6</t>
  </si>
  <si>
    <t>내동2배수지</t>
    <phoneticPr fontId="2" type="noConversion"/>
  </si>
  <si>
    <t>가야곡가압장(P)</t>
    <phoneticPr fontId="2" type="noConversion"/>
  </si>
  <si>
    <t>가야곡가압장</t>
    <phoneticPr fontId="2" type="noConversion"/>
  </si>
  <si>
    <t>4-7 구간</t>
    <phoneticPr fontId="2" type="noConversion"/>
  </si>
  <si>
    <t>4-7</t>
  </si>
  <si>
    <t>▷ 벌곡배수지 계통 송수관로 수리계산 (2013년)</t>
    <phoneticPr fontId="2" type="noConversion"/>
  </si>
  <si>
    <t>벌곡 분기</t>
    <phoneticPr fontId="2" type="noConversion"/>
  </si>
  <si>
    <t>벌곡 분기</t>
    <phoneticPr fontId="2" type="noConversion"/>
  </si>
  <si>
    <t>6-2</t>
  </si>
  <si>
    <t>6-3</t>
  </si>
  <si>
    <t>6-4</t>
  </si>
  <si>
    <t>6-5</t>
  </si>
  <si>
    <t>6-3 구간</t>
    <phoneticPr fontId="2" type="noConversion"/>
  </si>
  <si>
    <t>6-4 구간</t>
    <phoneticPr fontId="2" type="noConversion"/>
  </si>
  <si>
    <t>6-5 구간</t>
    <phoneticPr fontId="2" type="noConversion"/>
  </si>
  <si>
    <t>벌곡1가압장</t>
    <phoneticPr fontId="2" type="noConversion"/>
  </si>
  <si>
    <t>벌곡2가압장</t>
    <phoneticPr fontId="2" type="noConversion"/>
  </si>
  <si>
    <t>벌곡1가압장</t>
    <phoneticPr fontId="2" type="noConversion"/>
  </si>
  <si>
    <t>벌곡2가압장</t>
    <phoneticPr fontId="2" type="noConversion"/>
  </si>
  <si>
    <t>벌곡배수지</t>
    <phoneticPr fontId="2" type="noConversion"/>
  </si>
  <si>
    <t>▷ 강경배수지 계통 송수관로 수리계산 (2030년)</t>
    <phoneticPr fontId="2" type="noConversion"/>
  </si>
  <si>
    <t>▷ 성동배수지 계통 송수관로 수리계산 (2030년)</t>
    <phoneticPr fontId="2" type="noConversion"/>
  </si>
  <si>
    <t>▷ 논산배수지 계통 송수관로 수리계산 (2030년)</t>
    <phoneticPr fontId="2" type="noConversion"/>
  </si>
  <si>
    <t>▷ 마산배수지 계통 송수관로 수리계산  (2030년)</t>
    <phoneticPr fontId="2" type="noConversion"/>
  </si>
  <si>
    <t>▷ 봉화배수지 계통 송수관로 수리계산 (2030년)</t>
    <phoneticPr fontId="2" type="noConversion"/>
  </si>
  <si>
    <t>▷ 양촌배수지 계통 송수관로 수리계산 (2030년)</t>
    <phoneticPr fontId="2" type="noConversion"/>
  </si>
  <si>
    <t>▷ 벌곡배수지 계통 송수관로 수리계산 (2030년)</t>
    <phoneticPr fontId="2" type="noConversion"/>
  </si>
  <si>
    <t>▷ 노성배수지 계통 송수관로 수리계산 (2030년)</t>
    <phoneticPr fontId="2" type="noConversion"/>
  </si>
  <si>
    <t>한국주유소</t>
    <phoneticPr fontId="2" type="noConversion"/>
  </si>
  <si>
    <t>송수가압장</t>
    <phoneticPr fontId="2" type="noConversion"/>
  </si>
  <si>
    <t>기존</t>
    <phoneticPr fontId="2" type="noConversion"/>
  </si>
  <si>
    <t>변경</t>
    <phoneticPr fontId="2" type="noConversion"/>
  </si>
  <si>
    <t>대흥가압장</t>
    <phoneticPr fontId="2" type="noConversion"/>
  </si>
  <si>
    <t>㎥/분</t>
    <phoneticPr fontId="2" type="noConversion"/>
  </si>
  <si>
    <t>x</t>
    <phoneticPr fontId="2" type="noConversion"/>
  </si>
  <si>
    <t>x</t>
    <phoneticPr fontId="2" type="noConversion"/>
  </si>
  <si>
    <t>mH</t>
    <phoneticPr fontId="2" type="noConversion"/>
  </si>
  <si>
    <t>대</t>
    <phoneticPr fontId="2" type="noConversion"/>
  </si>
  <si>
    <t>논산가압장
(논산계통)</t>
    <phoneticPr fontId="2" type="noConversion"/>
  </si>
  <si>
    <t>수요량</t>
    <phoneticPr fontId="2" type="noConversion"/>
  </si>
  <si>
    <t>㎥/일</t>
    <phoneticPr fontId="2" type="noConversion"/>
  </si>
  <si>
    <t>봉화가압장</t>
    <phoneticPr fontId="2" type="noConversion"/>
  </si>
  <si>
    <t>㎥/분</t>
    <phoneticPr fontId="2" type="noConversion"/>
  </si>
  <si>
    <t>변경</t>
    <phoneticPr fontId="2" type="noConversion"/>
  </si>
  <si>
    <t>x</t>
    <phoneticPr fontId="2" type="noConversion"/>
  </si>
  <si>
    <t>mH</t>
    <phoneticPr fontId="2" type="noConversion"/>
  </si>
  <si>
    <t>대</t>
    <phoneticPr fontId="2" type="noConversion"/>
  </si>
  <si>
    <t>7-3</t>
    <phoneticPr fontId="2" type="noConversion"/>
  </si>
  <si>
    <t>7-4</t>
    <phoneticPr fontId="2" type="noConversion"/>
  </si>
  <si>
    <t>벌곡2가압장</t>
    <phoneticPr fontId="2" type="noConversion"/>
  </si>
  <si>
    <t>벌곡3가압장</t>
    <phoneticPr fontId="2" type="noConversion"/>
  </si>
  <si>
    <t>8-1</t>
    <phoneticPr fontId="2" type="noConversion"/>
  </si>
  <si>
    <t>8-2</t>
  </si>
  <si>
    <t>8-3</t>
  </si>
  <si>
    <t>노성2가압장</t>
    <phoneticPr fontId="2" type="noConversion"/>
  </si>
  <si>
    <t>노성특화농단
(노성2가압)</t>
    <phoneticPr fontId="2" type="noConversion"/>
  </si>
  <si>
    <t>노성특화농단
(노성2가압)</t>
    <phoneticPr fontId="2" type="noConversion"/>
  </si>
  <si>
    <t>노성2가압장
(신설)</t>
    <phoneticPr fontId="2" type="noConversion"/>
  </si>
  <si>
    <t>벌곡1가압장
(신설)</t>
    <phoneticPr fontId="2" type="noConversion"/>
  </si>
  <si>
    <t>벌곡2가압장
(신설)</t>
    <phoneticPr fontId="2" type="noConversion"/>
  </si>
  <si>
    <t>한국주유소∼
마산배수지</t>
    <phoneticPr fontId="2" type="noConversion"/>
  </si>
  <si>
    <t>노선</t>
    <phoneticPr fontId="2" type="noConversion"/>
  </si>
  <si>
    <t>확장</t>
    <phoneticPr fontId="2" type="noConversion"/>
  </si>
  <si>
    <t>합계</t>
    <phoneticPr fontId="2" type="noConversion"/>
  </si>
  <si>
    <t>가야곡 분기∼
가야곡가압장</t>
    <phoneticPr fontId="2" type="noConversion"/>
  </si>
  <si>
    <t>-</t>
    <phoneticPr fontId="2" type="noConversion"/>
  </si>
  <si>
    <t>연산</t>
    <phoneticPr fontId="2" type="noConversion"/>
  </si>
  <si>
    <t>마산
(마산)</t>
    <phoneticPr fontId="2" type="noConversion"/>
  </si>
  <si>
    <t>마산
(가야곡)</t>
    <phoneticPr fontId="2" type="noConversion"/>
  </si>
  <si>
    <t>급수구역
(급수분구)</t>
    <phoneticPr fontId="2" type="noConversion"/>
  </si>
  <si>
    <t>연산
(벌곡)</t>
    <phoneticPr fontId="2" type="noConversion"/>
  </si>
  <si>
    <t>벌곡 분기∼
벌곡배수지</t>
    <phoneticPr fontId="2" type="noConversion"/>
  </si>
  <si>
    <t>연장(m)</t>
    <phoneticPr fontId="2" type="noConversion"/>
  </si>
  <si>
    <t>신설관경
(mm)</t>
    <phoneticPr fontId="2" type="noConversion"/>
  </si>
  <si>
    <t>기존관경
(mm)</t>
    <phoneticPr fontId="2" type="noConversion"/>
  </si>
  <si>
    <t>가압장</t>
    <phoneticPr fontId="2" type="noConversion"/>
  </si>
  <si>
    <t>용량</t>
    <phoneticPr fontId="2" type="noConversion"/>
  </si>
  <si>
    <t>양정</t>
    <phoneticPr fontId="2" type="noConversion"/>
  </si>
  <si>
    <t>가압장 계획</t>
    <phoneticPr fontId="2" type="noConversion"/>
  </si>
  <si>
    <t>논산</t>
    <phoneticPr fontId="2" type="noConversion"/>
  </si>
  <si>
    <t>대수</t>
    <phoneticPr fontId="2" type="noConversion"/>
  </si>
  <si>
    <t>기존시설</t>
    <phoneticPr fontId="2" type="noConversion"/>
  </si>
  <si>
    <t>양정(m)</t>
    <phoneticPr fontId="2" type="noConversion"/>
  </si>
  <si>
    <t>내동</t>
    <phoneticPr fontId="2" type="noConversion"/>
  </si>
  <si>
    <t>가야곡</t>
    <phoneticPr fontId="2" type="noConversion"/>
  </si>
  <si>
    <t>양촌</t>
    <phoneticPr fontId="2" type="noConversion"/>
  </si>
  <si>
    <t>노성2</t>
    <phoneticPr fontId="2" type="noConversion"/>
  </si>
  <si>
    <t>벌곡1</t>
    <phoneticPr fontId="2" type="noConversion"/>
  </si>
  <si>
    <t>벌곡2</t>
    <phoneticPr fontId="2" type="noConversion"/>
  </si>
  <si>
    <t>신설 가압장</t>
    <phoneticPr fontId="2" type="noConversion"/>
  </si>
  <si>
    <t>검토</t>
    <phoneticPr fontId="2" type="noConversion"/>
  </si>
  <si>
    <t>논산(논산계통)</t>
    <phoneticPr fontId="2" type="noConversion"/>
  </si>
  <si>
    <t>논산(연산계통)</t>
    <phoneticPr fontId="2" type="noConversion"/>
  </si>
  <si>
    <t>노성가압장
(신설)</t>
    <phoneticPr fontId="2" type="noConversion"/>
  </si>
  <si>
    <t>노성</t>
    <phoneticPr fontId="2" type="noConversion"/>
  </si>
  <si>
    <t>양지가압장
(신설)
-공업용수</t>
    <phoneticPr fontId="2" type="noConversion"/>
  </si>
  <si>
    <t>-</t>
    <phoneticPr fontId="2" type="noConversion"/>
  </si>
  <si>
    <t>양지
-공업용수</t>
    <phoneticPr fontId="2" type="noConversion"/>
  </si>
  <si>
    <t>양지
(양지)-공업</t>
    <phoneticPr fontId="2" type="noConversion"/>
  </si>
  <si>
    <t>연산가압장
(신설)</t>
    <phoneticPr fontId="2" type="noConversion"/>
  </si>
  <si>
    <t>양지배수지</t>
    <phoneticPr fontId="2" type="noConversion"/>
  </si>
  <si>
    <t>▷ 양지배수지(공업) 계통 송수관로 수리계산 (2030년)</t>
    <phoneticPr fontId="2" type="noConversion"/>
  </si>
  <si>
    <t>분기</t>
    <phoneticPr fontId="2" type="noConversion"/>
  </si>
  <si>
    <t>양지가압장</t>
    <phoneticPr fontId="2" type="noConversion"/>
  </si>
  <si>
    <t>석성정수장</t>
    <phoneticPr fontId="2" type="noConversion"/>
  </si>
  <si>
    <t>양지배수지</t>
    <phoneticPr fontId="2" type="noConversion"/>
  </si>
  <si>
    <t>노성배수지</t>
    <phoneticPr fontId="2" type="noConversion"/>
  </si>
  <si>
    <t>6-6 구간</t>
    <phoneticPr fontId="2" type="noConversion"/>
  </si>
  <si>
    <t>연산중학교 인근</t>
  </si>
  <si>
    <t>부적가압장</t>
    <phoneticPr fontId="2" type="noConversion"/>
  </si>
  <si>
    <t>부적가압장</t>
    <phoneticPr fontId="2" type="noConversion"/>
  </si>
  <si>
    <t>연산가압장</t>
    <phoneticPr fontId="2" type="noConversion"/>
  </si>
  <si>
    <t>6-4</t>
    <phoneticPr fontId="2" type="noConversion"/>
  </si>
  <si>
    <t>6-5</t>
    <phoneticPr fontId="2" type="noConversion"/>
  </si>
  <si>
    <t>6-6</t>
    <phoneticPr fontId="2" type="noConversion"/>
  </si>
  <si>
    <t>7-2</t>
    <phoneticPr fontId="2" type="noConversion"/>
  </si>
  <si>
    <t>7-4 구간</t>
    <phoneticPr fontId="2" type="noConversion"/>
  </si>
  <si>
    <t>7-5 구간</t>
    <phoneticPr fontId="2" type="noConversion"/>
  </si>
  <si>
    <t>국방대학교</t>
    <phoneticPr fontId="2" type="noConversion"/>
  </si>
  <si>
    <t>국방대</t>
    <phoneticPr fontId="2" type="noConversion"/>
  </si>
  <si>
    <t>7-2구간</t>
    <phoneticPr fontId="2" type="noConversion"/>
  </si>
  <si>
    <t>7-6 구간</t>
    <phoneticPr fontId="2" type="noConversion"/>
  </si>
  <si>
    <t>7-4</t>
    <phoneticPr fontId="2" type="noConversion"/>
  </si>
  <si>
    <t>7-5</t>
    <phoneticPr fontId="2" type="noConversion"/>
  </si>
  <si>
    <t>국방대</t>
    <phoneticPr fontId="2" type="noConversion"/>
  </si>
  <si>
    <t>국방대</t>
    <phoneticPr fontId="2" type="noConversion"/>
  </si>
  <si>
    <t>곰내마을 인근</t>
    <phoneticPr fontId="2" type="noConversion"/>
  </si>
  <si>
    <t>곰내마을인근</t>
    <phoneticPr fontId="2" type="noConversion"/>
  </si>
  <si>
    <t>부적가압장
(신설)</t>
    <phoneticPr fontId="2" type="noConversion"/>
  </si>
  <si>
    <t>내동가압장</t>
    <phoneticPr fontId="2" type="noConversion"/>
  </si>
  <si>
    <t>수요량</t>
    <phoneticPr fontId="2" type="noConversion"/>
  </si>
  <si>
    <t>㎥/일</t>
    <phoneticPr fontId="2" type="noConversion"/>
  </si>
  <si>
    <t>기존</t>
    <phoneticPr fontId="2" type="noConversion"/>
  </si>
  <si>
    <t>㎥/분</t>
    <phoneticPr fontId="2" type="noConversion"/>
  </si>
  <si>
    <t>x</t>
    <phoneticPr fontId="2" type="noConversion"/>
  </si>
  <si>
    <t>mH</t>
    <phoneticPr fontId="2" type="noConversion"/>
  </si>
  <si>
    <t>대</t>
    <phoneticPr fontId="2" type="noConversion"/>
  </si>
  <si>
    <t>변경</t>
    <phoneticPr fontId="2" type="noConversion"/>
  </si>
</sst>
</file>

<file path=xl/styles.xml><?xml version="1.0" encoding="utf-8"?>
<styleSheet xmlns="http://schemas.openxmlformats.org/spreadsheetml/2006/main">
  <numFmts count="30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E+00"/>
    <numFmt numFmtId="178" formatCode="_-* #,##0\ &quot;F&quot;_-;\-* #,##0\ &quot;F&quot;_-;_-* &quot;-&quot;\ &quot;F&quot;_-;_-@_-"/>
    <numFmt numFmtId="179" formatCode="_-* #,##0\ _F_-;\-* #,##0\ _F_-;_-* &quot;-&quot;\ _F_-;_-@_-"/>
    <numFmt numFmtId="180" formatCode="_-* #,##0.00\ &quot;F&quot;_-;\-* #,##0.00\ &quot;F&quot;_-;_-* &quot;-&quot;??\ &quot;F&quot;_-;_-@_-"/>
    <numFmt numFmtId="181" formatCode="_-* #,##0.00\ _F_-;\-* #,##0.00\ _F_-;_-* &quot;-&quot;??\ _F_-;_-@_-"/>
    <numFmt numFmtId="182" formatCode="#,##0.00_ "/>
    <numFmt numFmtId="183" formatCode="_-* #,##0.000_-;\-* #,##0.000_-;_-* &quot;-&quot;??_-;_-@_-"/>
    <numFmt numFmtId="184" formatCode="_-* #,##0.00000_-;\-* #,##0.00000_-;_-* &quot;-&quot;??_-;_-@_-"/>
    <numFmt numFmtId="185" formatCode="#,##0.00_);[Red]\(#,##0.00\)"/>
    <numFmt numFmtId="186" formatCode="_-* #,##0.0000_-;\-* #,##0.0000_-;_-* &quot;-&quot;??_-;_-@_-"/>
    <numFmt numFmtId="187" formatCode="0.00_ "/>
    <numFmt numFmtId="188" formatCode="_-* #,##0_-;\-* #,##0_-;_-* &quot;-&quot;??_-;_-@_-"/>
    <numFmt numFmtId="189" formatCode="#,##0.0"/>
    <numFmt numFmtId="190" formatCode="&quot;지&quot;&quot;북&quot;&quot;00&quot;"/>
    <numFmt numFmtId="191" formatCode="&quot;통합정수장(&quot;0,000&quot;㎥/일)&quot;"/>
    <numFmt numFmtId="192" formatCode="&quot;광역정수장(&quot;0,000&quot;㎥/일)&quot;"/>
    <numFmt numFmtId="193" formatCode="0_);[Red]\(0\)"/>
    <numFmt numFmtId="194" formatCode="_-* #,##0_-;\-* #,##0_-;_-* &quot;-&quot;?_-;_-@_-"/>
    <numFmt numFmtId="195" formatCode="#,#00&quot; m&quot;"/>
    <numFmt numFmtId="196" formatCode="#,#00&quot; mm&quot;"/>
    <numFmt numFmtId="197" formatCode="#,##0&quot; m&quot;"/>
    <numFmt numFmtId="198" formatCode="#,##0_ "/>
    <numFmt numFmtId="199" formatCode="#,##0.000_ "/>
    <numFmt numFmtId="200" formatCode="#,##0.0000_ "/>
    <numFmt numFmtId="201" formatCode="0&quot;(1)&quot;"/>
    <numFmt numFmtId="202" formatCode="0,000&quot;㎥/일&quot;"/>
    <numFmt numFmtId="203" formatCode="000&quot;㎥/일&quot;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Times New Roman"/>
      <family val="1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vertAlign val="subscript"/>
      <sz val="9"/>
      <name val="굴림체"/>
      <family val="3"/>
      <charset val="129"/>
    </font>
    <font>
      <sz val="9"/>
      <color indexed="9"/>
      <name val="굴림체"/>
      <family val="3"/>
      <charset val="129"/>
    </font>
    <font>
      <sz val="9"/>
      <color indexed="81"/>
      <name val="굴림"/>
      <family val="3"/>
      <charset val="129"/>
    </font>
    <font>
      <b/>
      <sz val="9"/>
      <color indexed="81"/>
      <name val="굴림"/>
      <family val="3"/>
      <charset val="129"/>
    </font>
    <font>
      <sz val="16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b/>
      <sz val="14"/>
      <name val="돋움"/>
      <family val="3"/>
      <charset val="129"/>
    </font>
    <font>
      <b/>
      <sz val="12"/>
      <name val="돋움"/>
      <family val="3"/>
      <charset val="129"/>
    </font>
    <font>
      <sz val="8"/>
      <color indexed="18"/>
      <name val="돋움"/>
      <family val="3"/>
      <charset val="129"/>
    </font>
    <font>
      <sz val="9"/>
      <name val="돋움"/>
      <family val="3"/>
      <charset val="129"/>
    </font>
    <font>
      <sz val="10"/>
      <name val="굴림체"/>
      <family val="3"/>
      <charset val="129"/>
    </font>
    <font>
      <b/>
      <sz val="11"/>
      <name val="돋움"/>
      <family val="3"/>
      <charset val="129"/>
    </font>
    <font>
      <b/>
      <sz val="9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돋움"/>
      <family val="3"/>
      <charset val="129"/>
    </font>
    <font>
      <sz val="9"/>
      <color rgb="FFFF0000"/>
      <name val="돋움"/>
      <family val="3"/>
      <charset val="129"/>
    </font>
    <font>
      <sz val="9"/>
      <color rgb="FF00B0F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176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" fillId="0" borderId="0"/>
  </cellStyleXfs>
  <cellXfs count="33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6" fontId="4" fillId="0" borderId="1" xfId="1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 vertical="center"/>
    </xf>
    <xf numFmtId="177" fontId="4" fillId="0" borderId="0" xfId="0" applyNumberFormat="1" applyFont="1" applyFill="1" applyAlignment="1">
      <alignment vertical="center"/>
    </xf>
    <xf numFmtId="0" fontId="6" fillId="0" borderId="0" xfId="0" quotePrefix="1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183" fontId="4" fillId="0" borderId="1" xfId="0" applyNumberFormat="1" applyFont="1" applyFill="1" applyBorder="1" applyAlignment="1">
      <alignment vertical="center"/>
    </xf>
    <xf numFmtId="184" fontId="4" fillId="0" borderId="1" xfId="0" applyNumberFormat="1" applyFont="1" applyFill="1" applyBorder="1" applyAlignment="1">
      <alignment vertical="center"/>
    </xf>
    <xf numFmtId="43" fontId="4" fillId="0" borderId="1" xfId="0" applyNumberFormat="1" applyFont="1" applyFill="1" applyBorder="1" applyAlignment="1">
      <alignment vertical="center"/>
    </xf>
    <xf numFmtId="185" fontId="4" fillId="0" borderId="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185" fontId="4" fillId="0" borderId="0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top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vertical="center"/>
    </xf>
    <xf numFmtId="3" fontId="13" fillId="0" borderId="0" xfId="0" applyNumberFormat="1" applyFont="1" applyAlignment="1">
      <alignment horizontal="centerContinuous" vertical="center"/>
    </xf>
    <xf numFmtId="3" fontId="14" fillId="0" borderId="0" xfId="0" applyNumberFormat="1" applyFont="1" applyAlignment="1">
      <alignment horizontal="centerContinuous" vertical="center"/>
    </xf>
    <xf numFmtId="3" fontId="14" fillId="0" borderId="0" xfId="0" applyNumberFormat="1" applyFont="1" applyFill="1" applyAlignment="1">
      <alignment horizontal="centerContinuous"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/>
    </xf>
    <xf numFmtId="0" fontId="16" fillId="0" borderId="0" xfId="0" applyFont="1"/>
    <xf numFmtId="3" fontId="16" fillId="0" borderId="0" xfId="0" applyNumberFormat="1" applyFont="1"/>
    <xf numFmtId="3" fontId="0" fillId="0" borderId="0" xfId="0" applyNumberFormat="1"/>
    <xf numFmtId="190" fontId="0" fillId="0" borderId="0" xfId="0" applyNumberFormat="1" applyAlignment="1">
      <alignment horizontal="center" vertical="center"/>
    </xf>
    <xf numFmtId="0" fontId="0" fillId="0" borderId="0" xfId="0" applyFill="1"/>
    <xf numFmtId="3" fontId="2" fillId="0" borderId="10" xfId="0" applyNumberFormat="1" applyFont="1" applyBorder="1" applyAlignment="1">
      <alignment horizontal="centerContinuous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89" fontId="2" fillId="0" borderId="9" xfId="0" applyNumberFormat="1" applyFont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189" fontId="2" fillId="0" borderId="15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82" fontId="17" fillId="0" borderId="0" xfId="0" applyNumberFormat="1" applyFont="1" applyFill="1" applyBorder="1" applyAlignment="1">
      <alignment horizontal="center" vertical="center"/>
    </xf>
    <xf numFmtId="187" fontId="17" fillId="0" borderId="0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176" fontId="4" fillId="0" borderId="20" xfId="1" applyFont="1" applyFill="1" applyBorder="1" applyAlignment="1">
      <alignment vertical="center"/>
    </xf>
    <xf numFmtId="183" fontId="4" fillId="0" borderId="20" xfId="0" applyNumberFormat="1" applyFont="1" applyFill="1" applyBorder="1" applyAlignment="1">
      <alignment vertical="center"/>
    </xf>
    <xf numFmtId="0" fontId="4" fillId="0" borderId="20" xfId="1" applyNumberFormat="1" applyFont="1" applyFill="1" applyBorder="1" applyAlignment="1">
      <alignment vertical="center"/>
    </xf>
    <xf numFmtId="184" fontId="4" fillId="0" borderId="20" xfId="0" applyNumberFormat="1" applyFont="1" applyFill="1" applyBorder="1" applyAlignment="1">
      <alignment vertical="center"/>
    </xf>
    <xf numFmtId="43" fontId="4" fillId="0" borderId="20" xfId="0" applyNumberFormat="1" applyFont="1" applyFill="1" applyBorder="1" applyAlignment="1">
      <alignment vertical="center"/>
    </xf>
    <xf numFmtId="185" fontId="4" fillId="0" borderId="20" xfId="0" applyNumberFormat="1" applyFont="1" applyFill="1" applyBorder="1" applyAlignment="1">
      <alignment vertical="center"/>
    </xf>
    <xf numFmtId="182" fontId="4" fillId="0" borderId="20" xfId="0" applyNumberFormat="1" applyFont="1" applyFill="1" applyBorder="1" applyAlignment="1">
      <alignment vertical="center"/>
    </xf>
    <xf numFmtId="182" fontId="4" fillId="0" borderId="20" xfId="0" applyNumberFormat="1" applyFont="1" applyFill="1" applyBorder="1" applyAlignment="1">
      <alignment horizontal="center" vertical="center"/>
    </xf>
    <xf numFmtId="182" fontId="4" fillId="0" borderId="20" xfId="1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top"/>
    </xf>
    <xf numFmtId="182" fontId="23" fillId="0" borderId="1" xfId="0" applyNumberFormat="1" applyFont="1" applyFill="1" applyBorder="1" applyAlignment="1">
      <alignment vertical="center"/>
    </xf>
    <xf numFmtId="182" fontId="23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187" fontId="17" fillId="0" borderId="0" xfId="0" applyNumberFormat="1" applyFont="1" applyFill="1" applyBorder="1" applyAlignment="1">
      <alignment vertical="center"/>
    </xf>
    <xf numFmtId="187" fontId="17" fillId="0" borderId="0" xfId="0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88" fontId="16" fillId="0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16" fillId="0" borderId="1" xfId="0" applyFont="1" applyBorder="1" applyAlignment="1">
      <alignment horizontal="center" vertical="center"/>
    </xf>
    <xf numFmtId="193" fontId="16" fillId="0" borderId="0" xfId="0" applyNumberFormat="1" applyFont="1" applyBorder="1" applyAlignment="1">
      <alignment vertical="center"/>
    </xf>
    <xf numFmtId="193" fontId="16" fillId="0" borderId="0" xfId="0" applyNumberFormat="1" applyFont="1" applyBorder="1" applyAlignment="1">
      <alignment horizontal="center" vertical="center"/>
    </xf>
    <xf numFmtId="193" fontId="16" fillId="0" borderId="0" xfId="0" applyNumberFormat="1" applyFont="1" applyFill="1" applyBorder="1" applyAlignment="1">
      <alignment vertical="center"/>
    </xf>
    <xf numFmtId="188" fontId="16" fillId="0" borderId="14" xfId="0" applyNumberFormat="1" applyFont="1" applyFill="1" applyBorder="1" applyAlignment="1">
      <alignment vertical="center"/>
    </xf>
    <xf numFmtId="41" fontId="16" fillId="0" borderId="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94" fontId="16" fillId="0" borderId="1" xfId="0" applyNumberFormat="1" applyFont="1" applyBorder="1" applyAlignment="1">
      <alignment horizontal="center" vertical="center"/>
    </xf>
    <xf numFmtId="43" fontId="16" fillId="0" borderId="0" xfId="0" applyNumberFormat="1" applyFont="1" applyBorder="1" applyAlignment="1">
      <alignment vertical="center"/>
    </xf>
    <xf numFmtId="196" fontId="16" fillId="0" borderId="0" xfId="0" applyNumberFormat="1" applyFont="1" applyFill="1" applyBorder="1" applyAlignment="1">
      <alignment vertical="center"/>
    </xf>
    <xf numFmtId="197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Alignment="1">
      <alignment horizontal="center" vertical="center"/>
    </xf>
    <xf numFmtId="41" fontId="16" fillId="0" borderId="0" xfId="0" applyNumberFormat="1" applyFont="1" applyBorder="1" applyAlignment="1">
      <alignment horizontal="center" vertical="center"/>
    </xf>
    <xf numFmtId="188" fontId="16" fillId="0" borderId="0" xfId="0" applyNumberFormat="1" applyFont="1" applyBorder="1" applyAlignment="1">
      <alignment horizontal="center" vertical="center"/>
    </xf>
    <xf numFmtId="195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87" fontId="5" fillId="2" borderId="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7" fontId="5" fillId="0" borderId="2" xfId="0" applyNumberFormat="1" applyFont="1" applyFill="1" applyBorder="1" applyAlignment="1">
      <alignment horizontal="center" vertical="center"/>
    </xf>
    <xf numFmtId="176" fontId="5" fillId="0" borderId="0" xfId="1" applyFont="1" applyFill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87" fontId="24" fillId="2" borderId="2" xfId="0" applyNumberFormat="1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9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98" fontId="5" fillId="0" borderId="1" xfId="0" applyNumberFormat="1" applyFont="1" applyBorder="1" applyAlignment="1">
      <alignment horizontal="center" vertical="center"/>
    </xf>
    <xf numFmtId="198" fontId="16" fillId="0" borderId="0" xfId="0" applyNumberFormat="1" applyFont="1" applyAlignment="1">
      <alignment horizontal="center" vertical="center"/>
    </xf>
    <xf numFmtId="182" fontId="16" fillId="0" borderId="1" xfId="0" applyNumberFormat="1" applyFont="1" applyBorder="1" applyAlignment="1">
      <alignment horizontal="center" vertical="center"/>
    </xf>
    <xf numFmtId="198" fontId="16" fillId="0" borderId="1" xfId="0" applyNumberFormat="1" applyFont="1" applyBorder="1" applyAlignment="1">
      <alignment horizontal="center" vertical="center"/>
    </xf>
    <xf numFmtId="198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98" fontId="2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98" fontId="25" fillId="0" borderId="0" xfId="0" applyNumberFormat="1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3" fontId="16" fillId="0" borderId="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88" fontId="25" fillId="0" borderId="2" xfId="0" applyNumberFormat="1" applyFont="1" applyFill="1" applyBorder="1" applyAlignment="1">
      <alignment horizontal="center" vertical="center"/>
    </xf>
    <xf numFmtId="188" fontId="25" fillId="0" borderId="3" xfId="0" applyNumberFormat="1" applyFont="1" applyFill="1" applyBorder="1" applyAlignment="1">
      <alignment horizontal="center" vertical="center"/>
    </xf>
    <xf numFmtId="183" fontId="16" fillId="0" borderId="2" xfId="0" applyNumberFormat="1" applyFont="1" applyFill="1" applyBorder="1" applyAlignment="1">
      <alignment horizontal="center" vertical="center"/>
    </xf>
    <xf numFmtId="183" fontId="16" fillId="0" borderId="3" xfId="0" applyNumberFormat="1" applyFont="1" applyFill="1" applyBorder="1" applyAlignment="1">
      <alignment horizontal="center" vertical="center"/>
    </xf>
    <xf numFmtId="188" fontId="16" fillId="0" borderId="2" xfId="0" applyNumberFormat="1" applyFont="1" applyFill="1" applyBorder="1" applyAlignment="1">
      <alignment horizontal="center" vertical="center"/>
    </xf>
    <xf numFmtId="188" fontId="16" fillId="0" borderId="3" xfId="0" applyNumberFormat="1" applyFont="1" applyFill="1" applyBorder="1" applyAlignment="1">
      <alignment horizontal="center" vertical="center"/>
    </xf>
    <xf numFmtId="186" fontId="16" fillId="0" borderId="2" xfId="0" applyNumberFormat="1" applyFont="1" applyFill="1" applyBorder="1" applyAlignment="1">
      <alignment horizontal="center" vertical="center"/>
    </xf>
    <xf numFmtId="186" fontId="16" fillId="0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3" fontId="16" fillId="0" borderId="2" xfId="0" applyNumberFormat="1" applyFont="1" applyFill="1" applyBorder="1" applyAlignment="1">
      <alignment horizontal="center" vertical="center"/>
    </xf>
    <xf numFmtId="43" fontId="16" fillId="0" borderId="3" xfId="0" applyNumberFormat="1" applyFont="1" applyFill="1" applyBorder="1" applyAlignment="1">
      <alignment horizontal="center" vertical="center"/>
    </xf>
    <xf numFmtId="43" fontId="25" fillId="0" borderId="1" xfId="0" applyNumberFormat="1" applyFont="1" applyFill="1" applyBorder="1" applyAlignment="1">
      <alignment horizontal="center" vertical="center"/>
    </xf>
    <xf numFmtId="43" fontId="16" fillId="0" borderId="1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43" fontId="16" fillId="0" borderId="1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3" fontId="16" fillId="0" borderId="2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96" fontId="16" fillId="0" borderId="0" xfId="0" applyNumberFormat="1" applyFont="1" applyFill="1" applyBorder="1" applyAlignment="1">
      <alignment horizontal="center" vertical="center"/>
    </xf>
    <xf numFmtId="195" fontId="16" fillId="0" borderId="0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16" fillId="0" borderId="2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0" fillId="0" borderId="20" xfId="0" applyBorder="1"/>
    <xf numFmtId="200" fontId="16" fillId="0" borderId="2" xfId="0" applyNumberFormat="1" applyFont="1" applyFill="1" applyBorder="1" applyAlignment="1">
      <alignment horizontal="right" vertical="center"/>
    </xf>
    <xf numFmtId="200" fontId="16" fillId="0" borderId="3" xfId="0" applyNumberFormat="1" applyFont="1" applyFill="1" applyBorder="1" applyAlignment="1">
      <alignment horizontal="right" vertical="center"/>
    </xf>
    <xf numFmtId="0" fontId="0" fillId="0" borderId="21" xfId="0" applyBorder="1"/>
    <xf numFmtId="198" fontId="25" fillId="0" borderId="2" xfId="0" applyNumberFormat="1" applyFont="1" applyFill="1" applyBorder="1" applyAlignment="1">
      <alignment horizontal="right" vertical="center"/>
    </xf>
    <xf numFmtId="198" fontId="25" fillId="0" borderId="3" xfId="0" applyNumberFormat="1" applyFont="1" applyFill="1" applyBorder="1" applyAlignment="1">
      <alignment horizontal="right" vertical="center"/>
    </xf>
    <xf numFmtId="43" fontId="16" fillId="0" borderId="21" xfId="0" applyNumberFormat="1" applyFont="1" applyBorder="1" applyAlignment="1">
      <alignment horizontal="center" vertical="center"/>
    </xf>
    <xf numFmtId="197" fontId="16" fillId="0" borderId="0" xfId="0" applyNumberFormat="1" applyFont="1" applyFill="1" applyBorder="1" applyAlignment="1">
      <alignment horizontal="center" vertical="center"/>
    </xf>
    <xf numFmtId="198" fontId="25" fillId="0" borderId="2" xfId="0" applyNumberFormat="1" applyFont="1" applyFill="1" applyBorder="1" applyAlignment="1">
      <alignment horizontal="center" vertical="center"/>
    </xf>
    <xf numFmtId="198" fontId="25" fillId="0" borderId="3" xfId="0" applyNumberFormat="1" applyFont="1" applyFill="1" applyBorder="1" applyAlignment="1">
      <alignment horizontal="center" vertical="center"/>
    </xf>
    <xf numFmtId="198" fontId="16" fillId="0" borderId="2" xfId="0" applyNumberFormat="1" applyFont="1" applyFill="1" applyBorder="1" applyAlignment="1">
      <alignment horizontal="center" vertical="center"/>
    </xf>
    <xf numFmtId="198" fontId="16" fillId="0" borderId="3" xfId="0" applyNumberFormat="1" applyFont="1" applyFill="1" applyBorder="1" applyAlignment="1">
      <alignment horizontal="center" vertical="center"/>
    </xf>
    <xf numFmtId="200" fontId="16" fillId="0" borderId="2" xfId="0" applyNumberFormat="1" applyFont="1" applyFill="1" applyBorder="1" applyAlignment="1">
      <alignment horizontal="center" vertical="center"/>
    </xf>
    <xf numFmtId="200" fontId="16" fillId="0" borderId="3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188" fontId="16" fillId="0" borderId="20" xfId="0" applyNumberFormat="1" applyFont="1" applyBorder="1" applyAlignment="1">
      <alignment horizontal="center" vertical="center"/>
    </xf>
    <xf numFmtId="199" fontId="16" fillId="0" borderId="2" xfId="0" applyNumberFormat="1" applyFont="1" applyFill="1" applyBorder="1" applyAlignment="1">
      <alignment horizontal="center" vertical="center"/>
    </xf>
    <xf numFmtId="199" fontId="16" fillId="0" borderId="3" xfId="0" applyNumberFormat="1" applyFont="1" applyFill="1" applyBorder="1" applyAlignment="1">
      <alignment horizontal="center" vertical="center"/>
    </xf>
    <xf numFmtId="182" fontId="16" fillId="0" borderId="2" xfId="0" applyNumberFormat="1" applyFont="1" applyFill="1" applyBorder="1" applyAlignment="1">
      <alignment horizontal="center" vertical="center"/>
    </xf>
    <xf numFmtId="182" fontId="16" fillId="0" borderId="3" xfId="0" applyNumberFormat="1" applyFont="1" applyFill="1" applyBorder="1" applyAlignment="1">
      <alignment horizontal="center" vertical="center"/>
    </xf>
    <xf numFmtId="182" fontId="19" fillId="0" borderId="2" xfId="0" applyNumberFormat="1" applyFont="1" applyFill="1" applyBorder="1" applyAlignment="1">
      <alignment horizontal="center" vertical="center"/>
    </xf>
    <xf numFmtId="182" fontId="19" fillId="0" borderId="3" xfId="0" applyNumberFormat="1" applyFont="1" applyFill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center" vertical="center"/>
    </xf>
    <xf numFmtId="41" fontId="16" fillId="0" borderId="20" xfId="0" applyNumberFormat="1" applyFont="1" applyBorder="1" applyAlignment="1">
      <alignment horizontal="center" vertical="center"/>
    </xf>
    <xf numFmtId="182" fontId="16" fillId="0" borderId="1" xfId="0" applyNumberFormat="1" applyFont="1" applyFill="1" applyBorder="1" applyAlignment="1">
      <alignment horizontal="right" vertical="center"/>
    </xf>
    <xf numFmtId="182" fontId="16" fillId="0" borderId="2" xfId="0" applyNumberFormat="1" applyFont="1" applyFill="1" applyBorder="1" applyAlignment="1">
      <alignment horizontal="right" vertical="center"/>
    </xf>
    <xf numFmtId="182" fontId="16" fillId="0" borderId="3" xfId="0" applyNumberFormat="1" applyFont="1" applyFill="1" applyBorder="1" applyAlignment="1">
      <alignment horizontal="right" vertical="center"/>
    </xf>
    <xf numFmtId="198" fontId="16" fillId="0" borderId="2" xfId="0" applyNumberFormat="1" applyFont="1" applyFill="1" applyBorder="1" applyAlignment="1">
      <alignment horizontal="right" vertical="center"/>
    </xf>
    <xf numFmtId="198" fontId="16" fillId="0" borderId="3" xfId="0" applyNumberFormat="1" applyFont="1" applyFill="1" applyBorder="1" applyAlignment="1">
      <alignment horizontal="right" vertical="center"/>
    </xf>
    <xf numFmtId="199" fontId="16" fillId="0" borderId="2" xfId="0" applyNumberFormat="1" applyFont="1" applyFill="1" applyBorder="1" applyAlignment="1">
      <alignment horizontal="right" vertical="center"/>
    </xf>
    <xf numFmtId="199" fontId="16" fillId="0" borderId="3" xfId="0" applyNumberFormat="1" applyFont="1" applyFill="1" applyBorder="1" applyAlignment="1">
      <alignment horizontal="right" vertical="center"/>
    </xf>
    <xf numFmtId="43" fontId="16" fillId="0" borderId="2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3" fontId="19" fillId="0" borderId="2" xfId="0" applyNumberFormat="1" applyFont="1" applyFill="1" applyBorder="1" applyAlignment="1">
      <alignment horizontal="center" vertical="center"/>
    </xf>
    <xf numFmtId="43" fontId="19" fillId="0" borderId="3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3" fontId="25" fillId="0" borderId="2" xfId="0" applyNumberFormat="1" applyFont="1" applyFill="1" applyBorder="1" applyAlignment="1">
      <alignment horizontal="center" vertical="center"/>
    </xf>
    <xf numFmtId="43" fontId="25" fillId="0" borderId="3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87" fontId="17" fillId="0" borderId="0" xfId="0" applyNumberFormat="1" applyFont="1" applyFill="1" applyBorder="1" applyAlignment="1">
      <alignment horizontal="center" vertical="center"/>
    </xf>
    <xf numFmtId="187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top"/>
    </xf>
    <xf numFmtId="0" fontId="0" fillId="0" borderId="1" xfId="0" applyFill="1" applyBorder="1"/>
    <xf numFmtId="3" fontId="2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91" fontId="2" fillId="0" borderId="29" xfId="0" applyNumberFormat="1" applyFont="1" applyBorder="1" applyAlignment="1">
      <alignment horizontal="center" vertical="center" wrapText="1"/>
    </xf>
    <xf numFmtId="191" fontId="2" fillId="0" borderId="30" xfId="0" applyNumberFormat="1" applyFont="1" applyBorder="1" applyAlignment="1">
      <alignment horizontal="center" vertical="center" wrapText="1"/>
    </xf>
    <xf numFmtId="191" fontId="2" fillId="0" borderId="31" xfId="0" applyNumberFormat="1" applyFont="1" applyBorder="1" applyAlignment="1">
      <alignment horizontal="center" vertical="center" wrapText="1"/>
    </xf>
    <xf numFmtId="192" fontId="2" fillId="0" borderId="28" xfId="0" applyNumberFormat="1" applyFont="1" applyBorder="1" applyAlignment="1">
      <alignment horizontal="center" vertical="center" wrapText="1"/>
    </xf>
    <xf numFmtId="192" fontId="2" fillId="0" borderId="29" xfId="0" applyNumberFormat="1" applyFont="1" applyBorder="1" applyAlignment="1">
      <alignment horizontal="center" vertical="center" wrapText="1"/>
    </xf>
    <xf numFmtId="192" fontId="2" fillId="0" borderId="32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98" fontId="5" fillId="0" borderId="1" xfId="0" applyNumberFormat="1" applyFont="1" applyFill="1" applyBorder="1" applyAlignment="1">
      <alignment horizontal="center" vertical="center"/>
    </xf>
    <xf numFmtId="198" fontId="5" fillId="0" borderId="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02" fontId="25" fillId="0" borderId="1" xfId="0" applyNumberFormat="1" applyFont="1" applyBorder="1" applyAlignment="1">
      <alignment horizontal="center" vertical="center"/>
    </xf>
    <xf numFmtId="202" fontId="16" fillId="0" borderId="1" xfId="0" applyNumberFormat="1" applyFont="1" applyBorder="1" applyAlignment="1">
      <alignment horizontal="center" vertical="center"/>
    </xf>
    <xf numFmtId="203" fontId="16" fillId="0" borderId="1" xfId="0" applyNumberFormat="1" applyFont="1" applyBorder="1" applyAlignment="1">
      <alignment horizontal="center" vertical="center"/>
    </xf>
    <xf numFmtId="182" fontId="16" fillId="0" borderId="1" xfId="0" applyNumberFormat="1" applyFont="1" applyBorder="1" applyAlignment="1">
      <alignment horizontal="center" vertical="center"/>
    </xf>
    <xf numFmtId="201" fontId="16" fillId="0" borderId="1" xfId="0" applyNumberFormat="1" applyFont="1" applyBorder="1" applyAlignment="1">
      <alignment horizontal="center" vertical="center"/>
    </xf>
    <xf numFmtId="198" fontId="16" fillId="0" borderId="1" xfId="0" applyNumberFormat="1" applyFont="1" applyBorder="1" applyAlignment="1">
      <alignment horizontal="center" vertical="center"/>
    </xf>
    <xf numFmtId="198" fontId="16" fillId="0" borderId="13" xfId="0" applyNumberFormat="1" applyFont="1" applyBorder="1" applyAlignment="1">
      <alignment horizontal="center" vertical="center"/>
    </xf>
    <xf numFmtId="198" fontId="16" fillId="0" borderId="14" xfId="0" applyNumberFormat="1" applyFont="1" applyBorder="1" applyAlignment="1">
      <alignment horizontal="center" vertical="center"/>
    </xf>
    <xf numFmtId="198" fontId="16" fillId="0" borderId="16" xfId="0" applyNumberFormat="1" applyFont="1" applyBorder="1" applyAlignment="1">
      <alignment horizontal="center" vertical="center"/>
    </xf>
    <xf numFmtId="198" fontId="16" fillId="0" borderId="19" xfId="0" applyNumberFormat="1" applyFont="1" applyBorder="1" applyAlignment="1">
      <alignment horizontal="center" vertical="center"/>
    </xf>
    <xf numFmtId="198" fontId="16" fillId="0" borderId="20" xfId="0" applyNumberFormat="1" applyFont="1" applyBorder="1" applyAlignment="1">
      <alignment horizontal="center" vertical="center"/>
    </xf>
    <xf numFmtId="198" fontId="16" fillId="0" borderId="2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98" fontId="2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9">
    <cellStyle name="쉼표 [0]" xfId="1" builtinId="6"/>
    <cellStyle name="콤마 [0]_As65.xls Chart 1" xfId="2"/>
    <cellStyle name="콤마_As65.xls Chart 1" xfId="3"/>
    <cellStyle name="표준" xfId="0" builtinId="0"/>
    <cellStyle name="Comma [0]_MATERAL2" xfId="4"/>
    <cellStyle name="Comma_MATERAL2" xfId="5"/>
    <cellStyle name="Currency [0]_MATERAL2" xfId="6"/>
    <cellStyle name="Currency_MATERAL2" xfId="7"/>
    <cellStyle name="Normal_Certs Q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ko-KR"/>
  <c:chart>
    <c:plotArea>
      <c:layout>
        <c:manualLayout>
          <c:layoutTarget val="inner"/>
          <c:xMode val="edge"/>
          <c:yMode val="edge"/>
          <c:x val="1.0319917440660475E-2"/>
          <c:y val="1.6920473773265759E-2"/>
          <c:w val="0.97936016511867907"/>
          <c:h val="0.96615905245347478"/>
        </c:manualLayout>
      </c:layout>
      <c:barChart>
        <c:barDir val="col"/>
        <c:grouping val="clustered"/>
        <c:axId val="62422016"/>
        <c:axId val="62616320"/>
      </c:barChart>
      <c:catAx>
        <c:axId val="62422016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62616320"/>
        <c:crosses val="autoZero"/>
        <c:auto val="1"/>
        <c:lblAlgn val="ctr"/>
        <c:lblOffset val="100"/>
        <c:tickMarkSkip val="1"/>
      </c:catAx>
      <c:valAx>
        <c:axId val="62616320"/>
        <c:scaling>
          <c:orientation val="minMax"/>
        </c:scaling>
        <c:axPos val="l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62422016"/>
        <c:crosses val="autoZero"/>
        <c:crossBetween val="between"/>
      </c:valAx>
      <c:spPr>
        <a:noFill/>
        <a:ln w="25400">
          <a:noFill/>
        </a:ln>
      </c:spPr>
    </c:plotArea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10</xdr:row>
      <xdr:rowOff>0</xdr:rowOff>
    </xdr:from>
    <xdr:to>
      <xdr:col>9</xdr:col>
      <xdr:colOff>257175</xdr:colOff>
      <xdr:row>10</xdr:row>
      <xdr:rowOff>0</xdr:rowOff>
    </xdr:to>
    <xdr:cxnSp macro="">
      <xdr:nvCxnSpPr>
        <xdr:cNvPr id="144463" name="직선 화살표 연결선 6"/>
        <xdr:cNvCxnSpPr>
          <a:cxnSpLocks noChangeShapeType="1"/>
        </xdr:cNvCxnSpPr>
      </xdr:nvCxnSpPr>
      <xdr:spPr bwMode="auto">
        <a:xfrm>
          <a:off x="1552575" y="28575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10</xdr:row>
      <xdr:rowOff>0</xdr:rowOff>
    </xdr:from>
    <xdr:to>
      <xdr:col>14</xdr:col>
      <xdr:colOff>238125</xdr:colOff>
      <xdr:row>10</xdr:row>
      <xdr:rowOff>0</xdr:rowOff>
    </xdr:to>
    <xdr:cxnSp macro="">
      <xdr:nvCxnSpPr>
        <xdr:cNvPr id="144464" name="직선 화살표 연결선 7"/>
        <xdr:cNvCxnSpPr>
          <a:cxnSpLocks noChangeShapeType="1"/>
        </xdr:cNvCxnSpPr>
      </xdr:nvCxnSpPr>
      <xdr:spPr bwMode="auto">
        <a:xfrm>
          <a:off x="3095625" y="2857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15</xdr:col>
      <xdr:colOff>9525</xdr:colOff>
      <xdr:row>10</xdr:row>
      <xdr:rowOff>0</xdr:rowOff>
    </xdr:from>
    <xdr:to>
      <xdr:col>19</xdr:col>
      <xdr:colOff>238125</xdr:colOff>
      <xdr:row>10</xdr:row>
      <xdr:rowOff>0</xdr:rowOff>
    </xdr:to>
    <xdr:cxnSp macro="">
      <xdr:nvCxnSpPr>
        <xdr:cNvPr id="144465" name="직선 화살표 연결선 11"/>
        <xdr:cNvCxnSpPr>
          <a:cxnSpLocks noChangeShapeType="1"/>
        </xdr:cNvCxnSpPr>
      </xdr:nvCxnSpPr>
      <xdr:spPr bwMode="auto">
        <a:xfrm>
          <a:off x="4619625" y="2857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304800</xdr:colOff>
      <xdr:row>10</xdr:row>
      <xdr:rowOff>0</xdr:rowOff>
    </xdr:from>
    <xdr:to>
      <xdr:col>19</xdr:col>
      <xdr:colOff>304800</xdr:colOff>
      <xdr:row>11</xdr:row>
      <xdr:rowOff>209550</xdr:rowOff>
    </xdr:to>
    <xdr:cxnSp macro="">
      <xdr:nvCxnSpPr>
        <xdr:cNvPr id="144466" name="직선 화살표 연결선 12"/>
        <xdr:cNvCxnSpPr>
          <a:cxnSpLocks noChangeShapeType="1"/>
        </xdr:cNvCxnSpPr>
      </xdr:nvCxnSpPr>
      <xdr:spPr bwMode="auto">
        <a:xfrm rot="5400000">
          <a:off x="5886450" y="310515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20</xdr:col>
      <xdr:colOff>0</xdr:colOff>
      <xdr:row>10</xdr:row>
      <xdr:rowOff>0</xdr:rowOff>
    </xdr:from>
    <xdr:to>
      <xdr:col>24</xdr:col>
      <xdr:colOff>228600</xdr:colOff>
      <xdr:row>10</xdr:row>
      <xdr:rowOff>0</xdr:rowOff>
    </xdr:to>
    <xdr:cxnSp macro="">
      <xdr:nvCxnSpPr>
        <xdr:cNvPr id="144467" name="직선 화살표 연결선 13"/>
        <xdr:cNvCxnSpPr>
          <a:cxnSpLocks noChangeShapeType="1"/>
        </xdr:cNvCxnSpPr>
      </xdr:nvCxnSpPr>
      <xdr:spPr bwMode="auto">
        <a:xfrm>
          <a:off x="6134100" y="2857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25</xdr:col>
      <xdr:colOff>9525</xdr:colOff>
      <xdr:row>10</xdr:row>
      <xdr:rowOff>0</xdr:rowOff>
    </xdr:from>
    <xdr:to>
      <xdr:col>29</xdr:col>
      <xdr:colOff>238125</xdr:colOff>
      <xdr:row>10</xdr:row>
      <xdr:rowOff>0</xdr:rowOff>
    </xdr:to>
    <xdr:cxnSp macro="">
      <xdr:nvCxnSpPr>
        <xdr:cNvPr id="144468" name="직선 화살표 연결선 15"/>
        <xdr:cNvCxnSpPr>
          <a:cxnSpLocks noChangeShapeType="1"/>
        </xdr:cNvCxnSpPr>
      </xdr:nvCxnSpPr>
      <xdr:spPr bwMode="auto">
        <a:xfrm>
          <a:off x="7667625" y="2857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30</xdr:col>
      <xdr:colOff>9525</xdr:colOff>
      <xdr:row>10</xdr:row>
      <xdr:rowOff>0</xdr:rowOff>
    </xdr:from>
    <xdr:to>
      <xdr:col>34</xdr:col>
      <xdr:colOff>257175</xdr:colOff>
      <xdr:row>10</xdr:row>
      <xdr:rowOff>0</xdr:rowOff>
    </xdr:to>
    <xdr:cxnSp macro="">
      <xdr:nvCxnSpPr>
        <xdr:cNvPr id="144469" name="직선 화살표 연결선 17"/>
        <xdr:cNvCxnSpPr>
          <a:cxnSpLocks noChangeShapeType="1"/>
        </xdr:cNvCxnSpPr>
      </xdr:nvCxnSpPr>
      <xdr:spPr bwMode="auto">
        <a:xfrm>
          <a:off x="9191625" y="2857500"/>
          <a:ext cx="1466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37</xdr:row>
      <xdr:rowOff>0</xdr:rowOff>
    </xdr:from>
    <xdr:to>
      <xdr:col>9</xdr:col>
      <xdr:colOff>257175</xdr:colOff>
      <xdr:row>37</xdr:row>
      <xdr:rowOff>0</xdr:rowOff>
    </xdr:to>
    <xdr:cxnSp macro="">
      <xdr:nvCxnSpPr>
        <xdr:cNvPr id="144470" name="직선 화살표 연결선 32"/>
        <xdr:cNvCxnSpPr>
          <a:cxnSpLocks noChangeShapeType="1"/>
        </xdr:cNvCxnSpPr>
      </xdr:nvCxnSpPr>
      <xdr:spPr bwMode="auto">
        <a:xfrm>
          <a:off x="1552575" y="105727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28575</xdr:colOff>
      <xdr:row>37</xdr:row>
      <xdr:rowOff>0</xdr:rowOff>
    </xdr:from>
    <xdr:to>
      <xdr:col>18</xdr:col>
      <xdr:colOff>257175</xdr:colOff>
      <xdr:row>37</xdr:row>
      <xdr:rowOff>0</xdr:rowOff>
    </xdr:to>
    <xdr:cxnSp macro="">
      <xdr:nvCxnSpPr>
        <xdr:cNvPr id="144471" name="직선 화살표 연결선 44"/>
        <xdr:cNvCxnSpPr>
          <a:cxnSpLocks noChangeShapeType="1"/>
        </xdr:cNvCxnSpPr>
      </xdr:nvCxnSpPr>
      <xdr:spPr bwMode="auto">
        <a:xfrm>
          <a:off x="4333875" y="105727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64</xdr:row>
      <xdr:rowOff>0</xdr:rowOff>
    </xdr:from>
    <xdr:to>
      <xdr:col>9</xdr:col>
      <xdr:colOff>257175</xdr:colOff>
      <xdr:row>64</xdr:row>
      <xdr:rowOff>0</xdr:rowOff>
    </xdr:to>
    <xdr:cxnSp macro="">
      <xdr:nvCxnSpPr>
        <xdr:cNvPr id="144472" name="직선 화살표 연결선 32"/>
        <xdr:cNvCxnSpPr>
          <a:cxnSpLocks noChangeShapeType="1"/>
        </xdr:cNvCxnSpPr>
      </xdr:nvCxnSpPr>
      <xdr:spPr bwMode="auto">
        <a:xfrm>
          <a:off x="1552575" y="182880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64</xdr:row>
      <xdr:rowOff>0</xdr:rowOff>
    </xdr:from>
    <xdr:to>
      <xdr:col>14</xdr:col>
      <xdr:colOff>238125</xdr:colOff>
      <xdr:row>64</xdr:row>
      <xdr:rowOff>0</xdr:rowOff>
    </xdr:to>
    <xdr:cxnSp macro="">
      <xdr:nvCxnSpPr>
        <xdr:cNvPr id="144473" name="직선 화살표 연결선 45"/>
        <xdr:cNvCxnSpPr>
          <a:cxnSpLocks noChangeShapeType="1"/>
        </xdr:cNvCxnSpPr>
      </xdr:nvCxnSpPr>
      <xdr:spPr bwMode="auto">
        <a:xfrm>
          <a:off x="3095625" y="182880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15</xdr:col>
      <xdr:colOff>19050</xdr:colOff>
      <xdr:row>64</xdr:row>
      <xdr:rowOff>0</xdr:rowOff>
    </xdr:from>
    <xdr:to>
      <xdr:col>19</xdr:col>
      <xdr:colOff>247650</xdr:colOff>
      <xdr:row>64</xdr:row>
      <xdr:rowOff>0</xdr:rowOff>
    </xdr:to>
    <xdr:cxnSp macro="">
      <xdr:nvCxnSpPr>
        <xdr:cNvPr id="144474" name="직선 화살표 연결선 45"/>
        <xdr:cNvCxnSpPr>
          <a:cxnSpLocks noChangeShapeType="1"/>
        </xdr:cNvCxnSpPr>
      </xdr:nvCxnSpPr>
      <xdr:spPr bwMode="auto">
        <a:xfrm>
          <a:off x="4629150" y="182880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91</xdr:row>
      <xdr:rowOff>0</xdr:rowOff>
    </xdr:from>
    <xdr:to>
      <xdr:col>9</xdr:col>
      <xdr:colOff>257175</xdr:colOff>
      <xdr:row>91</xdr:row>
      <xdr:rowOff>0</xdr:rowOff>
    </xdr:to>
    <xdr:cxnSp macro="">
      <xdr:nvCxnSpPr>
        <xdr:cNvPr id="144475" name="직선 화살표 연결선 32"/>
        <xdr:cNvCxnSpPr>
          <a:cxnSpLocks noChangeShapeType="1"/>
        </xdr:cNvCxnSpPr>
      </xdr:nvCxnSpPr>
      <xdr:spPr bwMode="auto">
        <a:xfrm>
          <a:off x="1552575" y="231457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118</xdr:row>
      <xdr:rowOff>0</xdr:rowOff>
    </xdr:from>
    <xdr:to>
      <xdr:col>9</xdr:col>
      <xdr:colOff>257175</xdr:colOff>
      <xdr:row>118</xdr:row>
      <xdr:rowOff>0</xdr:rowOff>
    </xdr:to>
    <xdr:cxnSp macro="">
      <xdr:nvCxnSpPr>
        <xdr:cNvPr id="144476" name="직선 화살표 연결선 32"/>
        <xdr:cNvCxnSpPr>
          <a:cxnSpLocks noChangeShapeType="1"/>
        </xdr:cNvCxnSpPr>
      </xdr:nvCxnSpPr>
      <xdr:spPr bwMode="auto">
        <a:xfrm>
          <a:off x="1552575" y="260032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118</xdr:row>
      <xdr:rowOff>0</xdr:rowOff>
    </xdr:from>
    <xdr:to>
      <xdr:col>14</xdr:col>
      <xdr:colOff>238125</xdr:colOff>
      <xdr:row>118</xdr:row>
      <xdr:rowOff>0</xdr:rowOff>
    </xdr:to>
    <xdr:cxnSp macro="">
      <xdr:nvCxnSpPr>
        <xdr:cNvPr id="144477" name="직선 화살표 연결선 32"/>
        <xdr:cNvCxnSpPr>
          <a:cxnSpLocks noChangeShapeType="1"/>
        </xdr:cNvCxnSpPr>
      </xdr:nvCxnSpPr>
      <xdr:spPr bwMode="auto">
        <a:xfrm>
          <a:off x="3095625" y="260032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145</xdr:row>
      <xdr:rowOff>0</xdr:rowOff>
    </xdr:from>
    <xdr:to>
      <xdr:col>9</xdr:col>
      <xdr:colOff>257175</xdr:colOff>
      <xdr:row>145</xdr:row>
      <xdr:rowOff>0</xdr:rowOff>
    </xdr:to>
    <xdr:cxnSp macro="">
      <xdr:nvCxnSpPr>
        <xdr:cNvPr id="144478" name="직선 화살표 연결선 32"/>
        <xdr:cNvCxnSpPr>
          <a:cxnSpLocks noChangeShapeType="1"/>
        </xdr:cNvCxnSpPr>
      </xdr:nvCxnSpPr>
      <xdr:spPr bwMode="auto">
        <a:xfrm>
          <a:off x="1552575" y="337185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28575</xdr:colOff>
      <xdr:row>145</xdr:row>
      <xdr:rowOff>0</xdr:rowOff>
    </xdr:from>
    <xdr:to>
      <xdr:col>18</xdr:col>
      <xdr:colOff>257175</xdr:colOff>
      <xdr:row>145</xdr:row>
      <xdr:rowOff>0</xdr:rowOff>
    </xdr:to>
    <xdr:cxnSp macro="">
      <xdr:nvCxnSpPr>
        <xdr:cNvPr id="144479" name="직선 화살표 연결선 44"/>
        <xdr:cNvCxnSpPr>
          <a:cxnSpLocks noChangeShapeType="1"/>
        </xdr:cNvCxnSpPr>
      </xdr:nvCxnSpPr>
      <xdr:spPr bwMode="auto">
        <a:xfrm>
          <a:off x="4333875" y="33718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172</xdr:row>
      <xdr:rowOff>0</xdr:rowOff>
    </xdr:from>
    <xdr:to>
      <xdr:col>9</xdr:col>
      <xdr:colOff>257175</xdr:colOff>
      <xdr:row>172</xdr:row>
      <xdr:rowOff>0</xdr:rowOff>
    </xdr:to>
    <xdr:cxnSp macro="">
      <xdr:nvCxnSpPr>
        <xdr:cNvPr id="144480" name="직선 화살표 연결선 32"/>
        <xdr:cNvCxnSpPr>
          <a:cxnSpLocks noChangeShapeType="1"/>
        </xdr:cNvCxnSpPr>
      </xdr:nvCxnSpPr>
      <xdr:spPr bwMode="auto">
        <a:xfrm>
          <a:off x="1552575" y="414337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19050</xdr:colOff>
      <xdr:row>172</xdr:row>
      <xdr:rowOff>0</xdr:rowOff>
    </xdr:from>
    <xdr:to>
      <xdr:col>14</xdr:col>
      <xdr:colOff>247650</xdr:colOff>
      <xdr:row>172</xdr:row>
      <xdr:rowOff>0</xdr:rowOff>
    </xdr:to>
    <xdr:cxnSp macro="">
      <xdr:nvCxnSpPr>
        <xdr:cNvPr id="144481" name="직선 화살표 연결선 32"/>
        <xdr:cNvCxnSpPr>
          <a:cxnSpLocks noChangeShapeType="1"/>
        </xdr:cNvCxnSpPr>
      </xdr:nvCxnSpPr>
      <xdr:spPr bwMode="auto">
        <a:xfrm>
          <a:off x="3105150" y="414337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172</xdr:row>
      <xdr:rowOff>0</xdr:rowOff>
    </xdr:from>
    <xdr:to>
      <xdr:col>10</xdr:col>
      <xdr:colOff>9525</xdr:colOff>
      <xdr:row>173</xdr:row>
      <xdr:rowOff>209550</xdr:rowOff>
    </xdr:to>
    <xdr:cxnSp macro="">
      <xdr:nvCxnSpPr>
        <xdr:cNvPr id="144482" name="직선 화살표 연결선 9"/>
        <xdr:cNvCxnSpPr>
          <a:cxnSpLocks noChangeShapeType="1"/>
        </xdr:cNvCxnSpPr>
      </xdr:nvCxnSpPr>
      <xdr:spPr bwMode="auto">
        <a:xfrm rot="5400000">
          <a:off x="2847975" y="4168140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0</xdr:colOff>
      <xdr:row>199</xdr:row>
      <xdr:rowOff>0</xdr:rowOff>
    </xdr:from>
    <xdr:to>
      <xdr:col>9</xdr:col>
      <xdr:colOff>228600</xdr:colOff>
      <xdr:row>199</xdr:row>
      <xdr:rowOff>0</xdr:rowOff>
    </xdr:to>
    <xdr:cxnSp macro="">
      <xdr:nvCxnSpPr>
        <xdr:cNvPr id="144483" name="직선 화살표 연결선 32"/>
        <xdr:cNvCxnSpPr>
          <a:cxnSpLocks noChangeShapeType="1"/>
        </xdr:cNvCxnSpPr>
      </xdr:nvCxnSpPr>
      <xdr:spPr bwMode="auto">
        <a:xfrm>
          <a:off x="1524000" y="491490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19050</xdr:colOff>
      <xdr:row>199</xdr:row>
      <xdr:rowOff>0</xdr:rowOff>
    </xdr:from>
    <xdr:to>
      <xdr:col>18</xdr:col>
      <xdr:colOff>247650</xdr:colOff>
      <xdr:row>199</xdr:row>
      <xdr:rowOff>0</xdr:rowOff>
    </xdr:to>
    <xdr:cxnSp macro="">
      <xdr:nvCxnSpPr>
        <xdr:cNvPr id="144484" name="직선 화살표 연결선 32"/>
        <xdr:cNvCxnSpPr>
          <a:cxnSpLocks noChangeShapeType="1"/>
        </xdr:cNvCxnSpPr>
      </xdr:nvCxnSpPr>
      <xdr:spPr bwMode="auto">
        <a:xfrm>
          <a:off x="4324350" y="491490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19050</xdr:colOff>
      <xdr:row>226</xdr:row>
      <xdr:rowOff>0</xdr:rowOff>
    </xdr:from>
    <xdr:to>
      <xdr:col>9</xdr:col>
      <xdr:colOff>247650</xdr:colOff>
      <xdr:row>226</xdr:row>
      <xdr:rowOff>0</xdr:rowOff>
    </xdr:to>
    <xdr:cxnSp macro="">
      <xdr:nvCxnSpPr>
        <xdr:cNvPr id="144485" name="직선 화살표 연결선 32"/>
        <xdr:cNvCxnSpPr>
          <a:cxnSpLocks noChangeShapeType="1"/>
        </xdr:cNvCxnSpPr>
      </xdr:nvCxnSpPr>
      <xdr:spPr bwMode="auto">
        <a:xfrm>
          <a:off x="1543050" y="568642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19050</xdr:colOff>
      <xdr:row>226</xdr:row>
      <xdr:rowOff>0</xdr:rowOff>
    </xdr:from>
    <xdr:to>
      <xdr:col>18</xdr:col>
      <xdr:colOff>247650</xdr:colOff>
      <xdr:row>226</xdr:row>
      <xdr:rowOff>0</xdr:rowOff>
    </xdr:to>
    <xdr:cxnSp macro="">
      <xdr:nvCxnSpPr>
        <xdr:cNvPr id="144486" name="직선 화살표 연결선 32"/>
        <xdr:cNvCxnSpPr>
          <a:cxnSpLocks noChangeShapeType="1"/>
        </xdr:cNvCxnSpPr>
      </xdr:nvCxnSpPr>
      <xdr:spPr bwMode="auto">
        <a:xfrm>
          <a:off x="4324350" y="568642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47625</xdr:colOff>
      <xdr:row>118</xdr:row>
      <xdr:rowOff>0</xdr:rowOff>
    </xdr:from>
    <xdr:to>
      <xdr:col>23</xdr:col>
      <xdr:colOff>276225</xdr:colOff>
      <xdr:row>118</xdr:row>
      <xdr:rowOff>0</xdr:rowOff>
    </xdr:to>
    <xdr:cxnSp macro="">
      <xdr:nvCxnSpPr>
        <xdr:cNvPr id="144487" name="직선 화살표 연결선 32"/>
        <xdr:cNvCxnSpPr>
          <a:cxnSpLocks noChangeShapeType="1"/>
        </xdr:cNvCxnSpPr>
      </xdr:nvCxnSpPr>
      <xdr:spPr bwMode="auto">
        <a:xfrm>
          <a:off x="5876925" y="260032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285750</xdr:colOff>
      <xdr:row>172</xdr:row>
      <xdr:rowOff>0</xdr:rowOff>
    </xdr:from>
    <xdr:to>
      <xdr:col>19</xdr:col>
      <xdr:colOff>228600</xdr:colOff>
      <xdr:row>172</xdr:row>
      <xdr:rowOff>0</xdr:rowOff>
    </xdr:to>
    <xdr:cxnSp macro="">
      <xdr:nvCxnSpPr>
        <xdr:cNvPr id="144488" name="직선 화살표 연결선 32"/>
        <xdr:cNvCxnSpPr>
          <a:cxnSpLocks noChangeShapeType="1"/>
        </xdr:cNvCxnSpPr>
      </xdr:nvCxnSpPr>
      <xdr:spPr bwMode="auto">
        <a:xfrm>
          <a:off x="4591050" y="41433750"/>
          <a:ext cx="1466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295275</xdr:colOff>
      <xdr:row>172</xdr:row>
      <xdr:rowOff>0</xdr:rowOff>
    </xdr:from>
    <xdr:to>
      <xdr:col>24</xdr:col>
      <xdr:colOff>238125</xdr:colOff>
      <xdr:row>172</xdr:row>
      <xdr:rowOff>0</xdr:rowOff>
    </xdr:to>
    <xdr:cxnSp macro="">
      <xdr:nvCxnSpPr>
        <xdr:cNvPr id="144489" name="직선 화살표 연결선 32"/>
        <xdr:cNvCxnSpPr>
          <a:cxnSpLocks noChangeShapeType="1"/>
        </xdr:cNvCxnSpPr>
      </xdr:nvCxnSpPr>
      <xdr:spPr bwMode="auto">
        <a:xfrm>
          <a:off x="6124575" y="41433750"/>
          <a:ext cx="1466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295275</xdr:colOff>
      <xdr:row>172</xdr:row>
      <xdr:rowOff>0</xdr:rowOff>
    </xdr:from>
    <xdr:to>
      <xdr:col>14</xdr:col>
      <xdr:colOff>295275</xdr:colOff>
      <xdr:row>173</xdr:row>
      <xdr:rowOff>209550</xdr:rowOff>
    </xdr:to>
    <xdr:cxnSp macro="">
      <xdr:nvCxnSpPr>
        <xdr:cNvPr id="144490" name="직선 화살표 연결선 9"/>
        <xdr:cNvCxnSpPr>
          <a:cxnSpLocks noChangeShapeType="1"/>
        </xdr:cNvCxnSpPr>
      </xdr:nvCxnSpPr>
      <xdr:spPr bwMode="auto">
        <a:xfrm rot="5400000">
          <a:off x="4352925" y="4168140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28575</xdr:colOff>
      <xdr:row>226</xdr:row>
      <xdr:rowOff>0</xdr:rowOff>
    </xdr:from>
    <xdr:to>
      <xdr:col>23</xdr:col>
      <xdr:colOff>219075</xdr:colOff>
      <xdr:row>226</xdr:row>
      <xdr:rowOff>0</xdr:rowOff>
    </xdr:to>
    <xdr:cxnSp macro="">
      <xdr:nvCxnSpPr>
        <xdr:cNvPr id="144491" name="직선 화살표 연결선 32"/>
        <xdr:cNvCxnSpPr>
          <a:cxnSpLocks noChangeShapeType="1"/>
        </xdr:cNvCxnSpPr>
      </xdr:nvCxnSpPr>
      <xdr:spPr bwMode="auto">
        <a:xfrm>
          <a:off x="5857875" y="56864250"/>
          <a:ext cx="1409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19050</xdr:colOff>
      <xdr:row>226</xdr:row>
      <xdr:rowOff>0</xdr:rowOff>
    </xdr:from>
    <xdr:to>
      <xdr:col>19</xdr:col>
      <xdr:colOff>19050</xdr:colOff>
      <xdr:row>227</xdr:row>
      <xdr:rowOff>209550</xdr:rowOff>
    </xdr:to>
    <xdr:cxnSp macro="">
      <xdr:nvCxnSpPr>
        <xdr:cNvPr id="144492" name="직선 화살표 연결선 9"/>
        <xdr:cNvCxnSpPr>
          <a:cxnSpLocks noChangeShapeType="1"/>
        </xdr:cNvCxnSpPr>
      </xdr:nvCxnSpPr>
      <xdr:spPr bwMode="auto">
        <a:xfrm rot="5400000">
          <a:off x="5600700" y="5711190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35</xdr:col>
      <xdr:colOff>9525</xdr:colOff>
      <xdr:row>9</xdr:row>
      <xdr:rowOff>276225</xdr:rowOff>
    </xdr:from>
    <xdr:to>
      <xdr:col>35</xdr:col>
      <xdr:colOff>9525</xdr:colOff>
      <xdr:row>11</xdr:row>
      <xdr:rowOff>200025</xdr:rowOff>
    </xdr:to>
    <xdr:cxnSp macro="">
      <xdr:nvCxnSpPr>
        <xdr:cNvPr id="144493" name="직선 화살표 연결선 16"/>
        <xdr:cNvCxnSpPr>
          <a:cxnSpLocks noChangeShapeType="1"/>
        </xdr:cNvCxnSpPr>
      </xdr:nvCxnSpPr>
      <xdr:spPr bwMode="auto">
        <a:xfrm rot="5400000">
          <a:off x="10467975" y="3095625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30</xdr:col>
      <xdr:colOff>28575</xdr:colOff>
      <xdr:row>5</xdr:row>
      <xdr:rowOff>9525</xdr:rowOff>
    </xdr:from>
    <xdr:to>
      <xdr:col>35</xdr:col>
      <xdr:colOff>9525</xdr:colOff>
      <xdr:row>5</xdr:row>
      <xdr:rowOff>9525</xdr:rowOff>
    </xdr:to>
    <xdr:cxnSp macro="">
      <xdr:nvCxnSpPr>
        <xdr:cNvPr id="144494" name="직선 화살표 연결선 45"/>
        <xdr:cNvCxnSpPr>
          <a:cxnSpLocks noChangeShapeType="1"/>
        </xdr:cNvCxnSpPr>
      </xdr:nvCxnSpPr>
      <xdr:spPr bwMode="auto">
        <a:xfrm rot="10800000">
          <a:off x="9210675" y="1438275"/>
          <a:ext cx="1504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35</xdr:col>
      <xdr:colOff>9525</xdr:colOff>
      <xdr:row>5</xdr:row>
      <xdr:rowOff>85725</xdr:rowOff>
    </xdr:from>
    <xdr:to>
      <xdr:col>35</xdr:col>
      <xdr:colOff>9525</xdr:colOff>
      <xdr:row>9</xdr:row>
      <xdr:rowOff>276225</xdr:rowOff>
    </xdr:to>
    <xdr:cxnSp macro="">
      <xdr:nvCxnSpPr>
        <xdr:cNvPr id="144495" name="직선 화살표 연결선 47"/>
        <xdr:cNvCxnSpPr>
          <a:cxnSpLocks noChangeShapeType="1"/>
        </xdr:cNvCxnSpPr>
      </xdr:nvCxnSpPr>
      <xdr:spPr bwMode="auto">
        <a:xfrm rot="5400000" flipH="1" flipV="1">
          <a:off x="10048875" y="21812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28575</xdr:colOff>
      <xdr:row>64</xdr:row>
      <xdr:rowOff>9525</xdr:rowOff>
    </xdr:from>
    <xdr:to>
      <xdr:col>28</xdr:col>
      <xdr:colOff>257175</xdr:colOff>
      <xdr:row>64</xdr:row>
      <xdr:rowOff>9525</xdr:rowOff>
    </xdr:to>
    <xdr:cxnSp macro="">
      <xdr:nvCxnSpPr>
        <xdr:cNvPr id="144496" name="직선 화살표 연결선 45"/>
        <xdr:cNvCxnSpPr>
          <a:cxnSpLocks noChangeShapeType="1"/>
        </xdr:cNvCxnSpPr>
      </xdr:nvCxnSpPr>
      <xdr:spPr bwMode="auto">
        <a:xfrm>
          <a:off x="7381875" y="18297525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35</xdr:col>
      <xdr:colOff>9525</xdr:colOff>
      <xdr:row>58</xdr:row>
      <xdr:rowOff>276225</xdr:rowOff>
    </xdr:from>
    <xdr:to>
      <xdr:col>35</xdr:col>
      <xdr:colOff>9525</xdr:colOff>
      <xdr:row>62</xdr:row>
      <xdr:rowOff>247650</xdr:rowOff>
    </xdr:to>
    <xdr:cxnSp macro="">
      <xdr:nvCxnSpPr>
        <xdr:cNvPr id="144497" name="직선 화살표 연결선 57"/>
        <xdr:cNvCxnSpPr>
          <a:cxnSpLocks noChangeShapeType="1"/>
        </xdr:cNvCxnSpPr>
      </xdr:nvCxnSpPr>
      <xdr:spPr bwMode="auto">
        <a:xfrm rot="5400000" flipH="1" flipV="1">
          <a:off x="10158412" y="17406938"/>
          <a:ext cx="1114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21</xdr:col>
      <xdr:colOff>304800</xdr:colOff>
      <xdr:row>59</xdr:row>
      <xdr:rowOff>0</xdr:rowOff>
    </xdr:from>
    <xdr:to>
      <xdr:col>22</xdr:col>
      <xdr:colOff>0</xdr:colOff>
      <xdr:row>60</xdr:row>
      <xdr:rowOff>257175</xdr:rowOff>
    </xdr:to>
    <xdr:cxnSp macro="">
      <xdr:nvCxnSpPr>
        <xdr:cNvPr id="144498" name="직선 화살표 연결선 59"/>
        <xdr:cNvCxnSpPr>
          <a:cxnSpLocks noChangeShapeType="1"/>
        </xdr:cNvCxnSpPr>
      </xdr:nvCxnSpPr>
      <xdr:spPr bwMode="auto">
        <a:xfrm rot="5400000" flipH="1" flipV="1">
          <a:off x="6472237" y="17130713"/>
          <a:ext cx="542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25</xdr:col>
      <xdr:colOff>9525</xdr:colOff>
      <xdr:row>10</xdr:row>
      <xdr:rowOff>9525</xdr:rowOff>
    </xdr:from>
    <xdr:to>
      <xdr:col>25</xdr:col>
      <xdr:colOff>9525</xdr:colOff>
      <xdr:row>11</xdr:row>
      <xdr:rowOff>247650</xdr:rowOff>
    </xdr:to>
    <xdr:cxnSp macro="">
      <xdr:nvCxnSpPr>
        <xdr:cNvPr id="144499" name="직선 화살표 연결선 61"/>
        <xdr:cNvCxnSpPr>
          <a:cxnSpLocks noChangeShapeType="1"/>
        </xdr:cNvCxnSpPr>
      </xdr:nvCxnSpPr>
      <xdr:spPr bwMode="auto">
        <a:xfrm rot="5400000">
          <a:off x="7405687" y="3128963"/>
          <a:ext cx="523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30</xdr:col>
      <xdr:colOff>19050</xdr:colOff>
      <xdr:row>10</xdr:row>
      <xdr:rowOff>0</xdr:rowOff>
    </xdr:from>
    <xdr:to>
      <xdr:col>30</xdr:col>
      <xdr:colOff>19050</xdr:colOff>
      <xdr:row>11</xdr:row>
      <xdr:rowOff>247650</xdr:rowOff>
    </xdr:to>
    <xdr:cxnSp macro="">
      <xdr:nvCxnSpPr>
        <xdr:cNvPr id="144500" name="직선 화살표 연결선 63"/>
        <xdr:cNvCxnSpPr>
          <a:cxnSpLocks noChangeShapeType="1"/>
        </xdr:cNvCxnSpPr>
      </xdr:nvCxnSpPr>
      <xdr:spPr bwMode="auto">
        <a:xfrm rot="5400000">
          <a:off x="8934450" y="3124200"/>
          <a:ext cx="533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9525</xdr:colOff>
      <xdr:row>11</xdr:row>
      <xdr:rowOff>247650</xdr:rowOff>
    </xdr:to>
    <xdr:cxnSp macro="">
      <xdr:nvCxnSpPr>
        <xdr:cNvPr id="144501" name="직선 화살표 연결선 64"/>
        <xdr:cNvCxnSpPr>
          <a:cxnSpLocks noChangeShapeType="1"/>
        </xdr:cNvCxnSpPr>
      </xdr:nvCxnSpPr>
      <xdr:spPr bwMode="auto">
        <a:xfrm rot="5400000">
          <a:off x="4357687" y="3128963"/>
          <a:ext cx="523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10</xdr:row>
      <xdr:rowOff>9525</xdr:rowOff>
    </xdr:from>
    <xdr:to>
      <xdr:col>10</xdr:col>
      <xdr:colOff>9525</xdr:colOff>
      <xdr:row>11</xdr:row>
      <xdr:rowOff>247650</xdr:rowOff>
    </xdr:to>
    <xdr:cxnSp macro="">
      <xdr:nvCxnSpPr>
        <xdr:cNvPr id="144502" name="직선 화살표 연결선 65"/>
        <xdr:cNvCxnSpPr>
          <a:cxnSpLocks noChangeShapeType="1"/>
        </xdr:cNvCxnSpPr>
      </xdr:nvCxnSpPr>
      <xdr:spPr bwMode="auto">
        <a:xfrm rot="5400000">
          <a:off x="2833687" y="3128963"/>
          <a:ext cx="523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64</xdr:row>
      <xdr:rowOff>0</xdr:rowOff>
    </xdr:from>
    <xdr:to>
      <xdr:col>10</xdr:col>
      <xdr:colOff>9525</xdr:colOff>
      <xdr:row>65</xdr:row>
      <xdr:rowOff>276225</xdr:rowOff>
    </xdr:to>
    <xdr:cxnSp macro="">
      <xdr:nvCxnSpPr>
        <xdr:cNvPr id="144503" name="직선 화살표 연결선 69"/>
        <xdr:cNvCxnSpPr>
          <a:cxnSpLocks noChangeShapeType="1"/>
        </xdr:cNvCxnSpPr>
      </xdr:nvCxnSpPr>
      <xdr:spPr bwMode="auto">
        <a:xfrm rot="5400000">
          <a:off x="2814637" y="18568988"/>
          <a:ext cx="561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15</xdr:col>
      <xdr:colOff>9525</xdr:colOff>
      <xdr:row>64</xdr:row>
      <xdr:rowOff>0</xdr:rowOff>
    </xdr:from>
    <xdr:to>
      <xdr:col>15</xdr:col>
      <xdr:colOff>9525</xdr:colOff>
      <xdr:row>65</xdr:row>
      <xdr:rowOff>276225</xdr:rowOff>
    </xdr:to>
    <xdr:cxnSp macro="">
      <xdr:nvCxnSpPr>
        <xdr:cNvPr id="144504" name="직선 화살표 연결선 70"/>
        <xdr:cNvCxnSpPr>
          <a:cxnSpLocks noChangeShapeType="1"/>
        </xdr:cNvCxnSpPr>
      </xdr:nvCxnSpPr>
      <xdr:spPr bwMode="auto">
        <a:xfrm rot="5400000">
          <a:off x="4338637" y="18568988"/>
          <a:ext cx="561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9525</xdr:colOff>
      <xdr:row>118</xdr:row>
      <xdr:rowOff>9525</xdr:rowOff>
    </xdr:from>
    <xdr:to>
      <xdr:col>28</xdr:col>
      <xdr:colOff>238125</xdr:colOff>
      <xdr:row>118</xdr:row>
      <xdr:rowOff>9525</xdr:rowOff>
    </xdr:to>
    <xdr:cxnSp macro="">
      <xdr:nvCxnSpPr>
        <xdr:cNvPr id="144505" name="직선 화살표 연결선 32"/>
        <xdr:cNvCxnSpPr>
          <a:cxnSpLocks noChangeShapeType="1"/>
        </xdr:cNvCxnSpPr>
      </xdr:nvCxnSpPr>
      <xdr:spPr bwMode="auto">
        <a:xfrm>
          <a:off x="7362825" y="26012775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</xdr:col>
      <xdr:colOff>304800</xdr:colOff>
      <xdr:row>112</xdr:row>
      <xdr:rowOff>9525</xdr:rowOff>
    </xdr:from>
    <xdr:to>
      <xdr:col>3</xdr:col>
      <xdr:colOff>0</xdr:colOff>
      <xdr:row>116</xdr:row>
      <xdr:rowOff>257175</xdr:rowOff>
    </xdr:to>
    <xdr:cxnSp macro="">
      <xdr:nvCxnSpPr>
        <xdr:cNvPr id="144506" name="직선 화살표 연결선 84"/>
        <xdr:cNvCxnSpPr>
          <a:cxnSpLocks noChangeShapeType="1"/>
        </xdr:cNvCxnSpPr>
      </xdr:nvCxnSpPr>
      <xdr:spPr bwMode="auto">
        <a:xfrm rot="5400000" flipH="1" flipV="1">
          <a:off x="219075" y="24993600"/>
          <a:ext cx="1390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</xdr:col>
      <xdr:colOff>9525</xdr:colOff>
      <xdr:row>112</xdr:row>
      <xdr:rowOff>0</xdr:rowOff>
    </xdr:from>
    <xdr:to>
      <xdr:col>7</xdr:col>
      <xdr:colOff>304800</xdr:colOff>
      <xdr:row>112</xdr:row>
      <xdr:rowOff>0</xdr:rowOff>
    </xdr:to>
    <xdr:cxnSp macro="">
      <xdr:nvCxnSpPr>
        <xdr:cNvPr id="144507" name="직선 화살표 연결선 86"/>
        <xdr:cNvCxnSpPr>
          <a:cxnSpLocks noChangeShapeType="1"/>
        </xdr:cNvCxnSpPr>
      </xdr:nvCxnSpPr>
      <xdr:spPr bwMode="auto">
        <a:xfrm>
          <a:off x="923925" y="24288750"/>
          <a:ext cx="1514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19050</xdr:colOff>
      <xdr:row>118</xdr:row>
      <xdr:rowOff>9525</xdr:rowOff>
    </xdr:from>
    <xdr:to>
      <xdr:col>24</xdr:col>
      <xdr:colOff>19050</xdr:colOff>
      <xdr:row>121</xdr:row>
      <xdr:rowOff>238125</xdr:rowOff>
    </xdr:to>
    <xdr:cxnSp macro="">
      <xdr:nvCxnSpPr>
        <xdr:cNvPr id="144508" name="직선 화살표 연결선 93"/>
        <xdr:cNvCxnSpPr>
          <a:cxnSpLocks noChangeShapeType="1"/>
        </xdr:cNvCxnSpPr>
      </xdr:nvCxnSpPr>
      <xdr:spPr bwMode="auto">
        <a:xfrm rot="5400000">
          <a:off x="6829425" y="26555700"/>
          <a:ext cx="1085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28575</xdr:colOff>
      <xdr:row>121</xdr:row>
      <xdr:rowOff>285750</xdr:rowOff>
    </xdr:from>
    <xdr:to>
      <xdr:col>26</xdr:col>
      <xdr:colOff>285750</xdr:colOff>
      <xdr:row>121</xdr:row>
      <xdr:rowOff>285750</xdr:rowOff>
    </xdr:to>
    <xdr:cxnSp macro="">
      <xdr:nvCxnSpPr>
        <xdr:cNvPr id="144509" name="직선 화살표 연결선 97"/>
        <xdr:cNvCxnSpPr>
          <a:cxnSpLocks noChangeShapeType="1"/>
        </xdr:cNvCxnSpPr>
      </xdr:nvCxnSpPr>
      <xdr:spPr bwMode="auto">
        <a:xfrm>
          <a:off x="7381875" y="27146250"/>
          <a:ext cx="866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31</xdr:col>
      <xdr:colOff>19050</xdr:colOff>
      <xdr:row>121</xdr:row>
      <xdr:rowOff>276225</xdr:rowOff>
    </xdr:from>
    <xdr:to>
      <xdr:col>35</xdr:col>
      <xdr:colOff>247650</xdr:colOff>
      <xdr:row>121</xdr:row>
      <xdr:rowOff>276225</xdr:rowOff>
    </xdr:to>
    <xdr:cxnSp macro="">
      <xdr:nvCxnSpPr>
        <xdr:cNvPr id="144510" name="직선 화살표 연결선 32"/>
        <xdr:cNvCxnSpPr>
          <a:cxnSpLocks noChangeShapeType="1"/>
        </xdr:cNvCxnSpPr>
      </xdr:nvCxnSpPr>
      <xdr:spPr bwMode="auto">
        <a:xfrm>
          <a:off x="9505950" y="27136725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304800</xdr:colOff>
      <xdr:row>172</xdr:row>
      <xdr:rowOff>0</xdr:rowOff>
    </xdr:from>
    <xdr:to>
      <xdr:col>29</xdr:col>
      <xdr:colOff>247650</xdr:colOff>
      <xdr:row>172</xdr:row>
      <xdr:rowOff>0</xdr:rowOff>
    </xdr:to>
    <xdr:cxnSp macro="">
      <xdr:nvCxnSpPr>
        <xdr:cNvPr id="144511" name="직선 화살표 연결선 32"/>
        <xdr:cNvCxnSpPr>
          <a:cxnSpLocks noChangeShapeType="1"/>
        </xdr:cNvCxnSpPr>
      </xdr:nvCxnSpPr>
      <xdr:spPr bwMode="auto">
        <a:xfrm>
          <a:off x="7658100" y="41433750"/>
          <a:ext cx="1466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304800</xdr:colOff>
      <xdr:row>172</xdr:row>
      <xdr:rowOff>0</xdr:rowOff>
    </xdr:from>
    <xdr:to>
      <xdr:col>24</xdr:col>
      <xdr:colOff>304800</xdr:colOff>
      <xdr:row>173</xdr:row>
      <xdr:rowOff>209550</xdr:rowOff>
    </xdr:to>
    <xdr:cxnSp macro="">
      <xdr:nvCxnSpPr>
        <xdr:cNvPr id="144512" name="직선 화살표 연결선 9"/>
        <xdr:cNvCxnSpPr>
          <a:cxnSpLocks noChangeShapeType="1"/>
        </xdr:cNvCxnSpPr>
      </xdr:nvCxnSpPr>
      <xdr:spPr bwMode="auto">
        <a:xfrm rot="5400000">
          <a:off x="7410450" y="4168140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23</xdr:col>
      <xdr:colOff>19050</xdr:colOff>
      <xdr:row>199</xdr:row>
      <xdr:rowOff>0</xdr:rowOff>
    </xdr:from>
    <xdr:to>
      <xdr:col>27</xdr:col>
      <xdr:colOff>247650</xdr:colOff>
      <xdr:row>199</xdr:row>
      <xdr:rowOff>0</xdr:rowOff>
    </xdr:to>
    <xdr:cxnSp macro="">
      <xdr:nvCxnSpPr>
        <xdr:cNvPr id="144513" name="직선 화살표 연결선 32"/>
        <xdr:cNvCxnSpPr>
          <a:cxnSpLocks noChangeShapeType="1"/>
        </xdr:cNvCxnSpPr>
      </xdr:nvCxnSpPr>
      <xdr:spPr bwMode="auto">
        <a:xfrm>
          <a:off x="7067550" y="491490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10</xdr:row>
      <xdr:rowOff>0</xdr:rowOff>
    </xdr:from>
    <xdr:to>
      <xdr:col>9</xdr:col>
      <xdr:colOff>257175</xdr:colOff>
      <xdr:row>10</xdr:row>
      <xdr:rowOff>0</xdr:rowOff>
    </xdr:to>
    <xdr:cxnSp macro="">
      <xdr:nvCxnSpPr>
        <xdr:cNvPr id="145483" name="직선 화살표 연결선 6"/>
        <xdr:cNvCxnSpPr>
          <a:cxnSpLocks noChangeShapeType="1"/>
        </xdr:cNvCxnSpPr>
      </xdr:nvCxnSpPr>
      <xdr:spPr bwMode="auto">
        <a:xfrm>
          <a:off x="1552575" y="28575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10</xdr:row>
      <xdr:rowOff>0</xdr:rowOff>
    </xdr:from>
    <xdr:to>
      <xdr:col>14</xdr:col>
      <xdr:colOff>238125</xdr:colOff>
      <xdr:row>10</xdr:row>
      <xdr:rowOff>0</xdr:rowOff>
    </xdr:to>
    <xdr:cxnSp macro="">
      <xdr:nvCxnSpPr>
        <xdr:cNvPr id="145484" name="직선 화살표 연결선 7"/>
        <xdr:cNvCxnSpPr>
          <a:cxnSpLocks noChangeShapeType="1"/>
        </xdr:cNvCxnSpPr>
      </xdr:nvCxnSpPr>
      <xdr:spPr bwMode="auto">
        <a:xfrm>
          <a:off x="3095625" y="2857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15</xdr:col>
      <xdr:colOff>9525</xdr:colOff>
      <xdr:row>10</xdr:row>
      <xdr:rowOff>0</xdr:rowOff>
    </xdr:from>
    <xdr:to>
      <xdr:col>19</xdr:col>
      <xdr:colOff>238125</xdr:colOff>
      <xdr:row>10</xdr:row>
      <xdr:rowOff>0</xdr:rowOff>
    </xdr:to>
    <xdr:cxnSp macro="">
      <xdr:nvCxnSpPr>
        <xdr:cNvPr id="145485" name="직선 화살표 연결선 11"/>
        <xdr:cNvCxnSpPr>
          <a:cxnSpLocks noChangeShapeType="1"/>
        </xdr:cNvCxnSpPr>
      </xdr:nvCxnSpPr>
      <xdr:spPr bwMode="auto">
        <a:xfrm>
          <a:off x="4619625" y="2857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304800</xdr:colOff>
      <xdr:row>10</xdr:row>
      <xdr:rowOff>0</xdr:rowOff>
    </xdr:from>
    <xdr:to>
      <xdr:col>19</xdr:col>
      <xdr:colOff>304800</xdr:colOff>
      <xdr:row>11</xdr:row>
      <xdr:rowOff>209550</xdr:rowOff>
    </xdr:to>
    <xdr:cxnSp macro="">
      <xdr:nvCxnSpPr>
        <xdr:cNvPr id="145486" name="직선 화살표 연결선 12"/>
        <xdr:cNvCxnSpPr>
          <a:cxnSpLocks noChangeShapeType="1"/>
        </xdr:cNvCxnSpPr>
      </xdr:nvCxnSpPr>
      <xdr:spPr bwMode="auto">
        <a:xfrm rot="5400000">
          <a:off x="5886450" y="310515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20</xdr:col>
      <xdr:colOff>0</xdr:colOff>
      <xdr:row>10</xdr:row>
      <xdr:rowOff>0</xdr:rowOff>
    </xdr:from>
    <xdr:to>
      <xdr:col>24</xdr:col>
      <xdr:colOff>228600</xdr:colOff>
      <xdr:row>10</xdr:row>
      <xdr:rowOff>0</xdr:rowOff>
    </xdr:to>
    <xdr:cxnSp macro="">
      <xdr:nvCxnSpPr>
        <xdr:cNvPr id="145487" name="직선 화살표 연결선 13"/>
        <xdr:cNvCxnSpPr>
          <a:cxnSpLocks noChangeShapeType="1"/>
        </xdr:cNvCxnSpPr>
      </xdr:nvCxnSpPr>
      <xdr:spPr bwMode="auto">
        <a:xfrm>
          <a:off x="6134100" y="2857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25</xdr:col>
      <xdr:colOff>9525</xdr:colOff>
      <xdr:row>10</xdr:row>
      <xdr:rowOff>0</xdr:rowOff>
    </xdr:from>
    <xdr:to>
      <xdr:col>29</xdr:col>
      <xdr:colOff>238125</xdr:colOff>
      <xdr:row>10</xdr:row>
      <xdr:rowOff>0</xdr:rowOff>
    </xdr:to>
    <xdr:cxnSp macro="">
      <xdr:nvCxnSpPr>
        <xdr:cNvPr id="145488" name="직선 화살표 연결선 15"/>
        <xdr:cNvCxnSpPr>
          <a:cxnSpLocks noChangeShapeType="1"/>
        </xdr:cNvCxnSpPr>
      </xdr:nvCxnSpPr>
      <xdr:spPr bwMode="auto">
        <a:xfrm>
          <a:off x="7667625" y="2857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30</xdr:col>
      <xdr:colOff>9525</xdr:colOff>
      <xdr:row>10</xdr:row>
      <xdr:rowOff>0</xdr:rowOff>
    </xdr:from>
    <xdr:to>
      <xdr:col>34</xdr:col>
      <xdr:colOff>257175</xdr:colOff>
      <xdr:row>10</xdr:row>
      <xdr:rowOff>0</xdr:rowOff>
    </xdr:to>
    <xdr:cxnSp macro="">
      <xdr:nvCxnSpPr>
        <xdr:cNvPr id="145489" name="직선 화살표 연결선 17"/>
        <xdr:cNvCxnSpPr>
          <a:cxnSpLocks noChangeShapeType="1"/>
        </xdr:cNvCxnSpPr>
      </xdr:nvCxnSpPr>
      <xdr:spPr bwMode="auto">
        <a:xfrm>
          <a:off x="9191625" y="2857500"/>
          <a:ext cx="1466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37</xdr:row>
      <xdr:rowOff>0</xdr:rowOff>
    </xdr:from>
    <xdr:to>
      <xdr:col>9</xdr:col>
      <xdr:colOff>257175</xdr:colOff>
      <xdr:row>37</xdr:row>
      <xdr:rowOff>0</xdr:rowOff>
    </xdr:to>
    <xdr:cxnSp macro="">
      <xdr:nvCxnSpPr>
        <xdr:cNvPr id="145490" name="직선 화살표 연결선 32"/>
        <xdr:cNvCxnSpPr>
          <a:cxnSpLocks noChangeShapeType="1"/>
        </xdr:cNvCxnSpPr>
      </xdr:nvCxnSpPr>
      <xdr:spPr bwMode="auto">
        <a:xfrm>
          <a:off x="1552575" y="105727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28575</xdr:colOff>
      <xdr:row>37</xdr:row>
      <xdr:rowOff>0</xdr:rowOff>
    </xdr:from>
    <xdr:to>
      <xdr:col>18</xdr:col>
      <xdr:colOff>257175</xdr:colOff>
      <xdr:row>37</xdr:row>
      <xdr:rowOff>0</xdr:rowOff>
    </xdr:to>
    <xdr:cxnSp macro="">
      <xdr:nvCxnSpPr>
        <xdr:cNvPr id="145491" name="직선 화살표 연결선 44"/>
        <xdr:cNvCxnSpPr>
          <a:cxnSpLocks noChangeShapeType="1"/>
        </xdr:cNvCxnSpPr>
      </xdr:nvCxnSpPr>
      <xdr:spPr bwMode="auto">
        <a:xfrm>
          <a:off x="4333875" y="105727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64</xdr:row>
      <xdr:rowOff>0</xdr:rowOff>
    </xdr:from>
    <xdr:to>
      <xdr:col>9</xdr:col>
      <xdr:colOff>257175</xdr:colOff>
      <xdr:row>64</xdr:row>
      <xdr:rowOff>0</xdr:rowOff>
    </xdr:to>
    <xdr:cxnSp macro="">
      <xdr:nvCxnSpPr>
        <xdr:cNvPr id="145492" name="직선 화살표 연결선 32"/>
        <xdr:cNvCxnSpPr>
          <a:cxnSpLocks noChangeShapeType="1"/>
        </xdr:cNvCxnSpPr>
      </xdr:nvCxnSpPr>
      <xdr:spPr bwMode="auto">
        <a:xfrm>
          <a:off x="1552575" y="182880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64</xdr:row>
      <xdr:rowOff>0</xdr:rowOff>
    </xdr:from>
    <xdr:to>
      <xdr:col>14</xdr:col>
      <xdr:colOff>238125</xdr:colOff>
      <xdr:row>64</xdr:row>
      <xdr:rowOff>0</xdr:rowOff>
    </xdr:to>
    <xdr:cxnSp macro="">
      <xdr:nvCxnSpPr>
        <xdr:cNvPr id="145493" name="직선 화살표 연결선 45"/>
        <xdr:cNvCxnSpPr>
          <a:cxnSpLocks noChangeShapeType="1"/>
        </xdr:cNvCxnSpPr>
      </xdr:nvCxnSpPr>
      <xdr:spPr bwMode="auto">
        <a:xfrm>
          <a:off x="3095625" y="182880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15</xdr:col>
      <xdr:colOff>19050</xdr:colOff>
      <xdr:row>64</xdr:row>
      <xdr:rowOff>0</xdr:rowOff>
    </xdr:from>
    <xdr:to>
      <xdr:col>19</xdr:col>
      <xdr:colOff>247650</xdr:colOff>
      <xdr:row>64</xdr:row>
      <xdr:rowOff>0</xdr:rowOff>
    </xdr:to>
    <xdr:cxnSp macro="">
      <xdr:nvCxnSpPr>
        <xdr:cNvPr id="145494" name="직선 화살표 연결선 45"/>
        <xdr:cNvCxnSpPr>
          <a:cxnSpLocks noChangeShapeType="1"/>
        </xdr:cNvCxnSpPr>
      </xdr:nvCxnSpPr>
      <xdr:spPr bwMode="auto">
        <a:xfrm>
          <a:off x="4629150" y="182880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91</xdr:row>
      <xdr:rowOff>0</xdr:rowOff>
    </xdr:from>
    <xdr:to>
      <xdr:col>9</xdr:col>
      <xdr:colOff>257175</xdr:colOff>
      <xdr:row>91</xdr:row>
      <xdr:rowOff>0</xdr:rowOff>
    </xdr:to>
    <xdr:cxnSp macro="">
      <xdr:nvCxnSpPr>
        <xdr:cNvPr id="145495" name="직선 화살표 연결선 32"/>
        <xdr:cNvCxnSpPr>
          <a:cxnSpLocks noChangeShapeType="1"/>
        </xdr:cNvCxnSpPr>
      </xdr:nvCxnSpPr>
      <xdr:spPr bwMode="auto">
        <a:xfrm>
          <a:off x="1552575" y="231457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118</xdr:row>
      <xdr:rowOff>0</xdr:rowOff>
    </xdr:from>
    <xdr:to>
      <xdr:col>9</xdr:col>
      <xdr:colOff>257175</xdr:colOff>
      <xdr:row>118</xdr:row>
      <xdr:rowOff>0</xdr:rowOff>
    </xdr:to>
    <xdr:cxnSp macro="">
      <xdr:nvCxnSpPr>
        <xdr:cNvPr id="145496" name="직선 화살표 연결선 32"/>
        <xdr:cNvCxnSpPr>
          <a:cxnSpLocks noChangeShapeType="1"/>
        </xdr:cNvCxnSpPr>
      </xdr:nvCxnSpPr>
      <xdr:spPr bwMode="auto">
        <a:xfrm>
          <a:off x="1552575" y="260032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118</xdr:row>
      <xdr:rowOff>0</xdr:rowOff>
    </xdr:from>
    <xdr:to>
      <xdr:col>14</xdr:col>
      <xdr:colOff>238125</xdr:colOff>
      <xdr:row>118</xdr:row>
      <xdr:rowOff>0</xdr:rowOff>
    </xdr:to>
    <xdr:cxnSp macro="">
      <xdr:nvCxnSpPr>
        <xdr:cNvPr id="145497" name="직선 화살표 연결선 32"/>
        <xdr:cNvCxnSpPr>
          <a:cxnSpLocks noChangeShapeType="1"/>
        </xdr:cNvCxnSpPr>
      </xdr:nvCxnSpPr>
      <xdr:spPr bwMode="auto">
        <a:xfrm>
          <a:off x="3095625" y="260032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145</xdr:row>
      <xdr:rowOff>0</xdr:rowOff>
    </xdr:from>
    <xdr:to>
      <xdr:col>9</xdr:col>
      <xdr:colOff>257175</xdr:colOff>
      <xdr:row>145</xdr:row>
      <xdr:rowOff>0</xdr:rowOff>
    </xdr:to>
    <xdr:cxnSp macro="">
      <xdr:nvCxnSpPr>
        <xdr:cNvPr id="145498" name="직선 화살표 연결선 32"/>
        <xdr:cNvCxnSpPr>
          <a:cxnSpLocks noChangeShapeType="1"/>
        </xdr:cNvCxnSpPr>
      </xdr:nvCxnSpPr>
      <xdr:spPr bwMode="auto">
        <a:xfrm>
          <a:off x="1552575" y="337185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28575</xdr:colOff>
      <xdr:row>145</xdr:row>
      <xdr:rowOff>0</xdr:rowOff>
    </xdr:from>
    <xdr:to>
      <xdr:col>18</xdr:col>
      <xdr:colOff>257175</xdr:colOff>
      <xdr:row>145</xdr:row>
      <xdr:rowOff>0</xdr:rowOff>
    </xdr:to>
    <xdr:cxnSp macro="">
      <xdr:nvCxnSpPr>
        <xdr:cNvPr id="145499" name="직선 화살표 연결선 44"/>
        <xdr:cNvCxnSpPr>
          <a:cxnSpLocks noChangeShapeType="1"/>
        </xdr:cNvCxnSpPr>
      </xdr:nvCxnSpPr>
      <xdr:spPr bwMode="auto">
        <a:xfrm>
          <a:off x="4333875" y="337185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28575</xdr:colOff>
      <xdr:row>172</xdr:row>
      <xdr:rowOff>0</xdr:rowOff>
    </xdr:from>
    <xdr:to>
      <xdr:col>9</xdr:col>
      <xdr:colOff>257175</xdr:colOff>
      <xdr:row>172</xdr:row>
      <xdr:rowOff>0</xdr:rowOff>
    </xdr:to>
    <xdr:cxnSp macro="">
      <xdr:nvCxnSpPr>
        <xdr:cNvPr id="145500" name="직선 화살표 연결선 32"/>
        <xdr:cNvCxnSpPr>
          <a:cxnSpLocks noChangeShapeType="1"/>
        </xdr:cNvCxnSpPr>
      </xdr:nvCxnSpPr>
      <xdr:spPr bwMode="auto">
        <a:xfrm>
          <a:off x="1552575" y="414337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19050</xdr:colOff>
      <xdr:row>172</xdr:row>
      <xdr:rowOff>0</xdr:rowOff>
    </xdr:from>
    <xdr:to>
      <xdr:col>14</xdr:col>
      <xdr:colOff>247650</xdr:colOff>
      <xdr:row>172</xdr:row>
      <xdr:rowOff>0</xdr:rowOff>
    </xdr:to>
    <xdr:cxnSp macro="">
      <xdr:nvCxnSpPr>
        <xdr:cNvPr id="145501" name="직선 화살표 연결선 32"/>
        <xdr:cNvCxnSpPr>
          <a:cxnSpLocks noChangeShapeType="1"/>
        </xdr:cNvCxnSpPr>
      </xdr:nvCxnSpPr>
      <xdr:spPr bwMode="auto">
        <a:xfrm>
          <a:off x="3105150" y="414337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172</xdr:row>
      <xdr:rowOff>0</xdr:rowOff>
    </xdr:from>
    <xdr:to>
      <xdr:col>10</xdr:col>
      <xdr:colOff>9525</xdr:colOff>
      <xdr:row>173</xdr:row>
      <xdr:rowOff>209550</xdr:rowOff>
    </xdr:to>
    <xdr:cxnSp macro="">
      <xdr:nvCxnSpPr>
        <xdr:cNvPr id="145502" name="직선 화살표 연결선 9"/>
        <xdr:cNvCxnSpPr>
          <a:cxnSpLocks noChangeShapeType="1"/>
        </xdr:cNvCxnSpPr>
      </xdr:nvCxnSpPr>
      <xdr:spPr bwMode="auto">
        <a:xfrm rot="5400000">
          <a:off x="2847975" y="4168140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0</xdr:colOff>
      <xdr:row>199</xdr:row>
      <xdr:rowOff>0</xdr:rowOff>
    </xdr:from>
    <xdr:to>
      <xdr:col>9</xdr:col>
      <xdr:colOff>228600</xdr:colOff>
      <xdr:row>199</xdr:row>
      <xdr:rowOff>0</xdr:rowOff>
    </xdr:to>
    <xdr:cxnSp macro="">
      <xdr:nvCxnSpPr>
        <xdr:cNvPr id="145503" name="직선 화살표 연결선 32"/>
        <xdr:cNvCxnSpPr>
          <a:cxnSpLocks noChangeShapeType="1"/>
        </xdr:cNvCxnSpPr>
      </xdr:nvCxnSpPr>
      <xdr:spPr bwMode="auto">
        <a:xfrm>
          <a:off x="1524000" y="491490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19050</xdr:colOff>
      <xdr:row>199</xdr:row>
      <xdr:rowOff>0</xdr:rowOff>
    </xdr:from>
    <xdr:to>
      <xdr:col>18</xdr:col>
      <xdr:colOff>247650</xdr:colOff>
      <xdr:row>199</xdr:row>
      <xdr:rowOff>0</xdr:rowOff>
    </xdr:to>
    <xdr:cxnSp macro="">
      <xdr:nvCxnSpPr>
        <xdr:cNvPr id="145504" name="직선 화살표 연결선 32"/>
        <xdr:cNvCxnSpPr>
          <a:cxnSpLocks noChangeShapeType="1"/>
        </xdr:cNvCxnSpPr>
      </xdr:nvCxnSpPr>
      <xdr:spPr bwMode="auto">
        <a:xfrm>
          <a:off x="4324350" y="491490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19050</xdr:colOff>
      <xdr:row>229</xdr:row>
      <xdr:rowOff>0</xdr:rowOff>
    </xdr:from>
    <xdr:to>
      <xdr:col>9</xdr:col>
      <xdr:colOff>247650</xdr:colOff>
      <xdr:row>229</xdr:row>
      <xdr:rowOff>0</xdr:rowOff>
    </xdr:to>
    <xdr:cxnSp macro="">
      <xdr:nvCxnSpPr>
        <xdr:cNvPr id="145505" name="직선 화살표 연결선 32"/>
        <xdr:cNvCxnSpPr>
          <a:cxnSpLocks noChangeShapeType="1"/>
        </xdr:cNvCxnSpPr>
      </xdr:nvCxnSpPr>
      <xdr:spPr bwMode="auto">
        <a:xfrm>
          <a:off x="1543050" y="568642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19050</xdr:colOff>
      <xdr:row>229</xdr:row>
      <xdr:rowOff>0</xdr:rowOff>
    </xdr:from>
    <xdr:to>
      <xdr:col>18</xdr:col>
      <xdr:colOff>247650</xdr:colOff>
      <xdr:row>229</xdr:row>
      <xdr:rowOff>0</xdr:rowOff>
    </xdr:to>
    <xdr:cxnSp macro="">
      <xdr:nvCxnSpPr>
        <xdr:cNvPr id="145506" name="직선 화살표 연결선 32"/>
        <xdr:cNvCxnSpPr>
          <a:cxnSpLocks noChangeShapeType="1"/>
        </xdr:cNvCxnSpPr>
      </xdr:nvCxnSpPr>
      <xdr:spPr bwMode="auto">
        <a:xfrm>
          <a:off x="4324350" y="568642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47625</xdr:colOff>
      <xdr:row>118</xdr:row>
      <xdr:rowOff>0</xdr:rowOff>
    </xdr:from>
    <xdr:to>
      <xdr:col>23</xdr:col>
      <xdr:colOff>276225</xdr:colOff>
      <xdr:row>118</xdr:row>
      <xdr:rowOff>0</xdr:rowOff>
    </xdr:to>
    <xdr:cxnSp macro="">
      <xdr:nvCxnSpPr>
        <xdr:cNvPr id="145507" name="직선 화살표 연결선 32"/>
        <xdr:cNvCxnSpPr>
          <a:cxnSpLocks noChangeShapeType="1"/>
        </xdr:cNvCxnSpPr>
      </xdr:nvCxnSpPr>
      <xdr:spPr bwMode="auto">
        <a:xfrm>
          <a:off x="5876925" y="260032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285750</xdr:colOff>
      <xdr:row>172</xdr:row>
      <xdr:rowOff>0</xdr:rowOff>
    </xdr:from>
    <xdr:to>
      <xdr:col>19</xdr:col>
      <xdr:colOff>228600</xdr:colOff>
      <xdr:row>172</xdr:row>
      <xdr:rowOff>0</xdr:rowOff>
    </xdr:to>
    <xdr:cxnSp macro="">
      <xdr:nvCxnSpPr>
        <xdr:cNvPr id="145508" name="직선 화살표 연결선 32"/>
        <xdr:cNvCxnSpPr>
          <a:cxnSpLocks noChangeShapeType="1"/>
        </xdr:cNvCxnSpPr>
      </xdr:nvCxnSpPr>
      <xdr:spPr bwMode="auto">
        <a:xfrm>
          <a:off x="4591050" y="41433750"/>
          <a:ext cx="1466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295275</xdr:colOff>
      <xdr:row>172</xdr:row>
      <xdr:rowOff>0</xdr:rowOff>
    </xdr:from>
    <xdr:to>
      <xdr:col>24</xdr:col>
      <xdr:colOff>238125</xdr:colOff>
      <xdr:row>172</xdr:row>
      <xdr:rowOff>0</xdr:rowOff>
    </xdr:to>
    <xdr:cxnSp macro="">
      <xdr:nvCxnSpPr>
        <xdr:cNvPr id="145509" name="직선 화살표 연결선 32"/>
        <xdr:cNvCxnSpPr>
          <a:cxnSpLocks noChangeShapeType="1"/>
        </xdr:cNvCxnSpPr>
      </xdr:nvCxnSpPr>
      <xdr:spPr bwMode="auto">
        <a:xfrm>
          <a:off x="6124575" y="41433750"/>
          <a:ext cx="1466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295275</xdr:colOff>
      <xdr:row>172</xdr:row>
      <xdr:rowOff>0</xdr:rowOff>
    </xdr:from>
    <xdr:to>
      <xdr:col>14</xdr:col>
      <xdr:colOff>295275</xdr:colOff>
      <xdr:row>173</xdr:row>
      <xdr:rowOff>209550</xdr:rowOff>
    </xdr:to>
    <xdr:cxnSp macro="">
      <xdr:nvCxnSpPr>
        <xdr:cNvPr id="145510" name="직선 화살표 연결선 9"/>
        <xdr:cNvCxnSpPr>
          <a:cxnSpLocks noChangeShapeType="1"/>
        </xdr:cNvCxnSpPr>
      </xdr:nvCxnSpPr>
      <xdr:spPr bwMode="auto">
        <a:xfrm rot="5400000">
          <a:off x="4352925" y="4168140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9525</xdr:colOff>
      <xdr:row>229</xdr:row>
      <xdr:rowOff>0</xdr:rowOff>
    </xdr:from>
    <xdr:to>
      <xdr:col>28</xdr:col>
      <xdr:colOff>200025</xdr:colOff>
      <xdr:row>229</xdr:row>
      <xdr:rowOff>0</xdr:rowOff>
    </xdr:to>
    <xdr:cxnSp macro="">
      <xdr:nvCxnSpPr>
        <xdr:cNvPr id="145511" name="직선 화살표 연결선 32"/>
        <xdr:cNvCxnSpPr>
          <a:cxnSpLocks noChangeShapeType="1"/>
        </xdr:cNvCxnSpPr>
      </xdr:nvCxnSpPr>
      <xdr:spPr bwMode="auto">
        <a:xfrm>
          <a:off x="7362825" y="56864250"/>
          <a:ext cx="1409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19050</xdr:colOff>
      <xdr:row>229</xdr:row>
      <xdr:rowOff>0</xdr:rowOff>
    </xdr:from>
    <xdr:to>
      <xdr:col>19</xdr:col>
      <xdr:colOff>19050</xdr:colOff>
      <xdr:row>230</xdr:row>
      <xdr:rowOff>209550</xdr:rowOff>
    </xdr:to>
    <xdr:cxnSp macro="">
      <xdr:nvCxnSpPr>
        <xdr:cNvPr id="145512" name="직선 화살표 연결선 9"/>
        <xdr:cNvCxnSpPr>
          <a:cxnSpLocks noChangeShapeType="1"/>
        </xdr:cNvCxnSpPr>
      </xdr:nvCxnSpPr>
      <xdr:spPr bwMode="auto">
        <a:xfrm rot="5400000">
          <a:off x="5600700" y="5711190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35</xdr:col>
      <xdr:colOff>9525</xdr:colOff>
      <xdr:row>9</xdr:row>
      <xdr:rowOff>276225</xdr:rowOff>
    </xdr:from>
    <xdr:to>
      <xdr:col>35</xdr:col>
      <xdr:colOff>9525</xdr:colOff>
      <xdr:row>11</xdr:row>
      <xdr:rowOff>200025</xdr:rowOff>
    </xdr:to>
    <xdr:cxnSp macro="">
      <xdr:nvCxnSpPr>
        <xdr:cNvPr id="145513" name="직선 화살표 연결선 16"/>
        <xdr:cNvCxnSpPr>
          <a:cxnSpLocks noChangeShapeType="1"/>
        </xdr:cNvCxnSpPr>
      </xdr:nvCxnSpPr>
      <xdr:spPr bwMode="auto">
        <a:xfrm rot="5400000">
          <a:off x="10467975" y="3095625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30</xdr:col>
      <xdr:colOff>28575</xdr:colOff>
      <xdr:row>5</xdr:row>
      <xdr:rowOff>9525</xdr:rowOff>
    </xdr:from>
    <xdr:to>
      <xdr:col>35</xdr:col>
      <xdr:colOff>9525</xdr:colOff>
      <xdr:row>5</xdr:row>
      <xdr:rowOff>9525</xdr:rowOff>
    </xdr:to>
    <xdr:cxnSp macro="">
      <xdr:nvCxnSpPr>
        <xdr:cNvPr id="145514" name="직선 화살표 연결선 45"/>
        <xdr:cNvCxnSpPr>
          <a:cxnSpLocks noChangeShapeType="1"/>
        </xdr:cNvCxnSpPr>
      </xdr:nvCxnSpPr>
      <xdr:spPr bwMode="auto">
        <a:xfrm rot="10800000">
          <a:off x="9210675" y="1438275"/>
          <a:ext cx="1504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35</xdr:col>
      <xdr:colOff>9525</xdr:colOff>
      <xdr:row>5</xdr:row>
      <xdr:rowOff>85725</xdr:rowOff>
    </xdr:from>
    <xdr:to>
      <xdr:col>35</xdr:col>
      <xdr:colOff>9525</xdr:colOff>
      <xdr:row>9</xdr:row>
      <xdr:rowOff>276225</xdr:rowOff>
    </xdr:to>
    <xdr:cxnSp macro="">
      <xdr:nvCxnSpPr>
        <xdr:cNvPr id="145515" name="직선 화살표 연결선 47"/>
        <xdr:cNvCxnSpPr>
          <a:cxnSpLocks noChangeShapeType="1"/>
        </xdr:cNvCxnSpPr>
      </xdr:nvCxnSpPr>
      <xdr:spPr bwMode="auto">
        <a:xfrm rot="5400000" flipH="1" flipV="1">
          <a:off x="10048875" y="21812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28575</xdr:colOff>
      <xdr:row>64</xdr:row>
      <xdr:rowOff>9525</xdr:rowOff>
    </xdr:from>
    <xdr:to>
      <xdr:col>28</xdr:col>
      <xdr:colOff>257175</xdr:colOff>
      <xdr:row>64</xdr:row>
      <xdr:rowOff>9525</xdr:rowOff>
    </xdr:to>
    <xdr:cxnSp macro="">
      <xdr:nvCxnSpPr>
        <xdr:cNvPr id="145516" name="직선 화살표 연결선 45"/>
        <xdr:cNvCxnSpPr>
          <a:cxnSpLocks noChangeShapeType="1"/>
        </xdr:cNvCxnSpPr>
      </xdr:nvCxnSpPr>
      <xdr:spPr bwMode="auto">
        <a:xfrm>
          <a:off x="7381875" y="18297525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35</xdr:col>
      <xdr:colOff>9525</xdr:colOff>
      <xdr:row>58</xdr:row>
      <xdr:rowOff>276225</xdr:rowOff>
    </xdr:from>
    <xdr:to>
      <xdr:col>35</xdr:col>
      <xdr:colOff>9525</xdr:colOff>
      <xdr:row>62</xdr:row>
      <xdr:rowOff>247650</xdr:rowOff>
    </xdr:to>
    <xdr:cxnSp macro="">
      <xdr:nvCxnSpPr>
        <xdr:cNvPr id="145517" name="직선 화살표 연결선 57"/>
        <xdr:cNvCxnSpPr>
          <a:cxnSpLocks noChangeShapeType="1"/>
        </xdr:cNvCxnSpPr>
      </xdr:nvCxnSpPr>
      <xdr:spPr bwMode="auto">
        <a:xfrm rot="5400000" flipH="1" flipV="1">
          <a:off x="10158412" y="17406938"/>
          <a:ext cx="1114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21</xdr:col>
      <xdr:colOff>304800</xdr:colOff>
      <xdr:row>59</xdr:row>
      <xdr:rowOff>0</xdr:rowOff>
    </xdr:from>
    <xdr:to>
      <xdr:col>22</xdr:col>
      <xdr:colOff>0</xdr:colOff>
      <xdr:row>60</xdr:row>
      <xdr:rowOff>257175</xdr:rowOff>
    </xdr:to>
    <xdr:cxnSp macro="">
      <xdr:nvCxnSpPr>
        <xdr:cNvPr id="145518" name="직선 화살표 연결선 59"/>
        <xdr:cNvCxnSpPr>
          <a:cxnSpLocks noChangeShapeType="1"/>
        </xdr:cNvCxnSpPr>
      </xdr:nvCxnSpPr>
      <xdr:spPr bwMode="auto">
        <a:xfrm rot="5400000" flipH="1" flipV="1">
          <a:off x="6472237" y="17130713"/>
          <a:ext cx="542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25</xdr:col>
      <xdr:colOff>9525</xdr:colOff>
      <xdr:row>10</xdr:row>
      <xdr:rowOff>9525</xdr:rowOff>
    </xdr:from>
    <xdr:to>
      <xdr:col>25</xdr:col>
      <xdr:colOff>9525</xdr:colOff>
      <xdr:row>11</xdr:row>
      <xdr:rowOff>247650</xdr:rowOff>
    </xdr:to>
    <xdr:cxnSp macro="">
      <xdr:nvCxnSpPr>
        <xdr:cNvPr id="145519" name="직선 화살표 연결선 61"/>
        <xdr:cNvCxnSpPr>
          <a:cxnSpLocks noChangeShapeType="1"/>
        </xdr:cNvCxnSpPr>
      </xdr:nvCxnSpPr>
      <xdr:spPr bwMode="auto">
        <a:xfrm rot="5400000">
          <a:off x="7405687" y="3128963"/>
          <a:ext cx="523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30</xdr:col>
      <xdr:colOff>19050</xdr:colOff>
      <xdr:row>10</xdr:row>
      <xdr:rowOff>0</xdr:rowOff>
    </xdr:from>
    <xdr:to>
      <xdr:col>30</xdr:col>
      <xdr:colOff>19050</xdr:colOff>
      <xdr:row>11</xdr:row>
      <xdr:rowOff>247650</xdr:rowOff>
    </xdr:to>
    <xdr:cxnSp macro="">
      <xdr:nvCxnSpPr>
        <xdr:cNvPr id="145520" name="직선 화살표 연결선 63"/>
        <xdr:cNvCxnSpPr>
          <a:cxnSpLocks noChangeShapeType="1"/>
        </xdr:cNvCxnSpPr>
      </xdr:nvCxnSpPr>
      <xdr:spPr bwMode="auto">
        <a:xfrm rot="5400000">
          <a:off x="8934450" y="3124200"/>
          <a:ext cx="533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9525</xdr:colOff>
      <xdr:row>11</xdr:row>
      <xdr:rowOff>247650</xdr:rowOff>
    </xdr:to>
    <xdr:cxnSp macro="">
      <xdr:nvCxnSpPr>
        <xdr:cNvPr id="145521" name="직선 화살표 연결선 64"/>
        <xdr:cNvCxnSpPr>
          <a:cxnSpLocks noChangeShapeType="1"/>
        </xdr:cNvCxnSpPr>
      </xdr:nvCxnSpPr>
      <xdr:spPr bwMode="auto">
        <a:xfrm rot="5400000">
          <a:off x="4357687" y="3128963"/>
          <a:ext cx="523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10</xdr:row>
      <xdr:rowOff>9525</xdr:rowOff>
    </xdr:from>
    <xdr:to>
      <xdr:col>10</xdr:col>
      <xdr:colOff>9525</xdr:colOff>
      <xdr:row>11</xdr:row>
      <xdr:rowOff>247650</xdr:rowOff>
    </xdr:to>
    <xdr:cxnSp macro="">
      <xdr:nvCxnSpPr>
        <xdr:cNvPr id="145522" name="직선 화살표 연결선 65"/>
        <xdr:cNvCxnSpPr>
          <a:cxnSpLocks noChangeShapeType="1"/>
        </xdr:cNvCxnSpPr>
      </xdr:nvCxnSpPr>
      <xdr:spPr bwMode="auto">
        <a:xfrm rot="5400000">
          <a:off x="2833687" y="3128963"/>
          <a:ext cx="523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10</xdr:col>
      <xdr:colOff>9525</xdr:colOff>
      <xdr:row>64</xdr:row>
      <xdr:rowOff>0</xdr:rowOff>
    </xdr:from>
    <xdr:to>
      <xdr:col>10</xdr:col>
      <xdr:colOff>9525</xdr:colOff>
      <xdr:row>65</xdr:row>
      <xdr:rowOff>276225</xdr:rowOff>
    </xdr:to>
    <xdr:cxnSp macro="">
      <xdr:nvCxnSpPr>
        <xdr:cNvPr id="145523" name="직선 화살표 연결선 69"/>
        <xdr:cNvCxnSpPr>
          <a:cxnSpLocks noChangeShapeType="1"/>
        </xdr:cNvCxnSpPr>
      </xdr:nvCxnSpPr>
      <xdr:spPr bwMode="auto">
        <a:xfrm rot="5400000">
          <a:off x="2814637" y="18568988"/>
          <a:ext cx="561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15</xdr:col>
      <xdr:colOff>9525</xdr:colOff>
      <xdr:row>64</xdr:row>
      <xdr:rowOff>0</xdr:rowOff>
    </xdr:from>
    <xdr:to>
      <xdr:col>15</xdr:col>
      <xdr:colOff>9525</xdr:colOff>
      <xdr:row>65</xdr:row>
      <xdr:rowOff>276225</xdr:rowOff>
    </xdr:to>
    <xdr:cxnSp macro="">
      <xdr:nvCxnSpPr>
        <xdr:cNvPr id="145524" name="직선 화살표 연결선 70"/>
        <xdr:cNvCxnSpPr>
          <a:cxnSpLocks noChangeShapeType="1"/>
        </xdr:cNvCxnSpPr>
      </xdr:nvCxnSpPr>
      <xdr:spPr bwMode="auto">
        <a:xfrm rot="5400000">
          <a:off x="4338637" y="18568988"/>
          <a:ext cx="561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9525</xdr:colOff>
      <xdr:row>118</xdr:row>
      <xdr:rowOff>9525</xdr:rowOff>
    </xdr:from>
    <xdr:to>
      <xdr:col>28</xdr:col>
      <xdr:colOff>238125</xdr:colOff>
      <xdr:row>118</xdr:row>
      <xdr:rowOff>9525</xdr:rowOff>
    </xdr:to>
    <xdr:cxnSp macro="">
      <xdr:nvCxnSpPr>
        <xdr:cNvPr id="145525" name="직선 화살표 연결선 32"/>
        <xdr:cNvCxnSpPr>
          <a:cxnSpLocks noChangeShapeType="1"/>
        </xdr:cNvCxnSpPr>
      </xdr:nvCxnSpPr>
      <xdr:spPr bwMode="auto">
        <a:xfrm>
          <a:off x="7362825" y="26012775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</xdr:col>
      <xdr:colOff>304800</xdr:colOff>
      <xdr:row>112</xdr:row>
      <xdr:rowOff>9525</xdr:rowOff>
    </xdr:from>
    <xdr:to>
      <xdr:col>3</xdr:col>
      <xdr:colOff>0</xdr:colOff>
      <xdr:row>116</xdr:row>
      <xdr:rowOff>257175</xdr:rowOff>
    </xdr:to>
    <xdr:cxnSp macro="">
      <xdr:nvCxnSpPr>
        <xdr:cNvPr id="145526" name="직선 화살표 연결선 84"/>
        <xdr:cNvCxnSpPr>
          <a:cxnSpLocks noChangeShapeType="1"/>
        </xdr:cNvCxnSpPr>
      </xdr:nvCxnSpPr>
      <xdr:spPr bwMode="auto">
        <a:xfrm rot="5400000" flipH="1" flipV="1">
          <a:off x="219075" y="24993600"/>
          <a:ext cx="1390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</xdr:col>
      <xdr:colOff>9525</xdr:colOff>
      <xdr:row>112</xdr:row>
      <xdr:rowOff>0</xdr:rowOff>
    </xdr:from>
    <xdr:to>
      <xdr:col>7</xdr:col>
      <xdr:colOff>304800</xdr:colOff>
      <xdr:row>112</xdr:row>
      <xdr:rowOff>0</xdr:rowOff>
    </xdr:to>
    <xdr:cxnSp macro="">
      <xdr:nvCxnSpPr>
        <xdr:cNvPr id="145527" name="직선 화살표 연결선 86"/>
        <xdr:cNvCxnSpPr>
          <a:cxnSpLocks noChangeShapeType="1"/>
        </xdr:cNvCxnSpPr>
      </xdr:nvCxnSpPr>
      <xdr:spPr bwMode="auto">
        <a:xfrm>
          <a:off x="923925" y="24288750"/>
          <a:ext cx="1514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19050</xdr:colOff>
      <xdr:row>118</xdr:row>
      <xdr:rowOff>9525</xdr:rowOff>
    </xdr:from>
    <xdr:to>
      <xdr:col>24</xdr:col>
      <xdr:colOff>19050</xdr:colOff>
      <xdr:row>121</xdr:row>
      <xdr:rowOff>238125</xdr:rowOff>
    </xdr:to>
    <xdr:cxnSp macro="">
      <xdr:nvCxnSpPr>
        <xdr:cNvPr id="145528" name="직선 화살표 연결선 93"/>
        <xdr:cNvCxnSpPr>
          <a:cxnSpLocks noChangeShapeType="1"/>
        </xdr:cNvCxnSpPr>
      </xdr:nvCxnSpPr>
      <xdr:spPr bwMode="auto">
        <a:xfrm rot="5400000">
          <a:off x="6829425" y="26555700"/>
          <a:ext cx="1085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28575</xdr:colOff>
      <xdr:row>121</xdr:row>
      <xdr:rowOff>285750</xdr:rowOff>
    </xdr:from>
    <xdr:to>
      <xdr:col>26</xdr:col>
      <xdr:colOff>285750</xdr:colOff>
      <xdr:row>121</xdr:row>
      <xdr:rowOff>285750</xdr:rowOff>
    </xdr:to>
    <xdr:cxnSp macro="">
      <xdr:nvCxnSpPr>
        <xdr:cNvPr id="145529" name="직선 화살표 연결선 97"/>
        <xdr:cNvCxnSpPr>
          <a:cxnSpLocks noChangeShapeType="1"/>
        </xdr:cNvCxnSpPr>
      </xdr:nvCxnSpPr>
      <xdr:spPr bwMode="auto">
        <a:xfrm>
          <a:off x="7381875" y="27146250"/>
          <a:ext cx="866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31</xdr:col>
      <xdr:colOff>19050</xdr:colOff>
      <xdr:row>121</xdr:row>
      <xdr:rowOff>276225</xdr:rowOff>
    </xdr:from>
    <xdr:to>
      <xdr:col>35</xdr:col>
      <xdr:colOff>247650</xdr:colOff>
      <xdr:row>121</xdr:row>
      <xdr:rowOff>276225</xdr:rowOff>
    </xdr:to>
    <xdr:cxnSp macro="">
      <xdr:nvCxnSpPr>
        <xdr:cNvPr id="145530" name="직선 화살표 연결선 32"/>
        <xdr:cNvCxnSpPr>
          <a:cxnSpLocks noChangeShapeType="1"/>
        </xdr:cNvCxnSpPr>
      </xdr:nvCxnSpPr>
      <xdr:spPr bwMode="auto">
        <a:xfrm>
          <a:off x="9505950" y="27136725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304800</xdr:colOff>
      <xdr:row>172</xdr:row>
      <xdr:rowOff>0</xdr:rowOff>
    </xdr:from>
    <xdr:to>
      <xdr:col>29</xdr:col>
      <xdr:colOff>247650</xdr:colOff>
      <xdr:row>172</xdr:row>
      <xdr:rowOff>0</xdr:rowOff>
    </xdr:to>
    <xdr:cxnSp macro="">
      <xdr:nvCxnSpPr>
        <xdr:cNvPr id="145531" name="직선 화살표 연결선 32"/>
        <xdr:cNvCxnSpPr>
          <a:cxnSpLocks noChangeShapeType="1"/>
        </xdr:cNvCxnSpPr>
      </xdr:nvCxnSpPr>
      <xdr:spPr bwMode="auto">
        <a:xfrm>
          <a:off x="7658100" y="41433750"/>
          <a:ext cx="1466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304800</xdr:colOff>
      <xdr:row>172</xdr:row>
      <xdr:rowOff>0</xdr:rowOff>
    </xdr:from>
    <xdr:to>
      <xdr:col>24</xdr:col>
      <xdr:colOff>304800</xdr:colOff>
      <xdr:row>173</xdr:row>
      <xdr:rowOff>209550</xdr:rowOff>
    </xdr:to>
    <xdr:cxnSp macro="">
      <xdr:nvCxnSpPr>
        <xdr:cNvPr id="145532" name="직선 화살표 연결선 9"/>
        <xdr:cNvCxnSpPr>
          <a:cxnSpLocks noChangeShapeType="1"/>
        </xdr:cNvCxnSpPr>
      </xdr:nvCxnSpPr>
      <xdr:spPr bwMode="auto">
        <a:xfrm rot="5400000">
          <a:off x="7410450" y="4168140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23</xdr:col>
      <xdr:colOff>19050</xdr:colOff>
      <xdr:row>199</xdr:row>
      <xdr:rowOff>0</xdr:rowOff>
    </xdr:from>
    <xdr:to>
      <xdr:col>27</xdr:col>
      <xdr:colOff>247650</xdr:colOff>
      <xdr:row>199</xdr:row>
      <xdr:rowOff>0</xdr:rowOff>
    </xdr:to>
    <xdr:cxnSp macro="">
      <xdr:nvCxnSpPr>
        <xdr:cNvPr id="145533" name="직선 화살표 연결선 32"/>
        <xdr:cNvCxnSpPr>
          <a:cxnSpLocks noChangeShapeType="1"/>
        </xdr:cNvCxnSpPr>
      </xdr:nvCxnSpPr>
      <xdr:spPr bwMode="auto">
        <a:xfrm>
          <a:off x="7067550" y="491490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32</xdr:col>
      <xdr:colOff>19050</xdr:colOff>
      <xdr:row>199</xdr:row>
      <xdr:rowOff>0</xdr:rowOff>
    </xdr:from>
    <xdr:to>
      <xdr:col>36</xdr:col>
      <xdr:colOff>247650</xdr:colOff>
      <xdr:row>199</xdr:row>
      <xdr:rowOff>0</xdr:rowOff>
    </xdr:to>
    <xdr:cxnSp macro="">
      <xdr:nvCxnSpPr>
        <xdr:cNvPr id="145534" name="직선 화살표 연결선 32"/>
        <xdr:cNvCxnSpPr>
          <a:cxnSpLocks noChangeShapeType="1"/>
        </xdr:cNvCxnSpPr>
      </xdr:nvCxnSpPr>
      <xdr:spPr bwMode="auto">
        <a:xfrm>
          <a:off x="9810750" y="4914900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28575</xdr:colOff>
      <xdr:row>229</xdr:row>
      <xdr:rowOff>0</xdr:rowOff>
    </xdr:from>
    <xdr:to>
      <xdr:col>20</xdr:col>
      <xdr:colOff>0</xdr:colOff>
      <xdr:row>229</xdr:row>
      <xdr:rowOff>0</xdr:rowOff>
    </xdr:to>
    <xdr:cxnSp macro="">
      <xdr:nvCxnSpPr>
        <xdr:cNvPr id="145535" name="직선 화살표 연결선 32"/>
        <xdr:cNvCxnSpPr>
          <a:cxnSpLocks noChangeShapeType="1"/>
        </xdr:cNvCxnSpPr>
      </xdr:nvCxnSpPr>
      <xdr:spPr bwMode="auto">
        <a:xfrm>
          <a:off x="5857875" y="56864250"/>
          <a:ext cx="276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5</xdr:col>
      <xdr:colOff>19050</xdr:colOff>
      <xdr:row>255</xdr:row>
      <xdr:rowOff>0</xdr:rowOff>
    </xdr:from>
    <xdr:to>
      <xdr:col>9</xdr:col>
      <xdr:colOff>247650</xdr:colOff>
      <xdr:row>255</xdr:row>
      <xdr:rowOff>0</xdr:rowOff>
    </xdr:to>
    <xdr:cxnSp macro="">
      <xdr:nvCxnSpPr>
        <xdr:cNvPr id="145536" name="직선 화살표 연결선 32"/>
        <xdr:cNvCxnSpPr>
          <a:cxnSpLocks noChangeShapeType="1"/>
        </xdr:cNvCxnSpPr>
      </xdr:nvCxnSpPr>
      <xdr:spPr bwMode="auto">
        <a:xfrm>
          <a:off x="1543050" y="6429375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14</xdr:col>
      <xdr:colOff>19050</xdr:colOff>
      <xdr:row>255</xdr:row>
      <xdr:rowOff>0</xdr:rowOff>
    </xdr:from>
    <xdr:to>
      <xdr:col>18</xdr:col>
      <xdr:colOff>247650</xdr:colOff>
      <xdr:row>255</xdr:row>
      <xdr:rowOff>0</xdr:rowOff>
    </xdr:to>
    <xdr:cxnSp macro="">
      <xdr:nvCxnSpPr>
        <xdr:cNvPr id="145537" name="직선 화살표 연결선 32"/>
        <xdr:cNvCxnSpPr>
          <a:cxnSpLocks noChangeShapeType="1"/>
        </xdr:cNvCxnSpPr>
      </xdr:nvCxnSpPr>
      <xdr:spPr bwMode="auto">
        <a:xfrm>
          <a:off x="4324350" y="64293750"/>
          <a:ext cx="1447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24</xdr:col>
      <xdr:colOff>9525</xdr:colOff>
      <xdr:row>255</xdr:row>
      <xdr:rowOff>0</xdr:rowOff>
    </xdr:from>
    <xdr:to>
      <xdr:col>28</xdr:col>
      <xdr:colOff>200025</xdr:colOff>
      <xdr:row>255</xdr:row>
      <xdr:rowOff>0</xdr:rowOff>
    </xdr:to>
    <xdr:cxnSp macro="">
      <xdr:nvCxnSpPr>
        <xdr:cNvPr id="145538" name="직선 화살표 연결선 32"/>
        <xdr:cNvCxnSpPr>
          <a:cxnSpLocks noChangeShapeType="1"/>
        </xdr:cNvCxnSpPr>
      </xdr:nvCxnSpPr>
      <xdr:spPr bwMode="auto">
        <a:xfrm>
          <a:off x="7362825" y="64293750"/>
          <a:ext cx="1409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19050</xdr:colOff>
      <xdr:row>255</xdr:row>
      <xdr:rowOff>0</xdr:rowOff>
    </xdr:from>
    <xdr:to>
      <xdr:col>19</xdr:col>
      <xdr:colOff>19050</xdr:colOff>
      <xdr:row>256</xdr:row>
      <xdr:rowOff>209550</xdr:rowOff>
    </xdr:to>
    <xdr:cxnSp macro="">
      <xdr:nvCxnSpPr>
        <xdr:cNvPr id="145539" name="직선 화살표 연결선 9"/>
        <xdr:cNvCxnSpPr>
          <a:cxnSpLocks noChangeShapeType="1"/>
        </xdr:cNvCxnSpPr>
      </xdr:nvCxnSpPr>
      <xdr:spPr bwMode="auto">
        <a:xfrm rot="5400000">
          <a:off x="5600700" y="64541400"/>
          <a:ext cx="4953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19</xdr:col>
      <xdr:colOff>28575</xdr:colOff>
      <xdr:row>255</xdr:row>
      <xdr:rowOff>0</xdr:rowOff>
    </xdr:from>
    <xdr:to>
      <xdr:col>20</xdr:col>
      <xdr:colOff>0</xdr:colOff>
      <xdr:row>255</xdr:row>
      <xdr:rowOff>0</xdr:rowOff>
    </xdr:to>
    <xdr:cxnSp macro="">
      <xdr:nvCxnSpPr>
        <xdr:cNvPr id="145540" name="직선 화살표 연결선 32"/>
        <xdr:cNvCxnSpPr>
          <a:cxnSpLocks noChangeShapeType="1"/>
        </xdr:cNvCxnSpPr>
      </xdr:nvCxnSpPr>
      <xdr:spPr bwMode="auto">
        <a:xfrm>
          <a:off x="5857875" y="64293750"/>
          <a:ext cx="276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29</xdr:col>
      <xdr:colOff>264216</xdr:colOff>
      <xdr:row>172</xdr:row>
      <xdr:rowOff>0</xdr:rowOff>
    </xdr:from>
    <xdr:to>
      <xdr:col>34</xdr:col>
      <xdr:colOff>207066</xdr:colOff>
      <xdr:row>172</xdr:row>
      <xdr:rowOff>0</xdr:rowOff>
    </xdr:to>
    <xdr:cxnSp macro="">
      <xdr:nvCxnSpPr>
        <xdr:cNvPr id="60" name="직선 화살표 연결선 32"/>
        <xdr:cNvCxnSpPr>
          <a:cxnSpLocks noChangeShapeType="1"/>
        </xdr:cNvCxnSpPr>
      </xdr:nvCxnSpPr>
      <xdr:spPr bwMode="auto">
        <a:xfrm>
          <a:off x="9184586" y="42034239"/>
          <a:ext cx="147513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</xdr:col>
      <xdr:colOff>0</xdr:colOff>
      <xdr:row>194</xdr:row>
      <xdr:rowOff>19050</xdr:rowOff>
    </xdr:from>
    <xdr:to>
      <xdr:col>3</xdr:col>
      <xdr:colOff>0</xdr:colOff>
      <xdr:row>197</xdr:row>
      <xdr:rowOff>247650</xdr:rowOff>
    </xdr:to>
    <xdr:cxnSp macro="">
      <xdr:nvCxnSpPr>
        <xdr:cNvPr id="62" name="직선 화살표 연결선 93"/>
        <xdr:cNvCxnSpPr>
          <a:cxnSpLocks noChangeShapeType="1"/>
        </xdr:cNvCxnSpPr>
      </xdr:nvCxnSpPr>
      <xdr:spPr bwMode="auto">
        <a:xfrm rot="5400000">
          <a:off x="371475" y="48282225"/>
          <a:ext cx="10858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  <xdr:twoCellAnchor>
    <xdr:from>
      <xdr:col>3</xdr:col>
      <xdr:colOff>38102</xdr:colOff>
      <xdr:row>194</xdr:row>
      <xdr:rowOff>0</xdr:rowOff>
    </xdr:from>
    <xdr:to>
      <xdr:col>12</xdr:col>
      <xdr:colOff>289892</xdr:colOff>
      <xdr:row>194</xdr:row>
      <xdr:rowOff>2</xdr:rowOff>
    </xdr:to>
    <xdr:cxnSp macro="">
      <xdr:nvCxnSpPr>
        <xdr:cNvPr id="64" name="직선 화살표 연결선 45"/>
        <xdr:cNvCxnSpPr>
          <a:cxnSpLocks noChangeShapeType="1"/>
        </xdr:cNvCxnSpPr>
      </xdr:nvCxnSpPr>
      <xdr:spPr bwMode="auto">
        <a:xfrm rot="10800000" flipV="1">
          <a:off x="957472" y="48411848"/>
          <a:ext cx="3043029" cy="2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oval" w="med" len="med"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2%20&#50857;&#49688;&#49688;&#50836;&#47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52397;&#51452;&#49688;&#46020;&#51221;&#48708;/XLS/&#44288;&#47581;&#52572;&#51333;0222/&#44553;&#48176;&#49688;&#48516;&#54624;12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총괄수요량"/>
      <sheetName val="1.행정구역별 수요량"/>
      <sheetName val="1.급수구역별 수요량"/>
      <sheetName val="1.배수지별 수요량"/>
      <sheetName val="1.배수지용수배분"/>
      <sheetName val="2.생활용수(보고서)"/>
      <sheetName val="2.생활용수(행정구역)"/>
      <sheetName val="2.생활용수(급수구역)"/>
      <sheetName val="2.생활용수(광석)"/>
      <sheetName val="2.생활용수(성동)"/>
      <sheetName val="2.생활용수(봉화)"/>
      <sheetName val="2.생활용수(논산)"/>
      <sheetName val="2.생활용수(연무)"/>
      <sheetName val="2.생활용수(마산)"/>
      <sheetName val="2.생활용수(부적)"/>
      <sheetName val="2.생활용수(연산)"/>
      <sheetName val="2.생활용수(채운)"/>
      <sheetName val="2.생활용수(강경)"/>
      <sheetName val="2.생활용수(노성)"/>
      <sheetName val="3.공업용수"/>
      <sheetName val="3.계획산단용수량"/>
      <sheetName val="3.기존공장용수량"/>
      <sheetName val="3.전용공업용수(침전수)"/>
      <sheetName val="4.관광원단위"/>
      <sheetName val="4.관광용수"/>
      <sheetName val="5.기타용수(훈련소)"/>
      <sheetName val="5.기타용수(금강대,육군항공학교)"/>
      <sheetName val="참조-&gt;"/>
      <sheetName val="확장용량"/>
      <sheetName val="1.총괄"/>
      <sheetName val="2.계통별"/>
      <sheetName val="생활용수량"/>
      <sheetName val="공업용수"/>
      <sheetName val="관광용수"/>
      <sheetName val="군대용수(국방부)"/>
      <sheetName val="급수분배"/>
      <sheetName val="Sheet3"/>
      <sheetName val="보고용"/>
      <sheetName val="Sheet2"/>
      <sheetName val="급수분배 (2)"/>
      <sheetName val="행정구역별 장래인구"/>
      <sheetName val="Sheet1"/>
      <sheetName val="비교표"/>
      <sheetName val="개발계획유입인구"/>
      <sheetName val="관광용수-1"/>
      <sheetName val="군대용수(실사용량)"/>
      <sheetName val="군대용수(실사용량) (2)"/>
      <sheetName val="읍ㆍ면구분"/>
      <sheetName val="용도별 소비량"/>
      <sheetName val="전체 소비량(군부대제외)"/>
      <sheetName val="인구규모별 표준원단위"/>
      <sheetName val="군인구추정"/>
      <sheetName val="Sheet4"/>
      <sheetName val="2013 행정구역 생활용수량"/>
      <sheetName val="2013년도 용수량 비율"/>
      <sheetName val="2013실사용량 정리"/>
      <sheetName val="Sheet5"/>
      <sheetName val="Sheet6"/>
      <sheetName val="배수지"/>
    </sheetNames>
    <sheetDataSet>
      <sheetData sheetId="0" refreshError="1"/>
      <sheetData sheetId="1" refreshError="1"/>
      <sheetData sheetId="2">
        <row r="11">
          <cell r="F11">
            <v>287</v>
          </cell>
        </row>
      </sheetData>
      <sheetData sheetId="3" refreshError="1"/>
      <sheetData sheetId="4">
        <row r="6">
          <cell r="E6">
            <v>287</v>
          </cell>
          <cell r="F6">
            <v>585</v>
          </cell>
          <cell r="G6">
            <v>1006</v>
          </cell>
          <cell r="H6">
            <v>1098</v>
          </cell>
          <cell r="I6">
            <v>1118</v>
          </cell>
        </row>
        <row r="7">
          <cell r="E7">
            <v>765</v>
          </cell>
          <cell r="F7">
            <v>857</v>
          </cell>
          <cell r="G7">
            <v>911</v>
          </cell>
          <cell r="H7">
            <v>996</v>
          </cell>
          <cell r="I7">
            <v>1013</v>
          </cell>
        </row>
        <row r="8">
          <cell r="E8">
            <v>176</v>
          </cell>
          <cell r="F8">
            <v>176</v>
          </cell>
          <cell r="G8">
            <v>189</v>
          </cell>
          <cell r="H8">
            <v>208</v>
          </cell>
          <cell r="I8">
            <v>210</v>
          </cell>
        </row>
        <row r="9">
          <cell r="E9">
            <v>743</v>
          </cell>
          <cell r="F9">
            <v>1119</v>
          </cell>
          <cell r="G9">
            <v>1193</v>
          </cell>
          <cell r="H9">
            <v>1258</v>
          </cell>
          <cell r="I9">
            <v>1285</v>
          </cell>
        </row>
        <row r="10">
          <cell r="E10">
            <v>1533</v>
          </cell>
          <cell r="F10">
            <v>1533</v>
          </cell>
          <cell r="G10">
            <v>1533</v>
          </cell>
          <cell r="H10">
            <v>824</v>
          </cell>
          <cell r="I10">
            <v>475</v>
          </cell>
        </row>
        <row r="11">
          <cell r="E11">
            <v>1456</v>
          </cell>
          <cell r="F11">
            <v>1456</v>
          </cell>
          <cell r="G11">
            <v>1456</v>
          </cell>
          <cell r="H11">
            <v>1456</v>
          </cell>
          <cell r="I11">
            <v>1456</v>
          </cell>
        </row>
        <row r="12">
          <cell r="E12">
            <v>0</v>
          </cell>
          <cell r="F12">
            <v>0</v>
          </cell>
          <cell r="G12">
            <v>758</v>
          </cell>
          <cell r="H12">
            <v>905</v>
          </cell>
          <cell r="I12">
            <v>1131</v>
          </cell>
        </row>
        <row r="13">
          <cell r="E13">
            <v>0</v>
          </cell>
          <cell r="F13">
            <v>0</v>
          </cell>
          <cell r="G13">
            <v>1624</v>
          </cell>
          <cell r="H13">
            <v>1624</v>
          </cell>
          <cell r="I13">
            <v>1624</v>
          </cell>
        </row>
        <row r="15">
          <cell r="E15">
            <v>1357</v>
          </cell>
          <cell r="F15">
            <v>1432</v>
          </cell>
          <cell r="G15">
            <v>1520</v>
          </cell>
          <cell r="H15">
            <v>1574</v>
          </cell>
          <cell r="I15">
            <v>1601</v>
          </cell>
        </row>
        <row r="18">
          <cell r="E18">
            <v>1876</v>
          </cell>
          <cell r="F18">
            <v>2074</v>
          </cell>
          <cell r="G18">
            <v>2258</v>
          </cell>
          <cell r="H18">
            <v>2401</v>
          </cell>
          <cell r="I18">
            <v>2578</v>
          </cell>
        </row>
        <row r="21">
          <cell r="E21">
            <v>20726</v>
          </cell>
          <cell r="F21">
            <v>22918</v>
          </cell>
          <cell r="G21">
            <v>24317</v>
          </cell>
          <cell r="H21">
            <v>25896</v>
          </cell>
          <cell r="I21">
            <v>27607</v>
          </cell>
        </row>
        <row r="24">
          <cell r="E24">
            <v>4312</v>
          </cell>
          <cell r="F24">
            <v>4357</v>
          </cell>
          <cell r="G24">
            <v>3184</v>
          </cell>
          <cell r="H24">
            <v>3451</v>
          </cell>
          <cell r="I24">
            <v>3765</v>
          </cell>
        </row>
        <row r="27">
          <cell r="E27">
            <v>0</v>
          </cell>
          <cell r="F27">
            <v>544</v>
          </cell>
          <cell r="G27">
            <v>3548</v>
          </cell>
          <cell r="H27">
            <v>3665</v>
          </cell>
          <cell r="I27">
            <v>3839</v>
          </cell>
        </row>
        <row r="30">
          <cell r="E30">
            <v>8759</v>
          </cell>
          <cell r="F30">
            <v>12174</v>
          </cell>
          <cell r="G30">
            <v>13853</v>
          </cell>
          <cell r="H30">
            <v>12423</v>
          </cell>
          <cell r="I30">
            <v>11690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E36">
            <v>1252</v>
          </cell>
          <cell r="F36">
            <v>2385</v>
          </cell>
          <cell r="G36">
            <v>4375</v>
          </cell>
          <cell r="H36">
            <v>4669</v>
          </cell>
          <cell r="I36">
            <v>4747</v>
          </cell>
        </row>
        <row r="39">
          <cell r="E39">
            <v>0</v>
          </cell>
          <cell r="F39">
            <v>0</v>
          </cell>
          <cell r="G39">
            <v>742</v>
          </cell>
          <cell r="H39">
            <v>765</v>
          </cell>
          <cell r="I39">
            <v>781</v>
          </cell>
        </row>
        <row r="42">
          <cell r="E42">
            <v>4473</v>
          </cell>
          <cell r="F42">
            <v>4886</v>
          </cell>
          <cell r="G42">
            <v>5270</v>
          </cell>
          <cell r="H42">
            <v>5821</v>
          </cell>
          <cell r="I42">
            <v>6063</v>
          </cell>
        </row>
        <row r="45">
          <cell r="E45">
            <v>0</v>
          </cell>
          <cell r="F45">
            <v>1458</v>
          </cell>
          <cell r="G45">
            <v>2315</v>
          </cell>
          <cell r="H45">
            <v>2461</v>
          </cell>
          <cell r="I45">
            <v>2495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2463</v>
          </cell>
          <cell r="I48">
            <v>3675</v>
          </cell>
        </row>
      </sheetData>
      <sheetData sheetId="5" refreshError="1"/>
      <sheetData sheetId="6" refreshError="1"/>
      <sheetData sheetId="7" refreshError="1"/>
      <sheetData sheetId="8">
        <row r="23">
          <cell r="S23">
            <v>41</v>
          </cell>
        </row>
      </sheetData>
      <sheetData sheetId="9" refreshError="1"/>
      <sheetData sheetId="10" refreshError="1"/>
      <sheetData sheetId="11" refreshError="1"/>
      <sheetData sheetId="12">
        <row r="90">
          <cell r="R90">
            <v>50</v>
          </cell>
        </row>
      </sheetData>
      <sheetData sheetId="13">
        <row r="97">
          <cell r="S97">
            <v>56</v>
          </cell>
        </row>
      </sheetData>
      <sheetData sheetId="14" refreshError="1"/>
      <sheetData sheetId="15">
        <row r="8">
          <cell r="S8">
            <v>69</v>
          </cell>
        </row>
      </sheetData>
      <sheetData sheetId="16" refreshError="1"/>
      <sheetData sheetId="17" refreshError="1"/>
      <sheetData sheetId="18">
        <row r="8">
          <cell r="S8">
            <v>29</v>
          </cell>
        </row>
      </sheetData>
      <sheetData sheetId="19" refreshError="1"/>
      <sheetData sheetId="20">
        <row r="23">
          <cell r="D23">
            <v>3200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검침분구비율"/>
      <sheetName val="기존계획안검토"/>
      <sheetName val="제1안검토"/>
      <sheetName val="1.2-2급수대상지역별 급수량"/>
      <sheetName val="제2안검토"/>
      <sheetName val="기존계획안(표)"/>
      <sheetName val="기존계획안 "/>
      <sheetName val="제1안(표)"/>
      <sheetName val="제1안"/>
      <sheetName val="제2안(표)"/>
      <sheetName val="제2안"/>
      <sheetName val="급수구역수량"/>
      <sheetName val="급수구역수량(3안)"/>
      <sheetName val="인구및급수현황"/>
      <sheetName val="계획인구검토"/>
      <sheetName val="계획급수량검토(일평균)"/>
      <sheetName val="계획급수량검토(일최대)"/>
      <sheetName val="검침분구수요량(생활)"/>
      <sheetName val="검침분구총량(생활)"/>
      <sheetName val="검침분구수요량(공업)"/>
      <sheetName val="생활격점(1)"/>
      <sheetName val="생활격점(2)"/>
      <sheetName val="생활격점(적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L4">
            <v>69900</v>
          </cell>
        </row>
        <row r="5">
          <cell r="L5">
            <v>3300</v>
          </cell>
        </row>
        <row r="7">
          <cell r="L7">
            <v>4700</v>
          </cell>
        </row>
        <row r="9">
          <cell r="K9">
            <v>23200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oval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oval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38"/>
  <sheetViews>
    <sheetView workbookViewId="0"/>
  </sheetViews>
  <sheetFormatPr defaultColWidth="3.5546875" defaultRowHeight="23.1" customHeight="1"/>
  <cols>
    <col min="1" max="7" width="3.5546875" style="110" customWidth="1"/>
    <col min="8" max="9" width="3.77734375" style="110" customWidth="1"/>
    <col min="10" max="16384" width="3.5546875" style="110"/>
  </cols>
  <sheetData>
    <row r="1" spans="1:40" s="114" customFormat="1" ht="23.1" customHeight="1">
      <c r="A1" s="111" t="s">
        <v>306</v>
      </c>
    </row>
    <row r="5" spans="1:40" ht="23.1" customHeight="1">
      <c r="R5" s="116"/>
      <c r="S5" s="119"/>
      <c r="T5" s="119"/>
      <c r="U5" s="119"/>
      <c r="V5" s="117"/>
      <c r="W5" s="116"/>
      <c r="X5" s="116"/>
      <c r="Y5" s="116"/>
      <c r="AA5" s="198" t="s">
        <v>207</v>
      </c>
      <c r="AB5" s="209"/>
      <c r="AC5" s="209"/>
      <c r="AD5" s="210"/>
      <c r="AF5" s="206" t="s">
        <v>323</v>
      </c>
      <c r="AG5" s="206"/>
      <c r="AH5" s="206"/>
      <c r="AJ5" s="116"/>
      <c r="AK5" s="198" t="s">
        <v>221</v>
      </c>
      <c r="AL5" s="203"/>
      <c r="AM5" s="203"/>
      <c r="AN5" s="199"/>
    </row>
    <row r="6" spans="1:40" ht="23.1" customHeight="1">
      <c r="R6" s="116"/>
      <c r="S6" s="116"/>
      <c r="T6" s="128"/>
      <c r="U6" s="116"/>
      <c r="V6" s="117"/>
      <c r="W6" s="117"/>
      <c r="X6" s="129"/>
      <c r="Y6" s="129"/>
      <c r="AA6" s="200" t="s">
        <v>223</v>
      </c>
      <c r="AB6" s="204"/>
      <c r="AC6" s="205">
        <v>29.9</v>
      </c>
      <c r="AD6" s="201"/>
      <c r="AF6" s="110" t="s">
        <v>231</v>
      </c>
      <c r="AG6" s="207">
        <f>P27</f>
        <v>250</v>
      </c>
      <c r="AH6" s="207"/>
      <c r="AK6" s="200" t="s">
        <v>222</v>
      </c>
      <c r="AL6" s="204"/>
      <c r="AM6" s="205">
        <f>AJ27</f>
        <v>30</v>
      </c>
      <c r="AN6" s="220"/>
    </row>
    <row r="7" spans="1:40" ht="23.1" customHeight="1">
      <c r="X7" s="221"/>
      <c r="Y7" s="221"/>
      <c r="AF7" s="110" t="s">
        <v>232</v>
      </c>
      <c r="AG7" s="221">
        <f>J27</f>
        <v>454</v>
      </c>
      <c r="AH7" s="221"/>
      <c r="AI7" s="112"/>
      <c r="AJ7" s="112"/>
      <c r="AK7" s="206" t="s">
        <v>322</v>
      </c>
      <c r="AL7" s="206"/>
      <c r="AM7" s="206"/>
      <c r="AN7" s="116"/>
    </row>
    <row r="8" spans="1:40" ht="23.1" customHeight="1">
      <c r="S8" s="198" t="s">
        <v>321</v>
      </c>
      <c r="T8" s="203"/>
      <c r="U8" s="203"/>
      <c r="V8" s="199"/>
      <c r="X8" s="198" t="s">
        <v>275</v>
      </c>
      <c r="Y8" s="203"/>
      <c r="Z8" s="203"/>
      <c r="AA8" s="199"/>
      <c r="AC8" s="198" t="s">
        <v>203</v>
      </c>
      <c r="AD8" s="203"/>
      <c r="AE8" s="203"/>
      <c r="AF8" s="199"/>
      <c r="AK8" s="110" t="s">
        <v>231</v>
      </c>
      <c r="AL8" s="207">
        <f>P26</f>
        <v>450</v>
      </c>
      <c r="AM8" s="207"/>
      <c r="AN8" s="130"/>
    </row>
    <row r="9" spans="1:40" ht="23.1" customHeight="1">
      <c r="J9" s="112"/>
      <c r="K9" s="112"/>
      <c r="S9" s="200" t="s">
        <v>234</v>
      </c>
      <c r="T9" s="204"/>
      <c r="U9" s="205">
        <f>AB22</f>
        <v>60.989999999999988</v>
      </c>
      <c r="V9" s="201"/>
      <c r="X9" s="200" t="s">
        <v>234</v>
      </c>
      <c r="Y9" s="204"/>
      <c r="Z9" s="205">
        <f>AB23</f>
        <v>60.54999999999999</v>
      </c>
      <c r="AA9" s="201"/>
      <c r="AC9" s="200" t="s">
        <v>234</v>
      </c>
      <c r="AD9" s="204"/>
      <c r="AE9" s="205">
        <f>AB24</f>
        <v>58.639999999999993</v>
      </c>
      <c r="AF9" s="201"/>
      <c r="AK9" s="110" t="s">
        <v>232</v>
      </c>
      <c r="AL9" s="221">
        <f>J26</f>
        <v>5675</v>
      </c>
      <c r="AM9" s="221"/>
    </row>
    <row r="10" spans="1:40" ht="23.1" customHeight="1">
      <c r="B10" s="198" t="s">
        <v>214</v>
      </c>
      <c r="C10" s="209"/>
      <c r="D10" s="209"/>
      <c r="E10" s="210"/>
      <c r="F10" s="112"/>
      <c r="G10" s="206" t="s">
        <v>225</v>
      </c>
      <c r="H10" s="206"/>
      <c r="I10" s="206"/>
      <c r="L10" s="206" t="s">
        <v>226</v>
      </c>
      <c r="M10" s="206"/>
      <c r="N10" s="206"/>
      <c r="Q10" s="206" t="s">
        <v>227</v>
      </c>
      <c r="R10" s="206"/>
      <c r="S10" s="206"/>
      <c r="V10" s="206" t="s">
        <v>228</v>
      </c>
      <c r="W10" s="206"/>
      <c r="X10" s="206"/>
      <c r="AA10" s="206" t="s">
        <v>229</v>
      </c>
      <c r="AB10" s="206"/>
      <c r="AC10" s="206"/>
      <c r="AF10" s="206" t="s">
        <v>230</v>
      </c>
      <c r="AG10" s="206"/>
      <c r="AH10" s="206"/>
      <c r="AJ10" s="116"/>
      <c r="AK10" s="198" t="s">
        <v>204</v>
      </c>
      <c r="AL10" s="203"/>
      <c r="AM10" s="203"/>
      <c r="AN10" s="199"/>
    </row>
    <row r="11" spans="1:40" ht="23.1" customHeight="1">
      <c r="B11" s="200" t="s">
        <v>224</v>
      </c>
      <c r="C11" s="204"/>
      <c r="D11" s="205">
        <f>AF20</f>
        <v>68.599999999999994</v>
      </c>
      <c r="E11" s="201"/>
      <c r="G11" s="110" t="s">
        <v>231</v>
      </c>
      <c r="H11" s="207">
        <f>P20</f>
        <v>1000</v>
      </c>
      <c r="I11" s="207"/>
      <c r="L11" s="110" t="s">
        <v>231</v>
      </c>
      <c r="M11" s="207">
        <f>P21</f>
        <v>900</v>
      </c>
      <c r="N11" s="207"/>
      <c r="Q11" s="110" t="s">
        <v>231</v>
      </c>
      <c r="R11" s="207">
        <f>P22</f>
        <v>900</v>
      </c>
      <c r="S11" s="207"/>
      <c r="V11" s="110" t="s">
        <v>231</v>
      </c>
      <c r="W11" s="207">
        <f>P23</f>
        <v>900</v>
      </c>
      <c r="X11" s="207"/>
      <c r="AA11" s="110" t="s">
        <v>231</v>
      </c>
      <c r="AB11" s="207">
        <f>P24</f>
        <v>900</v>
      </c>
      <c r="AC11" s="207"/>
      <c r="AF11" s="110" t="s">
        <v>231</v>
      </c>
      <c r="AG11" s="207">
        <f>P25</f>
        <v>450</v>
      </c>
      <c r="AH11" s="207"/>
      <c r="AJ11" s="116"/>
      <c r="AK11" s="200" t="s">
        <v>234</v>
      </c>
      <c r="AL11" s="204"/>
      <c r="AM11" s="205">
        <f>AB25</f>
        <v>57.609999999999992</v>
      </c>
      <c r="AN11" s="201"/>
    </row>
    <row r="12" spans="1:40" ht="23.1" customHeight="1">
      <c r="G12" s="110" t="s">
        <v>232</v>
      </c>
      <c r="H12" s="221">
        <f>J20</f>
        <v>7053</v>
      </c>
      <c r="I12" s="221"/>
      <c r="L12" s="110" t="s">
        <v>232</v>
      </c>
      <c r="M12" s="221">
        <f>J21</f>
        <v>2346</v>
      </c>
      <c r="N12" s="221"/>
      <c r="Q12" s="110" t="s">
        <v>232</v>
      </c>
      <c r="R12" s="221">
        <f>J22</f>
        <v>3796</v>
      </c>
      <c r="S12" s="221"/>
      <c r="V12" s="110" t="s">
        <v>232</v>
      </c>
      <c r="W12" s="221">
        <f>J23</f>
        <v>610</v>
      </c>
      <c r="X12" s="221"/>
      <c r="AA12" s="110" t="s">
        <v>232</v>
      </c>
      <c r="AB12" s="221">
        <f>J24</f>
        <v>2823</v>
      </c>
      <c r="AC12" s="221"/>
      <c r="AF12" s="110" t="s">
        <v>232</v>
      </c>
      <c r="AG12" s="221">
        <f>J25</f>
        <v>1784</v>
      </c>
      <c r="AH12" s="221"/>
    </row>
    <row r="14" spans="1:40" ht="23.1" customHeight="1">
      <c r="I14" s="198" t="s">
        <v>201</v>
      </c>
      <c r="J14" s="203"/>
      <c r="K14" s="203"/>
      <c r="L14" s="199"/>
      <c r="N14" s="198" t="s">
        <v>215</v>
      </c>
      <c r="O14" s="203"/>
      <c r="P14" s="203"/>
      <c r="Q14" s="199"/>
      <c r="S14" s="198" t="s">
        <v>319</v>
      </c>
      <c r="T14" s="203"/>
      <c r="U14" s="203"/>
      <c r="V14" s="199"/>
      <c r="X14" s="198" t="s">
        <v>320</v>
      </c>
      <c r="Y14" s="203"/>
      <c r="Z14" s="203"/>
      <c r="AA14" s="199"/>
      <c r="AC14" s="198" t="s">
        <v>341</v>
      </c>
      <c r="AD14" s="203"/>
      <c r="AE14" s="203"/>
      <c r="AF14" s="199"/>
      <c r="AH14" s="198" t="s">
        <v>220</v>
      </c>
      <c r="AI14" s="203"/>
      <c r="AJ14" s="203"/>
      <c r="AK14" s="199"/>
    </row>
    <row r="15" spans="1:40" ht="23.1" customHeight="1">
      <c r="I15" s="115" t="s">
        <v>233</v>
      </c>
      <c r="J15" s="237">
        <f>배분계획!C9</f>
        <v>1456</v>
      </c>
      <c r="K15" s="204"/>
      <c r="L15" s="201"/>
      <c r="N15" s="115" t="s">
        <v>233</v>
      </c>
      <c r="O15" s="237">
        <f>배분계획!C8</f>
        <v>1533</v>
      </c>
      <c r="P15" s="204"/>
      <c r="Q15" s="201"/>
      <c r="S15" s="115" t="s">
        <v>233</v>
      </c>
      <c r="T15" s="229">
        <f>배분계획!C4</f>
        <v>287</v>
      </c>
      <c r="U15" s="204"/>
      <c r="V15" s="201"/>
      <c r="X15" s="115" t="s">
        <v>233</v>
      </c>
      <c r="Y15" s="229">
        <f>배분계획!C12+배분계획!C22+배분계획!C10</f>
        <v>1357</v>
      </c>
      <c r="Z15" s="204"/>
      <c r="AA15" s="201"/>
      <c r="AC15" s="115" t="s">
        <v>233</v>
      </c>
      <c r="AD15" s="237">
        <f>배분계획!C5+배분계획!C6+배분계획!C13+배분계획!C14+배분계획!C16+배분계획!C17+배분계획!C18+배분계획!C19+배분계획!C20</f>
        <v>33554</v>
      </c>
      <c r="AE15" s="204"/>
      <c r="AF15" s="201"/>
      <c r="AH15" s="115" t="s">
        <v>233</v>
      </c>
      <c r="AI15" s="237">
        <f>배분계획!C7</f>
        <v>743</v>
      </c>
      <c r="AJ15" s="204"/>
      <c r="AK15" s="201"/>
    </row>
    <row r="16" spans="1:40" ht="23.1" customHeight="1">
      <c r="I16" s="117"/>
      <c r="J16" s="132"/>
      <c r="K16" s="117"/>
      <c r="L16" s="117"/>
      <c r="N16" s="117"/>
      <c r="O16" s="132"/>
      <c r="P16" s="117"/>
      <c r="Q16" s="117"/>
      <c r="S16" s="117"/>
      <c r="T16" s="133"/>
      <c r="U16" s="117"/>
      <c r="V16" s="117"/>
      <c r="X16" s="117"/>
      <c r="Y16" s="133"/>
      <c r="Z16" s="117"/>
      <c r="AA16" s="117"/>
      <c r="AC16" s="117"/>
      <c r="AD16" s="132"/>
      <c r="AE16" s="117"/>
      <c r="AF16" s="117"/>
      <c r="AH16" s="117"/>
      <c r="AI16" s="132"/>
      <c r="AJ16" s="117"/>
      <c r="AK16" s="117"/>
    </row>
    <row r="18" spans="1:42" ht="23.1" customHeight="1">
      <c r="A18" s="179" t="s">
        <v>179</v>
      </c>
      <c r="B18" s="179"/>
      <c r="C18" s="179" t="s">
        <v>180</v>
      </c>
      <c r="D18" s="179"/>
      <c r="E18" s="179"/>
      <c r="F18" s="179"/>
      <c r="G18" s="179"/>
      <c r="H18" s="179"/>
      <c r="I18" s="179"/>
      <c r="J18" s="181" t="s">
        <v>195</v>
      </c>
      <c r="K18" s="179"/>
      <c r="L18" s="179" t="s">
        <v>181</v>
      </c>
      <c r="M18" s="179"/>
      <c r="N18" s="179"/>
      <c r="O18" s="179"/>
      <c r="P18" s="181" t="s">
        <v>189</v>
      </c>
      <c r="Q18" s="179"/>
      <c r="R18" s="181" t="s">
        <v>190</v>
      </c>
      <c r="S18" s="179"/>
      <c r="T18" s="181" t="s">
        <v>191</v>
      </c>
      <c r="U18" s="179"/>
      <c r="V18" s="181" t="s">
        <v>193</v>
      </c>
      <c r="W18" s="179"/>
      <c r="X18" s="181" t="s">
        <v>194</v>
      </c>
      <c r="Y18" s="179"/>
      <c r="Z18" s="179" t="s">
        <v>196</v>
      </c>
      <c r="AA18" s="179"/>
      <c r="AB18" s="179"/>
      <c r="AC18" s="179"/>
      <c r="AD18" s="179" t="s">
        <v>184</v>
      </c>
      <c r="AE18" s="179"/>
      <c r="AF18" s="179"/>
      <c r="AG18" s="179"/>
      <c r="AH18" s="179" t="s">
        <v>187</v>
      </c>
      <c r="AI18" s="179"/>
      <c r="AJ18" s="179"/>
      <c r="AK18" s="179"/>
      <c r="AL18" s="179"/>
      <c r="AM18" s="179"/>
      <c r="AN18" s="179"/>
      <c r="AO18" s="179"/>
      <c r="AP18" s="116"/>
    </row>
    <row r="19" spans="1:42" ht="23.1" customHeight="1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 t="s">
        <v>197</v>
      </c>
      <c r="M19" s="179"/>
      <c r="N19" s="179" t="s">
        <v>188</v>
      </c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 t="s">
        <v>182</v>
      </c>
      <c r="AA19" s="179"/>
      <c r="AB19" s="179" t="s">
        <v>183</v>
      </c>
      <c r="AC19" s="179"/>
      <c r="AD19" s="179" t="s">
        <v>185</v>
      </c>
      <c r="AE19" s="179"/>
      <c r="AF19" s="179" t="s">
        <v>186</v>
      </c>
      <c r="AG19" s="179"/>
      <c r="AH19" s="179"/>
      <c r="AI19" s="179"/>
      <c r="AJ19" s="179"/>
      <c r="AK19" s="179"/>
      <c r="AL19" s="179"/>
      <c r="AM19" s="179"/>
      <c r="AN19" s="179"/>
      <c r="AO19" s="179"/>
      <c r="AP19" s="116"/>
    </row>
    <row r="20" spans="1:42" ht="23.1" customHeight="1">
      <c r="A20" s="180" t="s">
        <v>198</v>
      </c>
      <c r="B20" s="180"/>
      <c r="C20" s="179" t="s">
        <v>199</v>
      </c>
      <c r="D20" s="179"/>
      <c r="E20" s="182"/>
      <c r="F20" s="113" t="s">
        <v>200</v>
      </c>
      <c r="G20" s="183" t="s">
        <v>201</v>
      </c>
      <c r="H20" s="179"/>
      <c r="I20" s="179"/>
      <c r="J20" s="222">
        <v>7053</v>
      </c>
      <c r="K20" s="223"/>
      <c r="L20" s="222">
        <f>L21+J15</f>
        <v>43403</v>
      </c>
      <c r="M20" s="223"/>
      <c r="N20" s="230">
        <f>L20/24/60/60</f>
        <v>0.502349537037037</v>
      </c>
      <c r="O20" s="231"/>
      <c r="P20" s="222">
        <v>1000</v>
      </c>
      <c r="Q20" s="223"/>
      <c r="R20" s="224">
        <f t="shared" ref="R20:R27" si="0">IF(P20&lt;=600,100,IF(P20&gt;=1000,120,110))</f>
        <v>120</v>
      </c>
      <c r="S20" s="225"/>
      <c r="T20" s="226">
        <f t="shared" ref="T20:T27" si="1">10.666*R20^(-1.85)*(P20/1000)^(-4.87)*N20^1.85</f>
        <v>4.2498870306978236E-4</v>
      </c>
      <c r="U20" s="227"/>
      <c r="V20" s="232">
        <f t="shared" ref="V20:V27" si="2">0.35464*R20*(P20/1000)^(0.63)*T20^(0.54)</f>
        <v>0.64312109149146535</v>
      </c>
      <c r="W20" s="233"/>
      <c r="X20" s="234">
        <f t="shared" ref="X20:X27" si="3">ROUND(T20*J20,2)</f>
        <v>3</v>
      </c>
      <c r="Y20" s="235"/>
      <c r="Z20" s="236">
        <f>AF20+AJ20</f>
        <v>68.599999999999994</v>
      </c>
      <c r="AA20" s="236"/>
      <c r="AB20" s="236">
        <f t="shared" ref="AB20:AB27" si="4">Z20-X20+AJ20</f>
        <v>65.599999999999994</v>
      </c>
      <c r="AC20" s="236"/>
      <c r="AD20" s="197"/>
      <c r="AE20" s="197"/>
      <c r="AF20" s="196">
        <v>68.599999999999994</v>
      </c>
      <c r="AG20" s="196"/>
      <c r="AH20" s="176" t="s">
        <v>212</v>
      </c>
      <c r="AI20" s="177"/>
      <c r="AJ20" s="183"/>
      <c r="AK20" s="179"/>
      <c r="AL20" s="176" t="s">
        <v>213</v>
      </c>
      <c r="AM20" s="177"/>
      <c r="AN20" s="178" t="str">
        <f t="shared" ref="AN20:AN27" si="5">IF(AD20="","",AB20-AD20)</f>
        <v/>
      </c>
      <c r="AO20" s="202"/>
    </row>
    <row r="21" spans="1:42" ht="23.1" customHeight="1">
      <c r="A21" s="180" t="s">
        <v>324</v>
      </c>
      <c r="B21" s="180"/>
      <c r="C21" s="179" t="s">
        <v>202</v>
      </c>
      <c r="D21" s="179"/>
      <c r="E21" s="182"/>
      <c r="F21" s="113" t="s">
        <v>200</v>
      </c>
      <c r="G21" s="183" t="s">
        <v>217</v>
      </c>
      <c r="H21" s="179"/>
      <c r="I21" s="179"/>
      <c r="J21" s="222">
        <v>2346</v>
      </c>
      <c r="K21" s="223"/>
      <c r="L21" s="222">
        <f>L22+O15</f>
        <v>41947</v>
      </c>
      <c r="M21" s="223"/>
      <c r="N21" s="230">
        <f t="shared" ref="N21:N27" si="6">L21/24/60/60</f>
        <v>0.48549768518518521</v>
      </c>
      <c r="O21" s="231"/>
      <c r="P21" s="222">
        <v>900</v>
      </c>
      <c r="Q21" s="223"/>
      <c r="R21" s="224">
        <f t="shared" si="0"/>
        <v>110</v>
      </c>
      <c r="S21" s="225"/>
      <c r="T21" s="226">
        <f t="shared" si="1"/>
        <v>7.829073016091553E-4</v>
      </c>
      <c r="U21" s="227"/>
      <c r="V21" s="232">
        <f t="shared" si="2"/>
        <v>0.76728510915813486</v>
      </c>
      <c r="W21" s="233"/>
      <c r="X21" s="234">
        <f t="shared" si="3"/>
        <v>1.84</v>
      </c>
      <c r="Y21" s="235"/>
      <c r="Z21" s="236">
        <f t="shared" ref="Z21:Z27" si="7">AB20</f>
        <v>65.599999999999994</v>
      </c>
      <c r="AA21" s="236"/>
      <c r="AB21" s="236">
        <f t="shared" si="4"/>
        <v>63.759999999999991</v>
      </c>
      <c r="AC21" s="236"/>
      <c r="AD21" s="197"/>
      <c r="AE21" s="197"/>
      <c r="AF21" s="197"/>
      <c r="AG21" s="197"/>
      <c r="AH21" s="176" t="s">
        <v>212</v>
      </c>
      <c r="AI21" s="177"/>
      <c r="AJ21" s="183"/>
      <c r="AK21" s="179"/>
      <c r="AL21" s="176" t="s">
        <v>213</v>
      </c>
      <c r="AM21" s="177"/>
      <c r="AN21" s="178" t="str">
        <f t="shared" si="5"/>
        <v/>
      </c>
      <c r="AO21" s="202"/>
    </row>
    <row r="22" spans="1:42" ht="23.1" customHeight="1">
      <c r="A22" s="180" t="s">
        <v>208</v>
      </c>
      <c r="B22" s="180"/>
      <c r="C22" s="179" t="s">
        <v>217</v>
      </c>
      <c r="D22" s="179"/>
      <c r="E22" s="182"/>
      <c r="F22" s="113" t="s">
        <v>200</v>
      </c>
      <c r="G22" s="183" t="s">
        <v>327</v>
      </c>
      <c r="H22" s="179"/>
      <c r="I22" s="179"/>
      <c r="J22" s="222">
        <v>3796</v>
      </c>
      <c r="K22" s="223"/>
      <c r="L22" s="222">
        <f>L23+T15</f>
        <v>40414</v>
      </c>
      <c r="M22" s="223"/>
      <c r="N22" s="230">
        <f t="shared" si="6"/>
        <v>0.46775462962962966</v>
      </c>
      <c r="O22" s="231"/>
      <c r="P22" s="222">
        <v>900</v>
      </c>
      <c r="Q22" s="223"/>
      <c r="R22" s="224">
        <f t="shared" si="0"/>
        <v>110</v>
      </c>
      <c r="S22" s="225"/>
      <c r="T22" s="226">
        <f t="shared" si="1"/>
        <v>7.3079836313543682E-4</v>
      </c>
      <c r="U22" s="227"/>
      <c r="V22" s="232">
        <f t="shared" si="2"/>
        <v>0.73927134027944286</v>
      </c>
      <c r="W22" s="233"/>
      <c r="X22" s="234">
        <f t="shared" si="3"/>
        <v>2.77</v>
      </c>
      <c r="Y22" s="235"/>
      <c r="Z22" s="236">
        <f t="shared" si="7"/>
        <v>63.759999999999991</v>
      </c>
      <c r="AA22" s="236"/>
      <c r="AB22" s="236">
        <f t="shared" si="4"/>
        <v>60.989999999999988</v>
      </c>
      <c r="AC22" s="236"/>
      <c r="AD22" s="197"/>
      <c r="AE22" s="197"/>
      <c r="AF22" s="197"/>
      <c r="AG22" s="197"/>
      <c r="AH22" s="176" t="s">
        <v>212</v>
      </c>
      <c r="AI22" s="177"/>
      <c r="AJ22" s="183"/>
      <c r="AK22" s="179"/>
      <c r="AL22" s="176" t="s">
        <v>213</v>
      </c>
      <c r="AM22" s="177"/>
      <c r="AN22" s="178" t="str">
        <f t="shared" si="5"/>
        <v/>
      </c>
      <c r="AO22" s="202"/>
    </row>
    <row r="23" spans="1:42" ht="23.1" customHeight="1">
      <c r="A23" s="180" t="s">
        <v>209</v>
      </c>
      <c r="B23" s="180"/>
      <c r="C23" s="179" t="s">
        <v>327</v>
      </c>
      <c r="D23" s="179"/>
      <c r="E23" s="182"/>
      <c r="F23" s="113" t="s">
        <v>200</v>
      </c>
      <c r="G23" s="183" t="s">
        <v>326</v>
      </c>
      <c r="H23" s="179"/>
      <c r="I23" s="179"/>
      <c r="J23" s="222">
        <v>610</v>
      </c>
      <c r="K23" s="223"/>
      <c r="L23" s="222">
        <f>L24+Y15</f>
        <v>40127</v>
      </c>
      <c r="M23" s="223"/>
      <c r="N23" s="230">
        <f t="shared" si="6"/>
        <v>0.46443287037037034</v>
      </c>
      <c r="O23" s="231"/>
      <c r="P23" s="222">
        <v>900</v>
      </c>
      <c r="Q23" s="223"/>
      <c r="R23" s="224">
        <f t="shared" si="0"/>
        <v>110</v>
      </c>
      <c r="S23" s="225"/>
      <c r="T23" s="226">
        <f t="shared" si="1"/>
        <v>7.2122628701136937E-4</v>
      </c>
      <c r="U23" s="227"/>
      <c r="V23" s="232">
        <f t="shared" si="2"/>
        <v>0.73402663650877997</v>
      </c>
      <c r="W23" s="233"/>
      <c r="X23" s="234">
        <f t="shared" si="3"/>
        <v>0.44</v>
      </c>
      <c r="Y23" s="235"/>
      <c r="Z23" s="236">
        <f t="shared" si="7"/>
        <v>60.989999999999988</v>
      </c>
      <c r="AA23" s="236"/>
      <c r="AB23" s="236">
        <f t="shared" si="4"/>
        <v>60.54999999999999</v>
      </c>
      <c r="AC23" s="236"/>
      <c r="AD23" s="197"/>
      <c r="AE23" s="197"/>
      <c r="AF23" s="197"/>
      <c r="AG23" s="197"/>
      <c r="AH23" s="176" t="s">
        <v>212</v>
      </c>
      <c r="AI23" s="177"/>
      <c r="AJ23" s="183"/>
      <c r="AK23" s="179"/>
      <c r="AL23" s="176" t="s">
        <v>213</v>
      </c>
      <c r="AM23" s="177"/>
      <c r="AN23" s="178" t="str">
        <f t="shared" si="5"/>
        <v/>
      </c>
      <c r="AO23" s="202"/>
    </row>
    <row r="24" spans="1:42" ht="23.1" customHeight="1">
      <c r="A24" s="180" t="s">
        <v>210</v>
      </c>
      <c r="B24" s="180"/>
      <c r="C24" s="179" t="s">
        <v>326</v>
      </c>
      <c r="D24" s="179"/>
      <c r="E24" s="182"/>
      <c r="F24" s="113" t="s">
        <v>200</v>
      </c>
      <c r="G24" s="183" t="s">
        <v>329</v>
      </c>
      <c r="H24" s="179"/>
      <c r="I24" s="179"/>
      <c r="J24" s="222">
        <v>2823</v>
      </c>
      <c r="K24" s="223"/>
      <c r="L24" s="222">
        <f>L25+AD15</f>
        <v>38770</v>
      </c>
      <c r="M24" s="223"/>
      <c r="N24" s="230">
        <f t="shared" si="6"/>
        <v>0.44872685185185185</v>
      </c>
      <c r="O24" s="231"/>
      <c r="P24" s="222">
        <v>900</v>
      </c>
      <c r="Q24" s="223"/>
      <c r="R24" s="224">
        <f t="shared" si="0"/>
        <v>110</v>
      </c>
      <c r="S24" s="225"/>
      <c r="T24" s="226">
        <f t="shared" si="1"/>
        <v>6.7675410555060505E-4</v>
      </c>
      <c r="U24" s="227"/>
      <c r="V24" s="232">
        <f t="shared" si="2"/>
        <v>0.7092279949377025</v>
      </c>
      <c r="W24" s="233"/>
      <c r="X24" s="234">
        <f t="shared" si="3"/>
        <v>1.91</v>
      </c>
      <c r="Y24" s="235"/>
      <c r="Z24" s="236">
        <f t="shared" si="7"/>
        <v>60.54999999999999</v>
      </c>
      <c r="AA24" s="236"/>
      <c r="AB24" s="236">
        <f t="shared" si="4"/>
        <v>58.639999999999993</v>
      </c>
      <c r="AC24" s="236"/>
      <c r="AD24" s="197"/>
      <c r="AE24" s="197"/>
      <c r="AF24" s="197"/>
      <c r="AG24" s="197"/>
      <c r="AH24" s="176" t="s">
        <v>212</v>
      </c>
      <c r="AI24" s="177"/>
      <c r="AJ24" s="183"/>
      <c r="AK24" s="179"/>
      <c r="AL24" s="176" t="s">
        <v>213</v>
      </c>
      <c r="AM24" s="177"/>
      <c r="AN24" s="178" t="str">
        <f t="shared" si="5"/>
        <v/>
      </c>
      <c r="AO24" s="202"/>
    </row>
    <row r="25" spans="1:42" ht="23.1" customHeight="1">
      <c r="A25" s="180" t="s">
        <v>211</v>
      </c>
      <c r="B25" s="180"/>
      <c r="C25" s="179" t="s">
        <v>329</v>
      </c>
      <c r="D25" s="179"/>
      <c r="E25" s="182"/>
      <c r="F25" s="113" t="s">
        <v>200</v>
      </c>
      <c r="G25" s="183" t="s">
        <v>330</v>
      </c>
      <c r="H25" s="179"/>
      <c r="I25" s="179"/>
      <c r="J25" s="222">
        <v>1784</v>
      </c>
      <c r="K25" s="223"/>
      <c r="L25" s="222">
        <f>L26+AI15</f>
        <v>5216</v>
      </c>
      <c r="M25" s="223"/>
      <c r="N25" s="230">
        <f>L25/24/60/60</f>
        <v>6.0370370370370373E-2</v>
      </c>
      <c r="O25" s="231"/>
      <c r="P25" s="222">
        <v>450</v>
      </c>
      <c r="Q25" s="223"/>
      <c r="R25" s="224">
        <f>IF(P25&lt;=600,100,IF(P25&gt;=1000,120,110))</f>
        <v>100</v>
      </c>
      <c r="S25" s="225"/>
      <c r="T25" s="226">
        <f>10.666*R25^(-1.85)*(P25/1000)^(-4.87)*N25^1.85</f>
        <v>5.7727233060765994E-4</v>
      </c>
      <c r="U25" s="227"/>
      <c r="V25" s="232">
        <f>0.35464*R25*(P25/1000)^(0.63)*T25^(0.54)</f>
        <v>0.38234657349816348</v>
      </c>
      <c r="W25" s="233"/>
      <c r="X25" s="234">
        <f>ROUND(T25*J25,2)</f>
        <v>1.03</v>
      </c>
      <c r="Y25" s="235"/>
      <c r="Z25" s="236">
        <f t="shared" si="7"/>
        <v>58.639999999999993</v>
      </c>
      <c r="AA25" s="236"/>
      <c r="AB25" s="236">
        <f>Z25-X25+AJ25</f>
        <v>57.609999999999992</v>
      </c>
      <c r="AC25" s="236"/>
      <c r="AD25" s="197"/>
      <c r="AE25" s="197"/>
      <c r="AF25" s="197"/>
      <c r="AG25" s="197"/>
      <c r="AH25" s="176" t="s">
        <v>212</v>
      </c>
      <c r="AI25" s="177"/>
      <c r="AJ25" s="183"/>
      <c r="AK25" s="179"/>
      <c r="AL25" s="176" t="s">
        <v>213</v>
      </c>
      <c r="AM25" s="177"/>
      <c r="AN25" s="178" t="str">
        <f>IF(AD25="","",AB25-AD25)</f>
        <v/>
      </c>
      <c r="AO25" s="202"/>
    </row>
    <row r="26" spans="1:42" ht="23.1" customHeight="1">
      <c r="A26" s="180" t="s">
        <v>216</v>
      </c>
      <c r="B26" s="180"/>
      <c r="C26" s="179" t="s">
        <v>204</v>
      </c>
      <c r="D26" s="179"/>
      <c r="E26" s="182"/>
      <c r="F26" s="113" t="s">
        <v>200</v>
      </c>
      <c r="G26" s="183" t="s">
        <v>205</v>
      </c>
      <c r="H26" s="179"/>
      <c r="I26" s="179"/>
      <c r="J26" s="222">
        <v>5675</v>
      </c>
      <c r="K26" s="223"/>
      <c r="L26" s="222">
        <f>L27</f>
        <v>4473</v>
      </c>
      <c r="M26" s="223"/>
      <c r="N26" s="230">
        <f>L26/24/60/60</f>
        <v>5.1770833333333335E-2</v>
      </c>
      <c r="O26" s="231"/>
      <c r="P26" s="222">
        <v>450</v>
      </c>
      <c r="Q26" s="223"/>
      <c r="R26" s="224">
        <f>IF(P26&lt;=600,100,IF(P26&gt;=1000,120,110))</f>
        <v>100</v>
      </c>
      <c r="S26" s="225"/>
      <c r="T26" s="226">
        <f>10.666*R26^(-1.85)*(P26/1000)^(-4.87)*N26^1.85</f>
        <v>4.3442436531520049E-4</v>
      </c>
      <c r="U26" s="227"/>
      <c r="V26" s="232">
        <f>0.35464*R26*(P26/1000)^(0.63)*T26^(0.54)</f>
        <v>0.32793310161387129</v>
      </c>
      <c r="W26" s="233"/>
      <c r="X26" s="234">
        <f>ROUND(T26*J26,2)</f>
        <v>2.4700000000000002</v>
      </c>
      <c r="Y26" s="235"/>
      <c r="Z26" s="236">
        <f t="shared" si="7"/>
        <v>57.609999999999992</v>
      </c>
      <c r="AA26" s="236"/>
      <c r="AB26" s="236">
        <f>Z26-X26+AJ26</f>
        <v>55.139999999999993</v>
      </c>
      <c r="AC26" s="236"/>
      <c r="AD26" s="197"/>
      <c r="AE26" s="197"/>
      <c r="AF26" s="197"/>
      <c r="AG26" s="197"/>
      <c r="AH26" s="176" t="s">
        <v>212</v>
      </c>
      <c r="AI26" s="177"/>
      <c r="AJ26" s="183"/>
      <c r="AK26" s="179"/>
      <c r="AL26" s="176" t="s">
        <v>213</v>
      </c>
      <c r="AM26" s="177"/>
      <c r="AN26" s="178" t="str">
        <f>IF(AD26="","",AB26-AD26)</f>
        <v/>
      </c>
      <c r="AO26" s="202"/>
    </row>
    <row r="27" spans="1:42" ht="23.1" customHeight="1">
      <c r="A27" s="180" t="s">
        <v>325</v>
      </c>
      <c r="B27" s="180"/>
      <c r="C27" s="179" t="s">
        <v>206</v>
      </c>
      <c r="D27" s="179"/>
      <c r="E27" s="182"/>
      <c r="F27" s="113" t="s">
        <v>200</v>
      </c>
      <c r="G27" s="183" t="s">
        <v>207</v>
      </c>
      <c r="H27" s="179"/>
      <c r="I27" s="179"/>
      <c r="J27" s="222">
        <v>454</v>
      </c>
      <c r="K27" s="223"/>
      <c r="L27" s="222">
        <f>배분계획!C21</f>
        <v>4473</v>
      </c>
      <c r="M27" s="223"/>
      <c r="N27" s="230">
        <f t="shared" si="6"/>
        <v>5.1770833333333335E-2</v>
      </c>
      <c r="O27" s="231"/>
      <c r="P27" s="222">
        <v>250</v>
      </c>
      <c r="Q27" s="223"/>
      <c r="R27" s="224">
        <f t="shared" si="0"/>
        <v>100</v>
      </c>
      <c r="S27" s="225"/>
      <c r="T27" s="226">
        <f t="shared" si="1"/>
        <v>7.6048609059017561E-3</v>
      </c>
      <c r="U27" s="227"/>
      <c r="V27" s="232">
        <f t="shared" si="2"/>
        <v>1.0623783515221452</v>
      </c>
      <c r="W27" s="233"/>
      <c r="X27" s="234">
        <f t="shared" si="3"/>
        <v>3.45</v>
      </c>
      <c r="Y27" s="235"/>
      <c r="Z27" s="236">
        <f t="shared" si="7"/>
        <v>55.139999999999993</v>
      </c>
      <c r="AA27" s="236"/>
      <c r="AB27" s="236">
        <f t="shared" si="4"/>
        <v>81.69</v>
      </c>
      <c r="AC27" s="236"/>
      <c r="AD27" s="196">
        <v>46.5</v>
      </c>
      <c r="AE27" s="196"/>
      <c r="AF27" s="196">
        <v>43</v>
      </c>
      <c r="AG27" s="196"/>
      <c r="AH27" s="176" t="s">
        <v>212</v>
      </c>
      <c r="AI27" s="177"/>
      <c r="AJ27" s="192">
        <v>30</v>
      </c>
      <c r="AK27" s="193"/>
      <c r="AL27" s="176" t="s">
        <v>213</v>
      </c>
      <c r="AM27" s="177"/>
      <c r="AN27" s="178">
        <f t="shared" si="5"/>
        <v>35.19</v>
      </c>
      <c r="AO27" s="202"/>
    </row>
    <row r="28" spans="1:42" s="114" customFormat="1" ht="23.1" customHeight="1">
      <c r="A28" s="111" t="s">
        <v>307</v>
      </c>
    </row>
    <row r="30" spans="1:42" ht="23.1" customHeight="1"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6"/>
      <c r="AK30" s="119"/>
      <c r="AL30" s="119"/>
      <c r="AM30" s="119"/>
    </row>
    <row r="31" spans="1:42" ht="23.1" customHeight="1"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6"/>
      <c r="AK31" s="119"/>
      <c r="AL31" s="119"/>
      <c r="AM31" s="119"/>
    </row>
    <row r="32" spans="1:42" ht="23.1" customHeight="1"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6"/>
      <c r="AK32" s="116"/>
      <c r="AL32" s="116"/>
      <c r="AM32" s="116"/>
    </row>
    <row r="33" spans="1:42" ht="23.1" customHeight="1"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</row>
    <row r="34" spans="1:42" ht="23.1" customHeight="1"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6"/>
      <c r="AJ34" s="116"/>
      <c r="AK34" s="116"/>
      <c r="AL34" s="117"/>
      <c r="AM34" s="118"/>
      <c r="AN34" s="118"/>
    </row>
    <row r="35" spans="1:42" ht="23.1" customHeight="1"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  <c r="AN35" s="118"/>
    </row>
    <row r="36" spans="1:42" ht="23.1" customHeight="1"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</row>
    <row r="37" spans="1:42" ht="23.1" customHeight="1">
      <c r="B37" s="198" t="s">
        <v>275</v>
      </c>
      <c r="C37" s="209"/>
      <c r="D37" s="209"/>
      <c r="E37" s="210"/>
      <c r="F37" s="112"/>
      <c r="G37" s="206" t="s">
        <v>235</v>
      </c>
      <c r="H37" s="206"/>
      <c r="I37" s="206"/>
      <c r="J37" s="117"/>
      <c r="K37" s="198" t="s">
        <v>264</v>
      </c>
      <c r="L37" s="203"/>
      <c r="M37" s="203"/>
      <c r="N37" s="199"/>
      <c r="O37" s="117"/>
      <c r="P37" s="206" t="s">
        <v>236</v>
      </c>
      <c r="Q37" s="206"/>
      <c r="R37" s="206"/>
      <c r="S37" s="116"/>
      <c r="T37" s="198" t="s">
        <v>218</v>
      </c>
      <c r="U37" s="209"/>
      <c r="V37" s="209"/>
      <c r="W37" s="210"/>
      <c r="X37" s="116"/>
      <c r="Y37" s="117"/>
      <c r="Z37" s="117"/>
      <c r="AA37" s="116"/>
      <c r="AB37" s="116"/>
      <c r="AC37" s="116"/>
      <c r="AD37" s="117"/>
      <c r="AE37" s="117"/>
      <c r="AF37" s="116"/>
      <c r="AG37" s="116"/>
      <c r="AH37" s="116"/>
      <c r="AI37" s="117"/>
      <c r="AJ37" s="116"/>
      <c r="AK37" s="116"/>
      <c r="AL37" s="116"/>
      <c r="AM37" s="116"/>
    </row>
    <row r="38" spans="1:42" ht="23.1" customHeight="1">
      <c r="B38" s="200" t="s">
        <v>234</v>
      </c>
      <c r="C38" s="204"/>
      <c r="D38" s="204"/>
      <c r="E38" s="201"/>
      <c r="G38" s="110" t="s">
        <v>231</v>
      </c>
      <c r="H38" s="207">
        <f>P47</f>
        <v>300</v>
      </c>
      <c r="I38" s="207"/>
      <c r="J38" s="117"/>
      <c r="K38" s="200" t="s">
        <v>222</v>
      </c>
      <c r="L38" s="204"/>
      <c r="M38" s="205">
        <f>AJ48</f>
        <v>0</v>
      </c>
      <c r="N38" s="220"/>
      <c r="O38" s="117"/>
      <c r="P38" s="110" t="s">
        <v>231</v>
      </c>
      <c r="Q38" s="207">
        <f>P48</f>
        <v>250</v>
      </c>
      <c r="R38" s="207"/>
      <c r="S38" s="118"/>
      <c r="T38" s="200" t="s">
        <v>223</v>
      </c>
      <c r="U38" s="204"/>
      <c r="V38" s="205">
        <v>29.9</v>
      </c>
      <c r="W38" s="201"/>
      <c r="X38" s="118"/>
      <c r="Y38" s="117"/>
      <c r="Z38" s="117"/>
      <c r="AA38" s="117"/>
      <c r="AB38" s="118"/>
      <c r="AC38" s="118"/>
      <c r="AD38" s="117"/>
      <c r="AE38" s="117"/>
      <c r="AF38" s="117"/>
      <c r="AG38" s="118"/>
      <c r="AH38" s="118"/>
      <c r="AI38" s="117"/>
      <c r="AJ38" s="116"/>
      <c r="AK38" s="116"/>
      <c r="AL38" s="116"/>
      <c r="AM38" s="116"/>
    </row>
    <row r="39" spans="1:42" ht="23.1" customHeight="1">
      <c r="G39" s="110" t="s">
        <v>232</v>
      </c>
      <c r="H39" s="221">
        <f>J47</f>
        <v>66</v>
      </c>
      <c r="I39" s="221"/>
      <c r="J39" s="117"/>
      <c r="K39" s="117"/>
      <c r="L39" s="117"/>
      <c r="M39" s="118"/>
      <c r="N39" s="118"/>
      <c r="O39" s="117"/>
      <c r="P39" s="110" t="s">
        <v>232</v>
      </c>
      <c r="Q39" s="221">
        <f>J48</f>
        <v>1576</v>
      </c>
      <c r="R39" s="221"/>
      <c r="S39" s="118"/>
      <c r="T39" s="117"/>
      <c r="U39" s="117"/>
      <c r="V39" s="117"/>
      <c r="W39" s="118"/>
      <c r="X39" s="118"/>
      <c r="Y39" s="117"/>
      <c r="Z39" s="117"/>
      <c r="AA39" s="117"/>
      <c r="AB39" s="118"/>
      <c r="AC39" s="118"/>
      <c r="AD39" s="117"/>
      <c r="AE39" s="117"/>
      <c r="AF39" s="117"/>
      <c r="AG39" s="118"/>
      <c r="AH39" s="118"/>
      <c r="AI39" s="117"/>
      <c r="AJ39" s="117"/>
      <c r="AK39" s="117"/>
      <c r="AL39" s="117"/>
      <c r="AM39" s="117"/>
    </row>
    <row r="40" spans="1:42" ht="23.1" customHeight="1"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</row>
    <row r="41" spans="1:42" ht="23.1" customHeight="1">
      <c r="I41" s="116"/>
      <c r="J41" s="116"/>
      <c r="K41" s="116"/>
      <c r="L41" s="116"/>
      <c r="M41" s="117"/>
      <c r="N41" s="116"/>
      <c r="O41" s="116"/>
      <c r="P41" s="116"/>
      <c r="Q41" s="116"/>
      <c r="R41" s="117"/>
      <c r="S41" s="116"/>
      <c r="T41" s="116"/>
      <c r="U41" s="116"/>
      <c r="V41" s="116"/>
      <c r="W41" s="117"/>
      <c r="X41" s="116"/>
      <c r="Y41" s="116"/>
      <c r="Z41" s="116"/>
      <c r="AA41" s="116"/>
      <c r="AB41" s="117"/>
      <c r="AC41" s="116"/>
      <c r="AD41" s="116"/>
      <c r="AE41" s="116"/>
      <c r="AF41" s="116"/>
      <c r="AG41" s="117"/>
      <c r="AH41" s="117"/>
      <c r="AI41" s="117"/>
      <c r="AJ41" s="117"/>
      <c r="AK41" s="117"/>
      <c r="AL41" s="117"/>
      <c r="AM41" s="117"/>
    </row>
    <row r="42" spans="1:42" ht="23.1" customHeight="1">
      <c r="I42" s="117"/>
      <c r="J42" s="116"/>
      <c r="K42" s="116"/>
      <c r="L42" s="116"/>
      <c r="M42" s="117"/>
      <c r="N42" s="117"/>
      <c r="O42" s="116"/>
      <c r="P42" s="116"/>
      <c r="Q42" s="116"/>
      <c r="R42" s="117"/>
      <c r="S42" s="117"/>
      <c r="T42" s="116"/>
      <c r="U42" s="116"/>
      <c r="V42" s="116"/>
      <c r="W42" s="117"/>
      <c r="X42" s="117"/>
      <c r="Y42" s="116"/>
      <c r="Z42" s="116"/>
      <c r="AA42" s="116"/>
      <c r="AB42" s="117"/>
      <c r="AC42" s="117"/>
      <c r="AD42" s="116"/>
      <c r="AE42" s="116"/>
      <c r="AF42" s="116"/>
      <c r="AG42" s="117"/>
      <c r="AH42" s="117"/>
      <c r="AI42" s="117"/>
      <c r="AJ42" s="117"/>
      <c r="AK42" s="117"/>
      <c r="AL42" s="117"/>
      <c r="AM42" s="117"/>
    </row>
    <row r="45" spans="1:42" ht="23.1" customHeight="1">
      <c r="A45" s="179" t="s">
        <v>179</v>
      </c>
      <c r="B45" s="179"/>
      <c r="C45" s="179" t="s">
        <v>180</v>
      </c>
      <c r="D45" s="179"/>
      <c r="E45" s="179"/>
      <c r="F45" s="179"/>
      <c r="G45" s="179"/>
      <c r="H45" s="179"/>
      <c r="I45" s="179"/>
      <c r="J45" s="181" t="s">
        <v>195</v>
      </c>
      <c r="K45" s="179"/>
      <c r="L45" s="179" t="s">
        <v>181</v>
      </c>
      <c r="M45" s="179"/>
      <c r="N45" s="179"/>
      <c r="O45" s="179"/>
      <c r="P45" s="181" t="s">
        <v>189</v>
      </c>
      <c r="Q45" s="179"/>
      <c r="R45" s="181" t="s">
        <v>190</v>
      </c>
      <c r="S45" s="179"/>
      <c r="T45" s="181" t="s">
        <v>191</v>
      </c>
      <c r="U45" s="179"/>
      <c r="V45" s="181" t="s">
        <v>193</v>
      </c>
      <c r="W45" s="179"/>
      <c r="X45" s="181" t="s">
        <v>194</v>
      </c>
      <c r="Y45" s="179"/>
      <c r="Z45" s="179" t="s">
        <v>196</v>
      </c>
      <c r="AA45" s="179"/>
      <c r="AB45" s="179"/>
      <c r="AC45" s="179"/>
      <c r="AD45" s="179" t="s">
        <v>184</v>
      </c>
      <c r="AE45" s="179"/>
      <c r="AF45" s="179"/>
      <c r="AG45" s="179"/>
      <c r="AH45" s="179" t="s">
        <v>187</v>
      </c>
      <c r="AI45" s="179"/>
      <c r="AJ45" s="179"/>
      <c r="AK45" s="179"/>
      <c r="AL45" s="179"/>
      <c r="AM45" s="179"/>
      <c r="AN45" s="179"/>
      <c r="AO45" s="179"/>
      <c r="AP45" s="116"/>
    </row>
    <row r="46" spans="1:42" ht="23.1" customHeigh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 t="s">
        <v>197</v>
      </c>
      <c r="M46" s="179"/>
      <c r="N46" s="179" t="s">
        <v>188</v>
      </c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 t="s">
        <v>182</v>
      </c>
      <c r="AA46" s="179"/>
      <c r="AB46" s="179" t="s">
        <v>183</v>
      </c>
      <c r="AC46" s="179"/>
      <c r="AD46" s="179" t="s">
        <v>185</v>
      </c>
      <c r="AE46" s="179"/>
      <c r="AF46" s="179" t="s">
        <v>186</v>
      </c>
      <c r="AG46" s="179"/>
      <c r="AH46" s="179"/>
      <c r="AI46" s="179"/>
      <c r="AJ46" s="179"/>
      <c r="AK46" s="179"/>
      <c r="AL46" s="179"/>
      <c r="AM46" s="179"/>
      <c r="AN46" s="179"/>
      <c r="AO46" s="179"/>
      <c r="AP46" s="116"/>
    </row>
    <row r="47" spans="1:42" ht="23.1" customHeight="1">
      <c r="A47" s="180" t="s">
        <v>237</v>
      </c>
      <c r="B47" s="180"/>
      <c r="C47" s="179" t="s">
        <v>275</v>
      </c>
      <c r="D47" s="179"/>
      <c r="E47" s="182"/>
      <c r="F47" s="113" t="s">
        <v>200</v>
      </c>
      <c r="G47" s="183" t="s">
        <v>265</v>
      </c>
      <c r="H47" s="179"/>
      <c r="I47" s="179"/>
      <c r="J47" s="184">
        <v>66</v>
      </c>
      <c r="K47" s="185"/>
      <c r="L47" s="184">
        <f>L48</f>
        <v>0</v>
      </c>
      <c r="M47" s="185"/>
      <c r="N47" s="186">
        <f>L47/24/60/60</f>
        <v>0</v>
      </c>
      <c r="O47" s="187"/>
      <c r="P47" s="184">
        <v>300</v>
      </c>
      <c r="Q47" s="185"/>
      <c r="R47" s="188">
        <f>IF(P47&lt;=600,100,IF(P47&gt;=1000,120,110))</f>
        <v>100</v>
      </c>
      <c r="S47" s="189"/>
      <c r="T47" s="190">
        <f>10.666*R47^(-1.85)*(P47/1000)^(-4.87)*N47^1.85</f>
        <v>0</v>
      </c>
      <c r="U47" s="191"/>
      <c r="V47" s="194">
        <f>0.35464*R47*(P47/1000)^(0.63)*T47^(0.54)</f>
        <v>0</v>
      </c>
      <c r="W47" s="195"/>
      <c r="X47" s="247">
        <f>ROUND(T47*J47,2)</f>
        <v>0</v>
      </c>
      <c r="Y47" s="248"/>
      <c r="Z47" s="197">
        <f>AB22</f>
        <v>60.989999999999988</v>
      </c>
      <c r="AA47" s="197"/>
      <c r="AB47" s="197">
        <f>Z47-X47+AJ47</f>
        <v>60.989999999999988</v>
      </c>
      <c r="AC47" s="197"/>
      <c r="AD47" s="197"/>
      <c r="AE47" s="197"/>
      <c r="AF47" s="197"/>
      <c r="AG47" s="197"/>
      <c r="AH47" s="176" t="s">
        <v>212</v>
      </c>
      <c r="AI47" s="177"/>
      <c r="AJ47" s="183"/>
      <c r="AK47" s="179"/>
      <c r="AL47" s="176" t="s">
        <v>213</v>
      </c>
      <c r="AM47" s="177"/>
      <c r="AN47" s="178" t="str">
        <f>IF(AD47="","",AB47-AD47)</f>
        <v/>
      </c>
      <c r="AO47" s="202"/>
    </row>
    <row r="48" spans="1:42" ht="23.1" customHeight="1">
      <c r="A48" s="180" t="s">
        <v>238</v>
      </c>
      <c r="B48" s="180"/>
      <c r="C48" s="182" t="s">
        <v>266</v>
      </c>
      <c r="D48" s="211"/>
      <c r="E48" s="211"/>
      <c r="F48" s="113" t="s">
        <v>200</v>
      </c>
      <c r="G48" s="183" t="s">
        <v>239</v>
      </c>
      <c r="H48" s="179"/>
      <c r="I48" s="179"/>
      <c r="J48" s="184">
        <v>1576</v>
      </c>
      <c r="K48" s="185"/>
      <c r="L48" s="184">
        <f>배분계획!C12-L49</f>
        <v>0</v>
      </c>
      <c r="M48" s="185"/>
      <c r="N48" s="186">
        <f>L48/24/60/60</f>
        <v>0</v>
      </c>
      <c r="O48" s="187"/>
      <c r="P48" s="184">
        <v>250</v>
      </c>
      <c r="Q48" s="185"/>
      <c r="R48" s="188">
        <f>IF(P48&lt;=600,100,IF(P48&gt;=1000,120,110))</f>
        <v>100</v>
      </c>
      <c r="S48" s="189"/>
      <c r="T48" s="190">
        <f>10.666*R48^(-1.85)*(P48/1000)^(-4.87)*N48^1.85</f>
        <v>0</v>
      </c>
      <c r="U48" s="191"/>
      <c r="V48" s="194">
        <f>0.35464*R48*(P48/1000)^(0.63)*T48^(0.54)</f>
        <v>0</v>
      </c>
      <c r="W48" s="195"/>
      <c r="X48" s="247">
        <f>ROUND(T48*J48,2)</f>
        <v>0</v>
      </c>
      <c r="Y48" s="248"/>
      <c r="Z48" s="197">
        <f>AB47</f>
        <v>60.989999999999988</v>
      </c>
      <c r="AA48" s="197"/>
      <c r="AB48" s="197">
        <f>Z48-X48+AJ48</f>
        <v>60.989999999999988</v>
      </c>
      <c r="AC48" s="197"/>
      <c r="AD48" s="196">
        <v>29.9</v>
      </c>
      <c r="AE48" s="196"/>
      <c r="AF48" s="196">
        <v>26.9</v>
      </c>
      <c r="AG48" s="196"/>
      <c r="AH48" s="176" t="s">
        <v>212</v>
      </c>
      <c r="AI48" s="177"/>
      <c r="AJ48" s="183">
        <v>0</v>
      </c>
      <c r="AK48" s="179"/>
      <c r="AL48" s="176" t="s">
        <v>213</v>
      </c>
      <c r="AM48" s="177"/>
      <c r="AN48" s="178">
        <f>IF(AD48="","",AB48-AD48)</f>
        <v>31.089999999999989</v>
      </c>
      <c r="AO48" s="202"/>
    </row>
    <row r="49" spans="1:41" ht="23.1" customHeight="1">
      <c r="A49" s="212" t="s">
        <v>300</v>
      </c>
      <c r="B49" s="253"/>
      <c r="C49" s="253"/>
      <c r="D49" s="253"/>
      <c r="E49" s="253"/>
      <c r="F49" s="253"/>
      <c r="G49" s="253"/>
      <c r="H49" s="253"/>
      <c r="I49" s="213"/>
      <c r="J49" s="184"/>
      <c r="K49" s="185"/>
      <c r="L49" s="188">
        <f>배분계획!C12</f>
        <v>1357</v>
      </c>
      <c r="M49" s="189"/>
      <c r="N49" s="186"/>
      <c r="O49" s="187"/>
      <c r="P49" s="184"/>
      <c r="Q49" s="185"/>
      <c r="R49" s="188"/>
      <c r="S49" s="189"/>
      <c r="T49" s="190"/>
      <c r="U49" s="191"/>
      <c r="V49" s="194"/>
      <c r="W49" s="195"/>
      <c r="X49" s="194"/>
      <c r="Y49" s="195"/>
      <c r="Z49" s="197"/>
      <c r="AA49" s="197"/>
      <c r="AB49" s="197"/>
      <c r="AC49" s="197"/>
      <c r="AD49" s="196"/>
      <c r="AE49" s="196"/>
      <c r="AF49" s="196"/>
      <c r="AG49" s="196"/>
      <c r="AH49" s="176"/>
      <c r="AI49" s="177"/>
      <c r="AJ49" s="183"/>
      <c r="AK49" s="179"/>
      <c r="AL49" s="176"/>
      <c r="AM49" s="177"/>
      <c r="AN49" s="178"/>
      <c r="AO49" s="202"/>
    </row>
    <row r="55" spans="1:41" s="114" customFormat="1" ht="23.1" customHeight="1">
      <c r="A55" s="111" t="s">
        <v>308</v>
      </c>
    </row>
    <row r="57" spans="1:41" ht="23.1" customHeight="1"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6"/>
      <c r="AK57" s="119"/>
      <c r="AL57" s="119"/>
      <c r="AM57" s="119"/>
    </row>
    <row r="58" spans="1:41" ht="23.1" customHeight="1"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98" t="s">
        <v>339</v>
      </c>
      <c r="V58" s="203"/>
      <c r="W58" s="203"/>
      <c r="X58" s="199"/>
      <c r="Y58" s="117"/>
      <c r="Z58" s="117"/>
      <c r="AA58" s="117"/>
      <c r="AB58" s="117"/>
      <c r="AC58" s="117"/>
      <c r="AD58" s="116"/>
      <c r="AE58" s="116"/>
      <c r="AF58" s="116"/>
      <c r="AG58" s="116"/>
      <c r="AH58" s="198" t="s">
        <v>274</v>
      </c>
      <c r="AI58" s="203"/>
      <c r="AJ58" s="203"/>
      <c r="AK58" s="199"/>
      <c r="AL58" s="119"/>
      <c r="AM58" s="119"/>
    </row>
    <row r="59" spans="1:41" ht="23.1" customHeight="1"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5" t="s">
        <v>233</v>
      </c>
      <c r="V59" s="229">
        <f>배분계획!C19+배분계획!C20+배분계획!C5+배분계획!C6</f>
        <v>2193</v>
      </c>
      <c r="W59" s="204"/>
      <c r="X59" s="201"/>
      <c r="Y59" s="117"/>
      <c r="Z59" s="117"/>
      <c r="AA59" s="117"/>
      <c r="AB59" s="117"/>
      <c r="AC59" s="117"/>
      <c r="AD59" s="116"/>
      <c r="AE59" s="116"/>
      <c r="AF59" s="128"/>
      <c r="AG59" s="128"/>
      <c r="AH59" s="200" t="s">
        <v>223</v>
      </c>
      <c r="AI59" s="204"/>
      <c r="AJ59" s="205">
        <f>AD78</f>
        <v>66.599999999999994</v>
      </c>
      <c r="AK59" s="220"/>
      <c r="AL59" s="116"/>
      <c r="AM59" s="116"/>
    </row>
    <row r="60" spans="1:41" ht="23.1" customHeight="1"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</row>
    <row r="61" spans="1:41" ht="23.1" customHeight="1"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206" t="s">
        <v>152</v>
      </c>
      <c r="AH61" s="206"/>
      <c r="AI61" s="206"/>
      <c r="AJ61" s="110" t="s">
        <v>231</v>
      </c>
      <c r="AK61" s="207">
        <f>P78</f>
        <v>200</v>
      </c>
      <c r="AL61" s="207"/>
      <c r="AM61" s="118"/>
      <c r="AN61" s="118"/>
    </row>
    <row r="62" spans="1:41" ht="23.1" customHeight="1">
      <c r="I62" s="198" t="s">
        <v>257</v>
      </c>
      <c r="J62" s="203"/>
      <c r="K62" s="203"/>
      <c r="L62" s="199"/>
      <c r="M62" s="117"/>
      <c r="N62" s="198" t="s">
        <v>250</v>
      </c>
      <c r="O62" s="203"/>
      <c r="P62" s="203"/>
      <c r="Q62" s="199"/>
      <c r="R62" s="117"/>
      <c r="S62" s="117"/>
      <c r="T62" s="117"/>
      <c r="U62" s="198" t="s">
        <v>269</v>
      </c>
      <c r="V62" s="203"/>
      <c r="W62" s="203"/>
      <c r="X62" s="199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0" t="s">
        <v>232</v>
      </c>
      <c r="AK62" s="221">
        <f>J78</f>
        <v>798</v>
      </c>
      <c r="AL62" s="221"/>
      <c r="AM62" s="118"/>
      <c r="AN62" s="118"/>
    </row>
    <row r="63" spans="1:41" ht="23.1" customHeight="1">
      <c r="I63" s="200" t="s">
        <v>234</v>
      </c>
      <c r="J63" s="204"/>
      <c r="K63" s="205">
        <f>AB74</f>
        <v>56.699999999999996</v>
      </c>
      <c r="L63" s="201"/>
      <c r="M63" s="117"/>
      <c r="N63" s="200" t="s">
        <v>234</v>
      </c>
      <c r="O63" s="204"/>
      <c r="P63" s="205">
        <f>AB75</f>
        <v>57.529999999999994</v>
      </c>
      <c r="Q63" s="201"/>
      <c r="R63" s="117"/>
      <c r="S63" s="117"/>
      <c r="T63" s="117"/>
      <c r="U63" s="200" t="s">
        <v>222</v>
      </c>
      <c r="V63" s="204"/>
      <c r="W63" s="205">
        <v>90</v>
      </c>
      <c r="X63" s="201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</row>
    <row r="64" spans="1:41" ht="23.1" customHeight="1">
      <c r="B64" s="198" t="s">
        <v>240</v>
      </c>
      <c r="C64" s="209"/>
      <c r="D64" s="209"/>
      <c r="E64" s="210"/>
      <c r="F64" s="112"/>
      <c r="G64" s="206" t="s">
        <v>241</v>
      </c>
      <c r="H64" s="206"/>
      <c r="I64" s="206"/>
      <c r="J64" s="117"/>
      <c r="K64" s="121"/>
      <c r="L64" s="206" t="s">
        <v>245</v>
      </c>
      <c r="M64" s="206"/>
      <c r="N64" s="206"/>
      <c r="O64" s="122"/>
      <c r="P64" s="116"/>
      <c r="Q64" s="206" t="s">
        <v>246</v>
      </c>
      <c r="R64" s="206"/>
      <c r="S64" s="206"/>
      <c r="T64" s="121"/>
      <c r="U64" s="198" t="s">
        <v>247</v>
      </c>
      <c r="V64" s="203"/>
      <c r="W64" s="203"/>
      <c r="X64" s="199"/>
      <c r="Y64" s="116"/>
      <c r="Z64" s="206" t="s">
        <v>337</v>
      </c>
      <c r="AA64" s="206"/>
      <c r="AB64" s="206"/>
      <c r="AC64" s="116"/>
      <c r="AD64" s="198" t="s">
        <v>219</v>
      </c>
      <c r="AE64" s="203"/>
      <c r="AF64" s="203"/>
      <c r="AG64" s="199"/>
      <c r="AH64" s="198" t="s">
        <v>338</v>
      </c>
      <c r="AI64" s="203"/>
      <c r="AJ64" s="203"/>
      <c r="AK64" s="199"/>
      <c r="AL64" s="119"/>
      <c r="AM64" s="116"/>
    </row>
    <row r="65" spans="1:47" ht="23.1" customHeight="1">
      <c r="B65" s="200" t="s">
        <v>234</v>
      </c>
      <c r="C65" s="204"/>
      <c r="D65" s="205">
        <f>Z74</f>
        <v>58.639999999999993</v>
      </c>
      <c r="E65" s="201"/>
      <c r="G65" s="110" t="s">
        <v>231</v>
      </c>
      <c r="H65" s="207">
        <f>P74</f>
        <v>700</v>
      </c>
      <c r="I65" s="207"/>
      <c r="J65" s="117"/>
      <c r="K65" s="121"/>
      <c r="L65" s="110" t="s">
        <v>231</v>
      </c>
      <c r="M65" s="207">
        <f>P75</f>
        <v>700</v>
      </c>
      <c r="N65" s="207"/>
      <c r="O65" s="122"/>
      <c r="P65" s="116"/>
      <c r="Q65" s="110" t="s">
        <v>231</v>
      </c>
      <c r="R65" s="207">
        <f>P76</f>
        <v>500</v>
      </c>
      <c r="S65" s="207"/>
      <c r="T65" s="121"/>
      <c r="U65" s="200" t="s">
        <v>222</v>
      </c>
      <c r="V65" s="204"/>
      <c r="W65" s="205">
        <f>AJ77</f>
        <v>40</v>
      </c>
      <c r="X65" s="201"/>
      <c r="Y65" s="116"/>
      <c r="Z65" s="110" t="s">
        <v>231</v>
      </c>
      <c r="AA65" s="207">
        <f>P77</f>
        <v>500</v>
      </c>
      <c r="AB65" s="207"/>
      <c r="AC65" s="116"/>
      <c r="AD65" s="200" t="s">
        <v>223</v>
      </c>
      <c r="AE65" s="204"/>
      <c r="AF65" s="205">
        <f>AD77</f>
        <v>44.3</v>
      </c>
      <c r="AG65" s="220"/>
      <c r="AH65" s="200" t="s">
        <v>222</v>
      </c>
      <c r="AI65" s="204"/>
      <c r="AJ65" s="205">
        <f>AJ78</f>
        <v>41</v>
      </c>
      <c r="AK65" s="220"/>
      <c r="AL65" s="116"/>
      <c r="AM65" s="116"/>
    </row>
    <row r="66" spans="1:47" ht="23.1" customHeight="1">
      <c r="G66" s="110" t="s">
        <v>232</v>
      </c>
      <c r="H66" s="221">
        <f>J74</f>
        <v>1100</v>
      </c>
      <c r="I66" s="221"/>
      <c r="J66" s="117"/>
      <c r="K66" s="122"/>
      <c r="L66" s="110" t="s">
        <v>232</v>
      </c>
      <c r="M66" s="221">
        <f>J75</f>
        <v>701</v>
      </c>
      <c r="N66" s="221"/>
      <c r="O66" s="122"/>
      <c r="P66" s="122"/>
      <c r="Q66" s="110" t="s">
        <v>232</v>
      </c>
      <c r="R66" s="221">
        <f>J76</f>
        <v>2685</v>
      </c>
      <c r="S66" s="221"/>
      <c r="T66" s="122"/>
      <c r="V66" s="221"/>
      <c r="W66" s="221"/>
      <c r="X66" s="118"/>
      <c r="Y66" s="122"/>
      <c r="Z66" s="110" t="s">
        <v>232</v>
      </c>
      <c r="AA66" s="221">
        <f>J77</f>
        <v>864</v>
      </c>
      <c r="AB66" s="221"/>
      <c r="AC66" s="123"/>
      <c r="AE66" s="130"/>
      <c r="AF66" s="130"/>
      <c r="AG66" s="118"/>
      <c r="AH66" s="118"/>
      <c r="AI66" s="117"/>
      <c r="AJ66" s="117"/>
      <c r="AK66" s="117"/>
      <c r="AL66" s="117"/>
      <c r="AM66" s="117"/>
    </row>
    <row r="67" spans="1:47" ht="23.1" customHeight="1"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S67" s="112"/>
      <c r="AT67" s="112"/>
      <c r="AU67" s="112"/>
    </row>
    <row r="68" spans="1:47" ht="23.1" customHeight="1">
      <c r="I68" s="198" t="s">
        <v>244</v>
      </c>
      <c r="J68" s="203"/>
      <c r="K68" s="203"/>
      <c r="L68" s="199"/>
      <c r="M68" s="117"/>
      <c r="N68" s="198" t="s">
        <v>340</v>
      </c>
      <c r="O68" s="203"/>
      <c r="P68" s="203"/>
      <c r="Q68" s="199"/>
      <c r="R68" s="117"/>
      <c r="S68" s="116"/>
      <c r="T68" s="116"/>
      <c r="U68" s="116"/>
      <c r="V68" s="116"/>
      <c r="W68" s="117"/>
      <c r="X68" s="116"/>
      <c r="Y68" s="116"/>
      <c r="Z68" s="116"/>
      <c r="AA68" s="116"/>
      <c r="AB68" s="117"/>
      <c r="AC68" s="116"/>
      <c r="AD68" s="116"/>
      <c r="AE68" s="116"/>
      <c r="AF68" s="116"/>
      <c r="AG68" s="117"/>
      <c r="AH68" s="117"/>
      <c r="AI68" s="117"/>
      <c r="AJ68" s="117"/>
      <c r="AK68" s="117"/>
      <c r="AL68" s="117"/>
      <c r="AM68" s="117"/>
    </row>
    <row r="69" spans="1:47" ht="23.1" customHeight="1">
      <c r="I69" s="115" t="s">
        <v>233</v>
      </c>
      <c r="J69" s="229">
        <f>배분계획!C13</f>
        <v>1876</v>
      </c>
      <c r="K69" s="204"/>
      <c r="L69" s="201"/>
      <c r="M69" s="117"/>
      <c r="N69" s="115" t="s">
        <v>233</v>
      </c>
      <c r="O69" s="229">
        <f>배분계획!C17+배분계획!C18+배분계획!C16</f>
        <v>8759</v>
      </c>
      <c r="P69" s="204"/>
      <c r="Q69" s="201"/>
      <c r="R69" s="117"/>
      <c r="S69" s="117"/>
      <c r="T69" s="116"/>
      <c r="U69" s="116"/>
      <c r="V69" s="116"/>
      <c r="W69" s="117"/>
      <c r="X69" s="117"/>
      <c r="Y69" s="116"/>
      <c r="Z69" s="116"/>
      <c r="AA69" s="116"/>
      <c r="AB69" s="117"/>
      <c r="AC69" s="117"/>
      <c r="AD69" s="116"/>
      <c r="AE69" s="116"/>
      <c r="AF69" s="116"/>
      <c r="AG69" s="117"/>
      <c r="AH69" s="117"/>
      <c r="AI69" s="117"/>
      <c r="AJ69" s="117"/>
      <c r="AK69" s="117"/>
      <c r="AL69" s="117"/>
      <c r="AM69" s="117"/>
    </row>
    <row r="72" spans="1:47" ht="23.1" customHeight="1">
      <c r="A72" s="179" t="s">
        <v>179</v>
      </c>
      <c r="B72" s="179"/>
      <c r="C72" s="179" t="s">
        <v>180</v>
      </c>
      <c r="D72" s="179"/>
      <c r="E72" s="179"/>
      <c r="F72" s="179"/>
      <c r="G72" s="179"/>
      <c r="H72" s="179"/>
      <c r="I72" s="179"/>
      <c r="J72" s="181" t="s">
        <v>195</v>
      </c>
      <c r="K72" s="179"/>
      <c r="L72" s="179" t="s">
        <v>181</v>
      </c>
      <c r="M72" s="179"/>
      <c r="N72" s="179"/>
      <c r="O72" s="179"/>
      <c r="P72" s="181" t="s">
        <v>189</v>
      </c>
      <c r="Q72" s="179"/>
      <c r="R72" s="181" t="s">
        <v>190</v>
      </c>
      <c r="S72" s="179"/>
      <c r="T72" s="181" t="s">
        <v>191</v>
      </c>
      <c r="U72" s="179"/>
      <c r="V72" s="181" t="s">
        <v>193</v>
      </c>
      <c r="W72" s="179"/>
      <c r="X72" s="181" t="s">
        <v>194</v>
      </c>
      <c r="Y72" s="179"/>
      <c r="Z72" s="179" t="s">
        <v>196</v>
      </c>
      <c r="AA72" s="179"/>
      <c r="AB72" s="179"/>
      <c r="AC72" s="179"/>
      <c r="AD72" s="179" t="s">
        <v>184</v>
      </c>
      <c r="AE72" s="179"/>
      <c r="AF72" s="179"/>
      <c r="AG72" s="179"/>
      <c r="AH72" s="179" t="s">
        <v>187</v>
      </c>
      <c r="AI72" s="179"/>
      <c r="AJ72" s="179"/>
      <c r="AK72" s="179"/>
      <c r="AL72" s="179"/>
      <c r="AM72" s="179"/>
      <c r="AN72" s="179"/>
      <c r="AO72" s="179"/>
      <c r="AP72" s="116"/>
    </row>
    <row r="73" spans="1:47" ht="23.1" customHeight="1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 t="s">
        <v>197</v>
      </c>
      <c r="M73" s="179"/>
      <c r="N73" s="179" t="s">
        <v>188</v>
      </c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 t="s">
        <v>182</v>
      </c>
      <c r="AA73" s="179"/>
      <c r="AB73" s="179" t="s">
        <v>183</v>
      </c>
      <c r="AC73" s="179"/>
      <c r="AD73" s="179" t="s">
        <v>185</v>
      </c>
      <c r="AE73" s="179"/>
      <c r="AF73" s="179" t="s">
        <v>186</v>
      </c>
      <c r="AG73" s="179"/>
      <c r="AH73" s="179"/>
      <c r="AI73" s="179"/>
      <c r="AJ73" s="179"/>
      <c r="AK73" s="179"/>
      <c r="AL73" s="179"/>
      <c r="AM73" s="179"/>
      <c r="AN73" s="179"/>
      <c r="AO73" s="179"/>
      <c r="AP73" s="116"/>
    </row>
    <row r="74" spans="1:47" ht="23.1" customHeight="1">
      <c r="A74" s="180" t="s">
        <v>248</v>
      </c>
      <c r="B74" s="180"/>
      <c r="C74" s="179" t="s">
        <v>203</v>
      </c>
      <c r="D74" s="179"/>
      <c r="E74" s="182"/>
      <c r="F74" s="113" t="s">
        <v>200</v>
      </c>
      <c r="G74" s="183" t="s">
        <v>328</v>
      </c>
      <c r="H74" s="179"/>
      <c r="I74" s="179"/>
      <c r="J74" s="222">
        <v>1100</v>
      </c>
      <c r="K74" s="223"/>
      <c r="L74" s="222">
        <f>L75+J69</f>
        <v>33554</v>
      </c>
      <c r="M74" s="223"/>
      <c r="N74" s="230">
        <f>L74/24/60/60</f>
        <v>0.38835648148148144</v>
      </c>
      <c r="O74" s="231"/>
      <c r="P74" s="222">
        <v>700</v>
      </c>
      <c r="Q74" s="223"/>
      <c r="R74" s="224">
        <f>IF(P74&lt;=600,100,IF(P74&gt;=1000,120,110))</f>
        <v>110</v>
      </c>
      <c r="S74" s="225"/>
      <c r="T74" s="226">
        <f>10.666*R74^(-1.85)*(P74/1000)^(-4.87)*N74^1.85</f>
        <v>1.7614656913744074E-3</v>
      </c>
      <c r="U74" s="227"/>
      <c r="V74" s="232">
        <f>0.35464*R74*(P74/1000)^(0.63)*T74^(0.54)</f>
        <v>1.0147620813619793</v>
      </c>
      <c r="W74" s="233"/>
      <c r="X74" s="234">
        <f>ROUND(T74*J74,2)</f>
        <v>1.94</v>
      </c>
      <c r="Y74" s="235"/>
      <c r="Z74" s="236">
        <f>AB24</f>
        <v>58.639999999999993</v>
      </c>
      <c r="AA74" s="236"/>
      <c r="AB74" s="236">
        <f>Z74-X74+AJ74</f>
        <v>56.699999999999996</v>
      </c>
      <c r="AC74" s="236"/>
      <c r="AD74" s="197"/>
      <c r="AE74" s="197"/>
      <c r="AF74" s="197"/>
      <c r="AG74" s="197"/>
      <c r="AH74" s="176" t="s">
        <v>212</v>
      </c>
      <c r="AI74" s="177"/>
      <c r="AJ74" s="183"/>
      <c r="AK74" s="179"/>
      <c r="AL74" s="176" t="s">
        <v>213</v>
      </c>
      <c r="AM74" s="177"/>
      <c r="AN74" s="178" t="str">
        <f>IF(AD74="","",AB74-AD74)</f>
        <v/>
      </c>
      <c r="AO74" s="202"/>
    </row>
    <row r="75" spans="1:47" ht="23.1" customHeight="1">
      <c r="A75" s="180" t="s">
        <v>333</v>
      </c>
      <c r="B75" s="180"/>
      <c r="C75" s="179" t="s">
        <v>328</v>
      </c>
      <c r="D75" s="179"/>
      <c r="E75" s="182"/>
      <c r="F75" s="113" t="s">
        <v>200</v>
      </c>
      <c r="G75" s="183" t="s">
        <v>250</v>
      </c>
      <c r="H75" s="179"/>
      <c r="I75" s="179"/>
      <c r="J75" s="222">
        <v>701</v>
      </c>
      <c r="K75" s="223"/>
      <c r="L75" s="222">
        <f>L76+O69</f>
        <v>31678</v>
      </c>
      <c r="M75" s="223"/>
      <c r="N75" s="230">
        <f>L75/24/60/60</f>
        <v>0.36664351851851856</v>
      </c>
      <c r="O75" s="231"/>
      <c r="P75" s="222">
        <v>700</v>
      </c>
      <c r="Q75" s="223"/>
      <c r="R75" s="224">
        <f>IF(P75&lt;=600,100,IF(P75&gt;=1000,120,110))</f>
        <v>110</v>
      </c>
      <c r="S75" s="225"/>
      <c r="T75" s="226">
        <f>10.666*R75^(-1.85)*(P75/1000)^(-4.87)*N75^1.85</f>
        <v>1.5836130760961571E-3</v>
      </c>
      <c r="U75" s="227"/>
      <c r="V75" s="232">
        <f>0.35464*R75*(P75/1000)^(0.63)*T75^(0.54)</f>
        <v>0.95808197896302749</v>
      </c>
      <c r="W75" s="233"/>
      <c r="X75" s="234">
        <f>ROUND(T75*J75,2)</f>
        <v>1.1100000000000001</v>
      </c>
      <c r="Y75" s="235"/>
      <c r="Z75" s="236">
        <f>AB24</f>
        <v>58.639999999999993</v>
      </c>
      <c r="AA75" s="236"/>
      <c r="AB75" s="236">
        <f>Z75-X75+AJ75</f>
        <v>57.529999999999994</v>
      </c>
      <c r="AC75" s="236"/>
      <c r="AD75" s="197"/>
      <c r="AE75" s="197"/>
      <c r="AF75" s="197"/>
      <c r="AG75" s="197"/>
      <c r="AH75" s="176" t="s">
        <v>212</v>
      </c>
      <c r="AI75" s="177"/>
      <c r="AJ75" s="183"/>
      <c r="AK75" s="179"/>
      <c r="AL75" s="176" t="s">
        <v>213</v>
      </c>
      <c r="AM75" s="177"/>
      <c r="AN75" s="178" t="str">
        <f>IF(AD75="","",AB75-AD75)</f>
        <v/>
      </c>
      <c r="AO75" s="202"/>
    </row>
    <row r="76" spans="1:47" ht="23.1" customHeight="1">
      <c r="A76" s="180" t="s">
        <v>334</v>
      </c>
      <c r="B76" s="180"/>
      <c r="C76" s="182" t="s">
        <v>250</v>
      </c>
      <c r="D76" s="211"/>
      <c r="E76" s="211"/>
      <c r="F76" s="113" t="s">
        <v>200</v>
      </c>
      <c r="G76" s="246" t="s">
        <v>267</v>
      </c>
      <c r="H76" s="179"/>
      <c r="I76" s="179"/>
      <c r="J76" s="222">
        <v>2685</v>
      </c>
      <c r="K76" s="223"/>
      <c r="L76" s="222">
        <f>L77+V59</f>
        <v>22919</v>
      </c>
      <c r="M76" s="223"/>
      <c r="N76" s="230">
        <f>L76/24/60/60</f>
        <v>0.26526620370370374</v>
      </c>
      <c r="O76" s="231"/>
      <c r="P76" s="222">
        <v>500</v>
      </c>
      <c r="Q76" s="223"/>
      <c r="R76" s="224">
        <f>IF(P76&lt;=600,100,IF(P76&gt;=1000,120,110))</f>
        <v>100</v>
      </c>
      <c r="S76" s="225"/>
      <c r="T76" s="226">
        <f>10.666*R76^(-1.85)*(P76/1000)^(-4.87)*N76^1.85</f>
        <v>5.3435418387061152E-3</v>
      </c>
      <c r="U76" s="227"/>
      <c r="V76" s="232">
        <f>0.35464*R76*(P76/1000)^(0.63)*T76^(0.54)</f>
        <v>1.3588345996718008</v>
      </c>
      <c r="W76" s="233"/>
      <c r="X76" s="234">
        <f>ROUND(T76*J76,2)</f>
        <v>14.35</v>
      </c>
      <c r="Y76" s="235"/>
      <c r="Z76" s="236">
        <f>AB74</f>
        <v>56.699999999999996</v>
      </c>
      <c r="AA76" s="236"/>
      <c r="AB76" s="236">
        <f>Z76-X76+AJ76</f>
        <v>42.349999999999994</v>
      </c>
      <c r="AC76" s="236"/>
      <c r="AD76" s="197"/>
      <c r="AE76" s="197"/>
      <c r="AF76" s="197"/>
      <c r="AG76" s="197"/>
      <c r="AH76" s="176" t="s">
        <v>212</v>
      </c>
      <c r="AI76" s="177"/>
      <c r="AJ76" s="183"/>
      <c r="AK76" s="179"/>
      <c r="AL76" s="176" t="s">
        <v>213</v>
      </c>
      <c r="AM76" s="177"/>
      <c r="AN76" s="178" t="str">
        <f>IF(AD76="","",AB76-AD76)</f>
        <v/>
      </c>
      <c r="AO76" s="202"/>
    </row>
    <row r="77" spans="1:47" ht="23.1" customHeight="1">
      <c r="A77" s="180" t="s">
        <v>335</v>
      </c>
      <c r="B77" s="180"/>
      <c r="C77" s="181" t="s">
        <v>268</v>
      </c>
      <c r="D77" s="179"/>
      <c r="E77" s="182"/>
      <c r="F77" s="113" t="s">
        <v>200</v>
      </c>
      <c r="G77" s="183" t="s">
        <v>219</v>
      </c>
      <c r="H77" s="179"/>
      <c r="I77" s="179"/>
      <c r="J77" s="222">
        <v>864</v>
      </c>
      <c r="K77" s="223"/>
      <c r="L77" s="222">
        <f>배분계획!C14</f>
        <v>20726</v>
      </c>
      <c r="M77" s="223"/>
      <c r="N77" s="230">
        <f>L77/24/60/60</f>
        <v>0.23988425925925927</v>
      </c>
      <c r="O77" s="231"/>
      <c r="P77" s="222">
        <v>500</v>
      </c>
      <c r="Q77" s="223"/>
      <c r="R77" s="224">
        <f>IF(P77&lt;=600,100,IF(P77&gt;=1000,120,110))</f>
        <v>100</v>
      </c>
      <c r="S77" s="225"/>
      <c r="T77" s="226">
        <f>10.666*R77^(-1.85)*(P77/1000)^(-4.87)*N77^1.85</f>
        <v>4.4362999085021271E-3</v>
      </c>
      <c r="U77" s="227"/>
      <c r="V77" s="232">
        <f>0.35464*R77*(P77/1000)^(0.63)*T77^(0.54)</f>
        <v>1.2289383757905694</v>
      </c>
      <c r="W77" s="233"/>
      <c r="X77" s="234">
        <f>ROUND(T77*J77,2)</f>
        <v>3.83</v>
      </c>
      <c r="Y77" s="235"/>
      <c r="Z77" s="236">
        <f>AB76</f>
        <v>42.349999999999994</v>
      </c>
      <c r="AA77" s="236"/>
      <c r="AB77" s="236">
        <f>Z77-X77+AJ77</f>
        <v>78.52</v>
      </c>
      <c r="AC77" s="236"/>
      <c r="AD77" s="196">
        <v>44.3</v>
      </c>
      <c r="AE77" s="196"/>
      <c r="AF77" s="196">
        <v>41</v>
      </c>
      <c r="AG77" s="196"/>
      <c r="AH77" s="176" t="s">
        <v>212</v>
      </c>
      <c r="AI77" s="177"/>
      <c r="AJ77" s="192">
        <v>40</v>
      </c>
      <c r="AK77" s="193"/>
      <c r="AL77" s="176" t="s">
        <v>213</v>
      </c>
      <c r="AM77" s="177"/>
      <c r="AN77" s="178">
        <f>IF(AD77="","",AB77-AD77)</f>
        <v>34.22</v>
      </c>
      <c r="AO77" s="202"/>
    </row>
    <row r="78" spans="1:47" ht="23.1" customHeight="1">
      <c r="A78" s="180" t="s">
        <v>336</v>
      </c>
      <c r="B78" s="180"/>
      <c r="C78" s="181" t="s">
        <v>331</v>
      </c>
      <c r="D78" s="179"/>
      <c r="E78" s="182"/>
      <c r="F78" s="113" t="s">
        <v>200</v>
      </c>
      <c r="G78" s="183" t="s">
        <v>332</v>
      </c>
      <c r="H78" s="179"/>
      <c r="I78" s="179"/>
      <c r="J78" s="222">
        <v>798</v>
      </c>
      <c r="K78" s="223"/>
      <c r="L78" s="222">
        <f>배분계획!C15</f>
        <v>4312</v>
      </c>
      <c r="M78" s="223"/>
      <c r="N78" s="230">
        <f>L78/24/60/60</f>
        <v>4.9907407407407407E-2</v>
      </c>
      <c r="O78" s="231"/>
      <c r="P78" s="222">
        <v>200</v>
      </c>
      <c r="Q78" s="223"/>
      <c r="R78" s="224">
        <f>IF(P78&lt;=600,100,IF(P78&gt;=1000,120,110))</f>
        <v>100</v>
      </c>
      <c r="S78" s="225"/>
      <c r="T78" s="226">
        <f>10.666*R78^(-1.85)*(P78/1000)^(-4.87)*N78^1.85</f>
        <v>2.1066421453690927E-2</v>
      </c>
      <c r="U78" s="227"/>
      <c r="V78" s="232">
        <f>0.35464*R78*(P78/1000)^(0.63)*T78^(0.54)</f>
        <v>1.6002050273685688</v>
      </c>
      <c r="W78" s="233"/>
      <c r="X78" s="234">
        <f>ROUND(T78*J78,2)</f>
        <v>16.809999999999999</v>
      </c>
      <c r="Y78" s="235"/>
      <c r="Z78" s="236">
        <f>AF77</f>
        <v>41</v>
      </c>
      <c r="AA78" s="236"/>
      <c r="AB78" s="236">
        <f>Z78-X78+AJ78</f>
        <v>65.19</v>
      </c>
      <c r="AC78" s="236"/>
      <c r="AD78" s="196">
        <v>66.599999999999994</v>
      </c>
      <c r="AE78" s="196"/>
      <c r="AF78" s="196">
        <v>61.6</v>
      </c>
      <c r="AG78" s="196"/>
      <c r="AH78" s="176" t="s">
        <v>212</v>
      </c>
      <c r="AI78" s="177"/>
      <c r="AJ78" s="192">
        <v>41</v>
      </c>
      <c r="AK78" s="193"/>
      <c r="AL78" s="176" t="s">
        <v>213</v>
      </c>
      <c r="AM78" s="177"/>
      <c r="AN78" s="178">
        <f>IF(AD78="","",AB78-AD78)</f>
        <v>-1.4099999999999966</v>
      </c>
      <c r="AO78" s="202"/>
    </row>
    <row r="82" spans="1:40" s="114" customFormat="1" ht="23.1" hidden="1" customHeight="1">
      <c r="A82" s="111" t="s">
        <v>309</v>
      </c>
    </row>
    <row r="83" spans="1:40" ht="23.1" hidden="1" customHeight="1"/>
    <row r="84" spans="1:40" ht="23.1" hidden="1" customHeight="1"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6"/>
      <c r="AK84" s="119"/>
      <c r="AL84" s="119"/>
      <c r="AM84" s="119"/>
    </row>
    <row r="85" spans="1:40" ht="23.1" hidden="1" customHeight="1"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6"/>
      <c r="AK85" s="119"/>
      <c r="AL85" s="119"/>
      <c r="AM85" s="119"/>
    </row>
    <row r="86" spans="1:40" ht="23.1" hidden="1" customHeight="1"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6"/>
      <c r="AK86" s="116"/>
      <c r="AL86" s="116"/>
      <c r="AM86" s="116"/>
    </row>
    <row r="87" spans="1:40" ht="23.1" hidden="1" customHeight="1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</row>
    <row r="88" spans="1:40" ht="23.1" hidden="1" customHeight="1"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6"/>
      <c r="AJ88" s="116"/>
      <c r="AK88" s="116"/>
      <c r="AL88" s="117"/>
      <c r="AM88" s="118"/>
      <c r="AN88" s="118"/>
    </row>
    <row r="89" spans="1:40" ht="23.1" hidden="1" customHeight="1"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8"/>
      <c r="AN89" s="118"/>
    </row>
    <row r="90" spans="1:40" ht="23.1" hidden="1" customHeight="1"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</row>
    <row r="91" spans="1:40" ht="23.1" hidden="1" customHeight="1">
      <c r="B91" s="198" t="s">
        <v>250</v>
      </c>
      <c r="C91" s="203"/>
      <c r="D91" s="203"/>
      <c r="E91" s="199"/>
      <c r="F91" s="112"/>
      <c r="G91" s="206" t="s">
        <v>251</v>
      </c>
      <c r="H91" s="206"/>
      <c r="I91" s="206"/>
      <c r="J91" s="117"/>
      <c r="K91" s="198" t="s">
        <v>243</v>
      </c>
      <c r="L91" s="203"/>
      <c r="M91" s="203"/>
      <c r="N91" s="199"/>
      <c r="O91" s="117"/>
      <c r="P91" s="116"/>
      <c r="Q91" s="116"/>
      <c r="R91" s="116"/>
      <c r="S91" s="116"/>
      <c r="T91" s="116"/>
      <c r="U91" s="119"/>
      <c r="V91" s="119"/>
      <c r="W91" s="119"/>
      <c r="X91" s="116"/>
      <c r="Y91" s="117"/>
      <c r="Z91" s="117"/>
      <c r="AA91" s="116"/>
      <c r="AB91" s="116"/>
      <c r="AC91" s="116"/>
      <c r="AD91" s="117"/>
      <c r="AE91" s="117"/>
      <c r="AF91" s="116"/>
      <c r="AG91" s="116"/>
      <c r="AH91" s="116"/>
      <c r="AI91" s="117"/>
      <c r="AJ91" s="116"/>
      <c r="AK91" s="116"/>
      <c r="AL91" s="116"/>
      <c r="AM91" s="116"/>
    </row>
    <row r="92" spans="1:40" ht="23.1" hidden="1" customHeight="1">
      <c r="B92" s="200" t="s">
        <v>234</v>
      </c>
      <c r="C92" s="204"/>
      <c r="D92" s="205">
        <f>AB75</f>
        <v>57.529999999999994</v>
      </c>
      <c r="E92" s="220"/>
      <c r="G92" s="110" t="s">
        <v>231</v>
      </c>
      <c r="H92" s="207">
        <f>P101</f>
        <v>300</v>
      </c>
      <c r="I92" s="207"/>
      <c r="J92" s="117"/>
      <c r="K92" s="200" t="s">
        <v>223</v>
      </c>
      <c r="L92" s="204"/>
      <c r="M92" s="205">
        <f>AD101</f>
        <v>25.35</v>
      </c>
      <c r="N92" s="220"/>
      <c r="O92" s="117"/>
      <c r="P92" s="117"/>
      <c r="Q92" s="118"/>
      <c r="R92" s="118"/>
      <c r="S92" s="118"/>
      <c r="T92" s="116"/>
      <c r="U92" s="116"/>
      <c r="V92" s="116"/>
      <c r="W92" s="116"/>
      <c r="X92" s="118"/>
      <c r="Y92" s="117"/>
      <c r="Z92" s="117"/>
      <c r="AA92" s="117"/>
      <c r="AB92" s="118"/>
      <c r="AC92" s="118"/>
      <c r="AD92" s="117"/>
      <c r="AE92" s="117"/>
      <c r="AF92" s="117"/>
      <c r="AG92" s="118"/>
      <c r="AH92" s="118"/>
      <c r="AI92" s="117"/>
      <c r="AJ92" s="116"/>
      <c r="AK92" s="116"/>
      <c r="AL92" s="116"/>
      <c r="AM92" s="116"/>
    </row>
    <row r="93" spans="1:40" ht="23.1" hidden="1" customHeight="1">
      <c r="G93" s="110" t="s">
        <v>232</v>
      </c>
      <c r="H93" s="221">
        <f>J101</f>
        <v>3131</v>
      </c>
      <c r="I93" s="221"/>
      <c r="J93" s="117"/>
      <c r="K93" s="117"/>
      <c r="L93" s="117"/>
      <c r="M93" s="118"/>
      <c r="N93" s="118"/>
      <c r="O93" s="117"/>
      <c r="P93" s="117"/>
      <c r="Q93" s="118"/>
      <c r="R93" s="118"/>
      <c r="S93" s="118"/>
      <c r="T93" s="117"/>
      <c r="U93" s="117"/>
      <c r="V93" s="117"/>
      <c r="W93" s="118"/>
      <c r="X93" s="118"/>
      <c r="Y93" s="117"/>
      <c r="Z93" s="117"/>
      <c r="AA93" s="117"/>
      <c r="AB93" s="118"/>
      <c r="AC93" s="118"/>
      <c r="AD93" s="117"/>
      <c r="AE93" s="117"/>
      <c r="AF93" s="117"/>
      <c r="AG93" s="118"/>
      <c r="AH93" s="118"/>
      <c r="AI93" s="117"/>
      <c r="AJ93" s="117"/>
      <c r="AK93" s="117"/>
      <c r="AL93" s="117"/>
      <c r="AM93" s="117"/>
    </row>
    <row r="94" spans="1:40" ht="23.1" hidden="1" customHeight="1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</row>
    <row r="95" spans="1:40" ht="23.1" hidden="1" customHeight="1">
      <c r="B95" s="117"/>
      <c r="C95" s="117"/>
      <c r="D95" s="117"/>
      <c r="E95" s="117"/>
      <c r="F95" s="117"/>
      <c r="G95" s="117"/>
      <c r="H95" s="117"/>
      <c r="I95" s="116"/>
      <c r="J95" s="116"/>
      <c r="K95" s="116"/>
      <c r="L95" s="116"/>
      <c r="M95" s="117"/>
      <c r="N95" s="116"/>
      <c r="O95" s="116"/>
      <c r="P95" s="116"/>
      <c r="Q95" s="116"/>
      <c r="R95" s="117"/>
      <c r="S95" s="116"/>
      <c r="T95" s="116"/>
      <c r="U95" s="116"/>
      <c r="V95" s="116"/>
      <c r="W95" s="117"/>
      <c r="X95" s="116"/>
      <c r="Y95" s="116"/>
      <c r="Z95" s="116"/>
      <c r="AA95" s="116"/>
      <c r="AB95" s="117"/>
      <c r="AC95" s="116"/>
      <c r="AD95" s="116"/>
      <c r="AE95" s="116"/>
      <c r="AF95" s="116"/>
      <c r="AG95" s="117"/>
      <c r="AH95" s="117"/>
      <c r="AI95" s="117"/>
      <c r="AJ95" s="117"/>
      <c r="AK95" s="117"/>
      <c r="AL95" s="117"/>
      <c r="AM95" s="117"/>
    </row>
    <row r="96" spans="1:40" ht="23.1" hidden="1" customHeight="1">
      <c r="B96" s="117"/>
      <c r="C96" s="117"/>
      <c r="D96" s="117"/>
      <c r="E96" s="117"/>
      <c r="F96" s="117"/>
      <c r="G96" s="117"/>
      <c r="H96" s="117"/>
      <c r="I96" s="117"/>
      <c r="J96" s="116"/>
      <c r="K96" s="116"/>
      <c r="L96" s="116"/>
      <c r="M96" s="117"/>
      <c r="N96" s="117"/>
      <c r="O96" s="116"/>
      <c r="P96" s="116"/>
      <c r="Q96" s="116"/>
      <c r="R96" s="117"/>
      <c r="S96" s="117"/>
      <c r="T96" s="116"/>
      <c r="U96" s="116"/>
      <c r="V96" s="116"/>
      <c r="W96" s="117"/>
      <c r="X96" s="117"/>
      <c r="Y96" s="116"/>
      <c r="Z96" s="116"/>
      <c r="AA96" s="116"/>
      <c r="AB96" s="117"/>
      <c r="AC96" s="117"/>
      <c r="AD96" s="116"/>
      <c r="AE96" s="116"/>
      <c r="AF96" s="116"/>
      <c r="AG96" s="117"/>
      <c r="AH96" s="117"/>
      <c r="AI96" s="117"/>
      <c r="AJ96" s="117"/>
      <c r="AK96" s="117"/>
      <c r="AL96" s="117"/>
      <c r="AM96" s="117"/>
    </row>
    <row r="97" spans="1:42" ht="23.1" hidden="1" customHeight="1"/>
    <row r="98" spans="1:42" ht="23.1" hidden="1" customHeight="1"/>
    <row r="99" spans="1:42" ht="23.1" hidden="1" customHeight="1">
      <c r="A99" s="198" t="s">
        <v>179</v>
      </c>
      <c r="B99" s="199"/>
      <c r="C99" s="198" t="s">
        <v>180</v>
      </c>
      <c r="D99" s="203"/>
      <c r="E99" s="203"/>
      <c r="F99" s="203"/>
      <c r="G99" s="203"/>
      <c r="H99" s="203"/>
      <c r="I99" s="199"/>
      <c r="J99" s="249" t="s">
        <v>195</v>
      </c>
      <c r="K99" s="250"/>
      <c r="L99" s="182" t="s">
        <v>181</v>
      </c>
      <c r="M99" s="211"/>
      <c r="N99" s="211"/>
      <c r="O99" s="183"/>
      <c r="P99" s="249" t="s">
        <v>189</v>
      </c>
      <c r="Q99" s="250"/>
      <c r="R99" s="249" t="s">
        <v>190</v>
      </c>
      <c r="S99" s="250"/>
      <c r="T99" s="249" t="s">
        <v>191</v>
      </c>
      <c r="U99" s="250"/>
      <c r="V99" s="249" t="s">
        <v>193</v>
      </c>
      <c r="W99" s="250"/>
      <c r="X99" s="249" t="s">
        <v>194</v>
      </c>
      <c r="Y99" s="250"/>
      <c r="Z99" s="182" t="s">
        <v>196</v>
      </c>
      <c r="AA99" s="211"/>
      <c r="AB99" s="211"/>
      <c r="AC99" s="183"/>
      <c r="AD99" s="182" t="s">
        <v>184</v>
      </c>
      <c r="AE99" s="211"/>
      <c r="AF99" s="211"/>
      <c r="AG99" s="183"/>
      <c r="AH99" s="198" t="s">
        <v>187</v>
      </c>
      <c r="AI99" s="203"/>
      <c r="AJ99" s="203"/>
      <c r="AK99" s="203"/>
      <c r="AL99" s="203"/>
      <c r="AM99" s="203"/>
      <c r="AN99" s="203"/>
      <c r="AO99" s="199"/>
      <c r="AP99" s="116"/>
    </row>
    <row r="100" spans="1:42" ht="23.1" hidden="1" customHeight="1">
      <c r="A100" s="200"/>
      <c r="B100" s="201"/>
      <c r="C100" s="200"/>
      <c r="D100" s="204"/>
      <c r="E100" s="204"/>
      <c r="F100" s="204"/>
      <c r="G100" s="204"/>
      <c r="H100" s="204"/>
      <c r="I100" s="201"/>
      <c r="J100" s="251"/>
      <c r="K100" s="252"/>
      <c r="L100" s="182" t="s">
        <v>197</v>
      </c>
      <c r="M100" s="183"/>
      <c r="N100" s="182" t="s">
        <v>188</v>
      </c>
      <c r="O100" s="183"/>
      <c r="P100" s="251"/>
      <c r="Q100" s="252"/>
      <c r="R100" s="251"/>
      <c r="S100" s="252"/>
      <c r="T100" s="251"/>
      <c r="U100" s="252"/>
      <c r="V100" s="251"/>
      <c r="W100" s="252"/>
      <c r="X100" s="251"/>
      <c r="Y100" s="252"/>
      <c r="Z100" s="182" t="s">
        <v>182</v>
      </c>
      <c r="AA100" s="183"/>
      <c r="AB100" s="182" t="s">
        <v>183</v>
      </c>
      <c r="AC100" s="183"/>
      <c r="AD100" s="182" t="s">
        <v>185</v>
      </c>
      <c r="AE100" s="183"/>
      <c r="AF100" s="182" t="s">
        <v>186</v>
      </c>
      <c r="AG100" s="183"/>
      <c r="AH100" s="200"/>
      <c r="AI100" s="204"/>
      <c r="AJ100" s="204"/>
      <c r="AK100" s="204"/>
      <c r="AL100" s="204"/>
      <c r="AM100" s="204"/>
      <c r="AN100" s="204"/>
      <c r="AO100" s="201"/>
      <c r="AP100" s="116"/>
    </row>
    <row r="101" spans="1:42" ht="23.1" hidden="1" customHeight="1">
      <c r="A101" s="212" t="s">
        <v>252</v>
      </c>
      <c r="B101" s="213"/>
      <c r="C101" s="182" t="s">
        <v>249</v>
      </c>
      <c r="D101" s="211"/>
      <c r="E101" s="211"/>
      <c r="F101" s="113" t="s">
        <v>200</v>
      </c>
      <c r="G101" s="211" t="s">
        <v>243</v>
      </c>
      <c r="H101" s="211"/>
      <c r="I101" s="183"/>
      <c r="J101" s="184">
        <v>3131</v>
      </c>
      <c r="K101" s="185"/>
      <c r="L101" s="184">
        <f>배분계획!C20</f>
        <v>0</v>
      </c>
      <c r="M101" s="185"/>
      <c r="N101" s="186">
        <f>L101/24/60/60</f>
        <v>0</v>
      </c>
      <c r="O101" s="187"/>
      <c r="P101" s="184">
        <v>300</v>
      </c>
      <c r="Q101" s="185"/>
      <c r="R101" s="188">
        <f>IF(P101&lt;=600,100,IF(P101&gt;=1000,120,110))</f>
        <v>100</v>
      </c>
      <c r="S101" s="189"/>
      <c r="T101" s="190">
        <f>10.666*R101^(-1.85)*(P101/1000)^(-4.87)*N101^1.85</f>
        <v>0</v>
      </c>
      <c r="U101" s="191"/>
      <c r="V101" s="194">
        <f>0.35464*R101*(P101/1000)^(0.63)*T101^(0.54)</f>
        <v>0</v>
      </c>
      <c r="W101" s="195"/>
      <c r="X101" s="194">
        <f>ROUND(T101*J101,2)</f>
        <v>0</v>
      </c>
      <c r="Y101" s="195"/>
      <c r="Z101" s="194">
        <v>57.96</v>
      </c>
      <c r="AA101" s="195"/>
      <c r="AB101" s="194">
        <f>Z101-X101+AJ101</f>
        <v>57.96</v>
      </c>
      <c r="AC101" s="195"/>
      <c r="AD101" s="194">
        <v>25.35</v>
      </c>
      <c r="AE101" s="195"/>
      <c r="AF101" s="194">
        <v>23.85</v>
      </c>
      <c r="AG101" s="195"/>
      <c r="AH101" s="177" t="s">
        <v>212</v>
      </c>
      <c r="AI101" s="228"/>
      <c r="AJ101" s="211"/>
      <c r="AK101" s="183"/>
      <c r="AL101" s="177" t="s">
        <v>213</v>
      </c>
      <c r="AM101" s="228"/>
      <c r="AN101" s="245">
        <f>IF(AD101="","",AB101-AD101)</f>
        <v>32.61</v>
      </c>
      <c r="AO101" s="178"/>
    </row>
    <row r="102" spans="1:42" ht="23.1" hidden="1" customHeight="1"/>
    <row r="103" spans="1:42" ht="23.1" hidden="1" customHeight="1"/>
    <row r="104" spans="1:42" ht="23.1" hidden="1" customHeight="1"/>
    <row r="105" spans="1:42" ht="23.1" hidden="1" customHeight="1"/>
    <row r="106" spans="1:42" ht="23.1" hidden="1" customHeight="1"/>
    <row r="107" spans="1:42" ht="23.1" hidden="1" customHeight="1"/>
    <row r="108" spans="1:42" ht="23.1" hidden="1" customHeight="1"/>
    <row r="109" spans="1:42" s="114" customFormat="1" ht="23.1" customHeight="1">
      <c r="A109" s="111" t="s">
        <v>310</v>
      </c>
    </row>
    <row r="111" spans="1:42" ht="23.1" customHeight="1"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6"/>
      <c r="AK111" s="119"/>
      <c r="AL111" s="119"/>
      <c r="AM111" s="119"/>
    </row>
    <row r="112" spans="1:42" ht="23.1" customHeight="1">
      <c r="E112" s="206" t="s">
        <v>363</v>
      </c>
      <c r="F112" s="206"/>
      <c r="G112" s="206"/>
      <c r="I112" s="198" t="s">
        <v>243</v>
      </c>
      <c r="J112" s="209"/>
      <c r="K112" s="209"/>
      <c r="L112" s="210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6"/>
      <c r="AK112" s="119"/>
      <c r="AL112" s="119"/>
      <c r="AM112" s="119"/>
    </row>
    <row r="113" spans="1:42" ht="23.1" customHeight="1">
      <c r="E113" s="110" t="s">
        <v>231</v>
      </c>
      <c r="F113" s="207">
        <f>P134</f>
        <v>300</v>
      </c>
      <c r="G113" s="207"/>
      <c r="I113" s="200" t="s">
        <v>223</v>
      </c>
      <c r="J113" s="214"/>
      <c r="K113" s="205">
        <f>AD134</f>
        <v>25.35</v>
      </c>
      <c r="L113" s="2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6"/>
      <c r="AK113" s="116"/>
      <c r="AL113" s="116"/>
      <c r="AM113" s="116"/>
    </row>
    <row r="114" spans="1:42" ht="23.1" customHeight="1">
      <c r="B114" s="117"/>
      <c r="C114" s="117"/>
      <c r="D114" s="117"/>
      <c r="E114" s="110" t="s">
        <v>232</v>
      </c>
      <c r="F114" s="208">
        <f>J134</f>
        <v>3131</v>
      </c>
      <c r="G114" s="208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</row>
    <row r="115" spans="1:42" ht="23.1" customHeight="1"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6"/>
      <c r="AB115" s="119"/>
      <c r="AC115" s="119"/>
      <c r="AD115" s="119"/>
      <c r="AE115" s="117"/>
      <c r="AF115" s="117"/>
      <c r="AG115" s="117"/>
      <c r="AH115" s="117"/>
      <c r="AI115" s="116"/>
      <c r="AJ115" s="116"/>
      <c r="AK115" s="116"/>
      <c r="AL115" s="117"/>
      <c r="AM115" s="118"/>
      <c r="AN115" s="118"/>
    </row>
    <row r="116" spans="1:42" ht="23.1" customHeight="1">
      <c r="B116" s="117"/>
      <c r="C116" s="117"/>
      <c r="D116" s="117"/>
      <c r="E116" s="117"/>
      <c r="F116" s="117"/>
      <c r="G116" s="117"/>
      <c r="H116" s="117"/>
      <c r="I116" s="198" t="s">
        <v>342</v>
      </c>
      <c r="J116" s="203"/>
      <c r="K116" s="203"/>
      <c r="L116" s="199"/>
      <c r="M116" s="117"/>
      <c r="N116" s="116"/>
      <c r="O116" s="116"/>
      <c r="P116" s="116"/>
      <c r="Q116" s="116"/>
      <c r="R116" s="117"/>
      <c r="S116" s="116"/>
      <c r="T116" s="116"/>
      <c r="U116" s="116"/>
      <c r="V116" s="116"/>
      <c r="W116" s="198" t="s">
        <v>343</v>
      </c>
      <c r="X116" s="203"/>
      <c r="Y116" s="203"/>
      <c r="Z116" s="199"/>
      <c r="AA116" s="116"/>
      <c r="AB116" s="119"/>
      <c r="AC116" s="128"/>
      <c r="AD116" s="119"/>
      <c r="AE116" s="117"/>
      <c r="AF116" s="117"/>
      <c r="AG116" s="117"/>
      <c r="AH116" s="117"/>
      <c r="AI116" s="117"/>
      <c r="AJ116" s="117"/>
      <c r="AK116" s="117"/>
      <c r="AL116" s="117"/>
      <c r="AM116" s="118"/>
      <c r="AN116" s="118"/>
    </row>
    <row r="117" spans="1:42" ht="23.1" customHeight="1">
      <c r="B117" s="117"/>
      <c r="C117" s="117"/>
      <c r="D117" s="117"/>
      <c r="E117" s="117"/>
      <c r="F117" s="117"/>
      <c r="G117" s="117"/>
      <c r="H117" s="117"/>
      <c r="I117" s="200"/>
      <c r="J117" s="204"/>
      <c r="K117" s="204"/>
      <c r="L117" s="201"/>
      <c r="M117" s="117"/>
      <c r="N117" s="116"/>
      <c r="O117" s="116"/>
      <c r="P117" s="128"/>
      <c r="Q117" s="116"/>
      <c r="R117" s="117"/>
      <c r="S117" s="116"/>
      <c r="T117" s="116"/>
      <c r="U117" s="116"/>
      <c r="V117" s="116"/>
      <c r="W117" s="200" t="s">
        <v>234</v>
      </c>
      <c r="X117" s="204"/>
      <c r="Y117" s="205">
        <f>AB130</f>
        <v>100.32999999999998</v>
      </c>
      <c r="Z117" s="201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</row>
    <row r="118" spans="1:42" ht="23.1" customHeight="1">
      <c r="B118" s="198" t="s">
        <v>250</v>
      </c>
      <c r="C118" s="209"/>
      <c r="D118" s="209"/>
      <c r="E118" s="210"/>
      <c r="F118" s="112"/>
      <c r="G118" s="206" t="s">
        <v>251</v>
      </c>
      <c r="H118" s="206"/>
      <c r="I118" s="206"/>
      <c r="J118" s="117"/>
      <c r="K118" s="116"/>
      <c r="L118" s="206" t="s">
        <v>345</v>
      </c>
      <c r="M118" s="206"/>
      <c r="N118" s="206"/>
      <c r="O118" s="117"/>
      <c r="P118" s="198" t="s">
        <v>258</v>
      </c>
      <c r="Q118" s="203"/>
      <c r="R118" s="203"/>
      <c r="S118" s="199"/>
      <c r="T118" s="116"/>
      <c r="U118" s="206" t="s">
        <v>346</v>
      </c>
      <c r="V118" s="206"/>
      <c r="W118" s="206"/>
      <c r="X118" s="112"/>
      <c r="Y118" s="116"/>
      <c r="Z118" s="206" t="s">
        <v>347</v>
      </c>
      <c r="AA118" s="206"/>
      <c r="AB118" s="206"/>
      <c r="AC118" s="116"/>
      <c r="AD118" s="198" t="s">
        <v>242</v>
      </c>
      <c r="AE118" s="209"/>
      <c r="AF118" s="209"/>
      <c r="AG118" s="210"/>
      <c r="AH118" s="116"/>
      <c r="AI118" s="116"/>
      <c r="AJ118" s="119"/>
      <c r="AK118" s="119"/>
      <c r="AL118" s="119"/>
      <c r="AM118" s="116"/>
    </row>
    <row r="119" spans="1:42" ht="23.1" customHeight="1">
      <c r="B119" s="200" t="s">
        <v>234</v>
      </c>
      <c r="C119" s="204"/>
      <c r="D119" s="205">
        <f>Z128</f>
        <v>57.529999999999994</v>
      </c>
      <c r="E119" s="201"/>
      <c r="G119" s="110" t="s">
        <v>231</v>
      </c>
      <c r="H119" s="207">
        <f>P128</f>
        <v>500</v>
      </c>
      <c r="I119" s="207"/>
      <c r="J119" s="117"/>
      <c r="K119" s="116"/>
      <c r="L119" s="110" t="s">
        <v>231</v>
      </c>
      <c r="M119" s="207">
        <f>P129</f>
        <v>400</v>
      </c>
      <c r="N119" s="207"/>
      <c r="O119" s="117"/>
      <c r="P119" s="200" t="s">
        <v>222</v>
      </c>
      <c r="Q119" s="204"/>
      <c r="R119" s="204">
        <f>AJ130</f>
        <v>60</v>
      </c>
      <c r="S119" s="201"/>
      <c r="T119" s="116"/>
      <c r="U119" s="110" t="s">
        <v>231</v>
      </c>
      <c r="V119" s="207">
        <f>P130</f>
        <v>400</v>
      </c>
      <c r="W119" s="207"/>
      <c r="X119" s="129"/>
      <c r="Y119" s="116"/>
      <c r="Z119" s="110" t="s">
        <v>231</v>
      </c>
      <c r="AA119" s="207">
        <f>P131</f>
        <v>400</v>
      </c>
      <c r="AB119" s="207"/>
      <c r="AC119" s="116"/>
      <c r="AD119" s="200" t="s">
        <v>223</v>
      </c>
      <c r="AE119" s="214"/>
      <c r="AF119" s="205">
        <f>AD131</f>
        <v>80.28</v>
      </c>
      <c r="AG119" s="217"/>
      <c r="AH119" s="118"/>
      <c r="AI119" s="116"/>
      <c r="AJ119" s="116"/>
      <c r="AK119" s="128"/>
      <c r="AL119" s="116"/>
      <c r="AM119" s="116"/>
    </row>
    <row r="120" spans="1:42" ht="23.1" customHeight="1">
      <c r="G120" s="110" t="s">
        <v>232</v>
      </c>
      <c r="H120" s="221">
        <f>J128</f>
        <v>4783</v>
      </c>
      <c r="I120" s="221"/>
      <c r="J120" s="117"/>
      <c r="K120" s="117"/>
      <c r="L120" s="110" t="s">
        <v>232</v>
      </c>
      <c r="M120" s="208">
        <f>J129</f>
        <v>2438</v>
      </c>
      <c r="N120" s="208"/>
      <c r="O120" s="117"/>
      <c r="P120" s="117"/>
      <c r="R120" s="134"/>
      <c r="S120" s="134"/>
      <c r="T120" s="117"/>
      <c r="U120" s="110" t="s">
        <v>232</v>
      </c>
      <c r="V120" s="208">
        <f>J130</f>
        <v>2382</v>
      </c>
      <c r="W120" s="208"/>
      <c r="X120" s="134"/>
      <c r="Y120" s="117"/>
      <c r="Z120" s="110" t="s">
        <v>232</v>
      </c>
      <c r="AA120" s="208">
        <f>J131</f>
        <v>184</v>
      </c>
      <c r="AB120" s="208"/>
      <c r="AC120" s="118"/>
      <c r="AD120" s="117"/>
      <c r="AE120" s="117"/>
      <c r="AF120" s="134"/>
      <c r="AG120" s="134"/>
      <c r="AH120" s="118"/>
      <c r="AI120" s="117"/>
      <c r="AJ120" s="117"/>
      <c r="AK120" s="117"/>
      <c r="AL120" s="117"/>
      <c r="AM120" s="117"/>
    </row>
    <row r="121" spans="1:42" ht="23.1" customHeight="1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6"/>
      <c r="X121" s="116"/>
      <c r="Y121" s="116"/>
      <c r="Z121" s="11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</row>
    <row r="122" spans="1:42" ht="23.1" customHeight="1">
      <c r="B122" s="117"/>
      <c r="C122" s="117"/>
      <c r="D122" s="117"/>
      <c r="E122" s="117"/>
      <c r="F122" s="117"/>
      <c r="G122" s="117"/>
      <c r="H122" s="117"/>
      <c r="I122" s="116"/>
      <c r="J122" s="116"/>
      <c r="K122" s="116"/>
      <c r="L122" s="116"/>
      <c r="M122" s="117"/>
      <c r="N122" s="116"/>
      <c r="O122" s="116"/>
      <c r="P122" s="116"/>
      <c r="Q122" s="116"/>
      <c r="R122" s="117"/>
      <c r="S122" s="116"/>
      <c r="T122" s="116"/>
      <c r="U122" s="116"/>
      <c r="V122" s="116"/>
      <c r="W122" s="116"/>
      <c r="X122" s="116"/>
      <c r="Y122" s="206" t="s">
        <v>348</v>
      </c>
      <c r="Z122" s="206"/>
      <c r="AA122" s="206"/>
      <c r="AB122" s="198" t="s">
        <v>361</v>
      </c>
      <c r="AC122" s="203"/>
      <c r="AD122" s="203"/>
      <c r="AE122" s="199"/>
      <c r="AF122" s="117"/>
      <c r="AG122" s="206" t="s">
        <v>344</v>
      </c>
      <c r="AH122" s="206"/>
      <c r="AI122" s="206"/>
      <c r="AJ122" s="117"/>
      <c r="AK122" s="198" t="s">
        <v>317</v>
      </c>
      <c r="AL122" s="209"/>
      <c r="AM122" s="209"/>
      <c r="AN122" s="210"/>
    </row>
    <row r="123" spans="1:42" ht="23.1" customHeight="1">
      <c r="B123" s="117"/>
      <c r="C123" s="117"/>
      <c r="D123" s="117"/>
      <c r="E123" s="117"/>
      <c r="F123" s="117"/>
      <c r="G123" s="117"/>
      <c r="H123" s="117"/>
      <c r="I123" s="117"/>
      <c r="J123" s="135"/>
      <c r="K123" s="116"/>
      <c r="L123" s="116"/>
      <c r="M123" s="117"/>
      <c r="N123" s="117"/>
      <c r="O123" s="135"/>
      <c r="P123" s="116"/>
      <c r="Q123" s="116"/>
      <c r="R123" s="117"/>
      <c r="S123" s="117"/>
      <c r="T123" s="116"/>
      <c r="U123" s="116"/>
      <c r="V123" s="116"/>
      <c r="W123" s="117"/>
      <c r="X123" s="117"/>
      <c r="Y123" s="110" t="s">
        <v>231</v>
      </c>
      <c r="Z123" s="207">
        <f>P132</f>
        <v>200</v>
      </c>
      <c r="AA123" s="207"/>
      <c r="AB123" s="200" t="s">
        <v>222</v>
      </c>
      <c r="AC123" s="204"/>
      <c r="AD123" s="204">
        <f>AJ133</f>
        <v>46</v>
      </c>
      <c r="AE123" s="201"/>
      <c r="AF123" s="119"/>
      <c r="AG123" s="110" t="s">
        <v>231</v>
      </c>
      <c r="AH123" s="207">
        <f>P133</f>
        <v>200</v>
      </c>
      <c r="AI123" s="207"/>
      <c r="AJ123" s="117"/>
      <c r="AK123" s="200" t="s">
        <v>223</v>
      </c>
      <c r="AL123" s="214"/>
      <c r="AM123" s="205">
        <f>AD133</f>
        <v>84.1</v>
      </c>
      <c r="AN123" s="217"/>
    </row>
    <row r="124" spans="1:42" ht="23.1" customHeight="1">
      <c r="W124" s="119"/>
      <c r="X124" s="117"/>
      <c r="Y124" s="110" t="s">
        <v>232</v>
      </c>
      <c r="Z124" s="208">
        <f>J132</f>
        <v>3980</v>
      </c>
      <c r="AA124" s="208"/>
      <c r="AB124" s="117"/>
      <c r="AG124" s="110" t="s">
        <v>232</v>
      </c>
      <c r="AH124" s="208">
        <f>J133</f>
        <v>341</v>
      </c>
      <c r="AI124" s="208"/>
    </row>
    <row r="126" spans="1:42" ht="23.1" customHeight="1">
      <c r="A126" s="179" t="s">
        <v>179</v>
      </c>
      <c r="B126" s="179"/>
      <c r="C126" s="179" t="s">
        <v>180</v>
      </c>
      <c r="D126" s="179"/>
      <c r="E126" s="179"/>
      <c r="F126" s="179"/>
      <c r="G126" s="179"/>
      <c r="H126" s="179"/>
      <c r="I126" s="179"/>
      <c r="J126" s="181" t="s">
        <v>195</v>
      </c>
      <c r="K126" s="179"/>
      <c r="L126" s="179" t="s">
        <v>181</v>
      </c>
      <c r="M126" s="179"/>
      <c r="N126" s="179"/>
      <c r="O126" s="179"/>
      <c r="P126" s="181" t="s">
        <v>189</v>
      </c>
      <c r="Q126" s="179"/>
      <c r="R126" s="181" t="s">
        <v>190</v>
      </c>
      <c r="S126" s="179"/>
      <c r="T126" s="181" t="s">
        <v>191</v>
      </c>
      <c r="U126" s="179"/>
      <c r="V126" s="181" t="s">
        <v>193</v>
      </c>
      <c r="W126" s="179"/>
      <c r="X126" s="181" t="s">
        <v>194</v>
      </c>
      <c r="Y126" s="179"/>
      <c r="Z126" s="179" t="s">
        <v>196</v>
      </c>
      <c r="AA126" s="179"/>
      <c r="AB126" s="179"/>
      <c r="AC126" s="179"/>
      <c r="AD126" s="179" t="s">
        <v>184</v>
      </c>
      <c r="AE126" s="179"/>
      <c r="AF126" s="179"/>
      <c r="AG126" s="179"/>
      <c r="AH126" s="179" t="s">
        <v>187</v>
      </c>
      <c r="AI126" s="179"/>
      <c r="AJ126" s="179"/>
      <c r="AK126" s="179"/>
      <c r="AL126" s="179"/>
      <c r="AM126" s="179"/>
      <c r="AN126" s="179"/>
      <c r="AO126" s="179"/>
      <c r="AP126" s="116"/>
    </row>
    <row r="127" spans="1:42" ht="23.1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 t="s">
        <v>197</v>
      </c>
      <c r="M127" s="179"/>
      <c r="N127" s="179" t="s">
        <v>188</v>
      </c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 t="s">
        <v>182</v>
      </c>
      <c r="AA127" s="179"/>
      <c r="AB127" s="179" t="s">
        <v>183</v>
      </c>
      <c r="AC127" s="179"/>
      <c r="AD127" s="179" t="s">
        <v>185</v>
      </c>
      <c r="AE127" s="179"/>
      <c r="AF127" s="179" t="s">
        <v>186</v>
      </c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16"/>
    </row>
    <row r="128" spans="1:42" ht="23.1" customHeight="1">
      <c r="A128" s="180" t="s">
        <v>252</v>
      </c>
      <c r="B128" s="180"/>
      <c r="C128" s="179" t="s">
        <v>250</v>
      </c>
      <c r="D128" s="179"/>
      <c r="E128" s="182"/>
      <c r="F128" s="113" t="s">
        <v>200</v>
      </c>
      <c r="G128" s="183" t="s">
        <v>349</v>
      </c>
      <c r="H128" s="179"/>
      <c r="I128" s="179"/>
      <c r="J128" s="218">
        <v>4783</v>
      </c>
      <c r="K128" s="219"/>
      <c r="L128" s="218">
        <f>L129</f>
        <v>8759</v>
      </c>
      <c r="M128" s="219"/>
      <c r="N128" s="243">
        <f t="shared" ref="N128:N134" si="8">L128/24/60/60</f>
        <v>0.10137731481481481</v>
      </c>
      <c r="O128" s="244"/>
      <c r="P128" s="218">
        <v>500</v>
      </c>
      <c r="Q128" s="219"/>
      <c r="R128" s="241">
        <f t="shared" ref="R128:R134" si="9">IF(P128&lt;=600,100,IF(P128&gt;=1000,120,110))</f>
        <v>100</v>
      </c>
      <c r="S128" s="242"/>
      <c r="T128" s="215">
        <f t="shared" ref="T128:T134" si="10">10.666*R128^(-1.85)*(P128/1000)^(-4.87)*N128^1.85</f>
        <v>9.0158797030402921E-4</v>
      </c>
      <c r="U128" s="216"/>
      <c r="V128" s="239">
        <f t="shared" ref="V128:V134" si="11">0.35464*R128*(P128/1000)^(0.63)*T128^(0.54)</f>
        <v>0.51980828774639887</v>
      </c>
      <c r="W128" s="240"/>
      <c r="X128" s="239">
        <f t="shared" ref="X128:X134" si="12">ROUND(T128*J128,2)</f>
        <v>4.3099999999999996</v>
      </c>
      <c r="Y128" s="240"/>
      <c r="Z128" s="238">
        <f>AB75</f>
        <v>57.529999999999994</v>
      </c>
      <c r="AA128" s="238"/>
      <c r="AB128" s="238">
        <f t="shared" ref="AB128:AB134" si="13">Z128-X128+AJ128</f>
        <v>53.219999999999992</v>
      </c>
      <c r="AC128" s="238"/>
      <c r="AD128" s="197"/>
      <c r="AE128" s="197"/>
      <c r="AF128" s="197"/>
      <c r="AG128" s="197"/>
      <c r="AH128" s="176" t="s">
        <v>212</v>
      </c>
      <c r="AI128" s="177"/>
      <c r="AJ128" s="183"/>
      <c r="AK128" s="179"/>
      <c r="AL128" s="176" t="s">
        <v>213</v>
      </c>
      <c r="AM128" s="177"/>
      <c r="AN128" s="178" t="str">
        <f t="shared" ref="AN128:AN134" si="14">IF(AD128="","",AB128-AD128)</f>
        <v/>
      </c>
      <c r="AO128" s="202"/>
    </row>
    <row r="129" spans="1:41" ht="23.1" customHeight="1">
      <c r="A129" s="180" t="s">
        <v>355</v>
      </c>
      <c r="B129" s="180"/>
      <c r="C129" s="179" t="s">
        <v>350</v>
      </c>
      <c r="D129" s="179"/>
      <c r="E129" s="182"/>
      <c r="F129" s="113" t="s">
        <v>200</v>
      </c>
      <c r="G129" s="183" t="s">
        <v>351</v>
      </c>
      <c r="H129" s="179"/>
      <c r="I129" s="179"/>
      <c r="J129" s="218">
        <v>2438</v>
      </c>
      <c r="K129" s="219"/>
      <c r="L129" s="218">
        <f>L130</f>
        <v>8759</v>
      </c>
      <c r="M129" s="219"/>
      <c r="N129" s="243">
        <f t="shared" si="8"/>
        <v>0.10137731481481481</v>
      </c>
      <c r="O129" s="244"/>
      <c r="P129" s="218">
        <v>400</v>
      </c>
      <c r="Q129" s="219"/>
      <c r="R129" s="241">
        <f t="shared" si="9"/>
        <v>100</v>
      </c>
      <c r="S129" s="242"/>
      <c r="T129" s="215">
        <f t="shared" si="10"/>
        <v>2.6727594375890729E-3</v>
      </c>
      <c r="U129" s="216"/>
      <c r="V129" s="239">
        <f t="shared" si="11"/>
        <v>0.81216420295403358</v>
      </c>
      <c r="W129" s="240"/>
      <c r="X129" s="239">
        <f t="shared" si="12"/>
        <v>6.52</v>
      </c>
      <c r="Y129" s="240"/>
      <c r="Z129" s="238">
        <f>AB128</f>
        <v>53.219999999999992</v>
      </c>
      <c r="AA129" s="238"/>
      <c r="AB129" s="238">
        <f t="shared" si="13"/>
        <v>46.699999999999989</v>
      </c>
      <c r="AC129" s="238"/>
      <c r="AD129" s="197"/>
      <c r="AE129" s="197"/>
      <c r="AF129" s="197"/>
      <c r="AG129" s="197"/>
      <c r="AH129" s="176" t="s">
        <v>212</v>
      </c>
      <c r="AI129" s="177"/>
      <c r="AJ129" s="183"/>
      <c r="AK129" s="179"/>
      <c r="AL129" s="176" t="s">
        <v>213</v>
      </c>
      <c r="AM129" s="177"/>
      <c r="AN129" s="178" t="str">
        <f t="shared" si="14"/>
        <v/>
      </c>
      <c r="AO129" s="202"/>
    </row>
    <row r="130" spans="1:41" ht="23.1" customHeight="1">
      <c r="A130" s="180" t="s">
        <v>356</v>
      </c>
      <c r="B130" s="180"/>
      <c r="C130" s="179" t="s">
        <v>351</v>
      </c>
      <c r="D130" s="179"/>
      <c r="E130" s="182"/>
      <c r="F130" s="113" t="s">
        <v>200</v>
      </c>
      <c r="G130" s="183" t="s">
        <v>352</v>
      </c>
      <c r="H130" s="179"/>
      <c r="I130" s="179"/>
      <c r="J130" s="218">
        <v>2382</v>
      </c>
      <c r="K130" s="219"/>
      <c r="L130" s="218">
        <f>L131</f>
        <v>8759</v>
      </c>
      <c r="M130" s="219"/>
      <c r="N130" s="243">
        <f t="shared" si="8"/>
        <v>0.10137731481481481</v>
      </c>
      <c r="O130" s="244"/>
      <c r="P130" s="218">
        <v>400</v>
      </c>
      <c r="Q130" s="219"/>
      <c r="R130" s="241">
        <f t="shared" si="9"/>
        <v>100</v>
      </c>
      <c r="S130" s="242"/>
      <c r="T130" s="215">
        <f t="shared" si="10"/>
        <v>2.6727594375890729E-3</v>
      </c>
      <c r="U130" s="216"/>
      <c r="V130" s="239">
        <f t="shared" si="11"/>
        <v>0.81216420295403358</v>
      </c>
      <c r="W130" s="240"/>
      <c r="X130" s="239">
        <f t="shared" si="12"/>
        <v>6.37</v>
      </c>
      <c r="Y130" s="240"/>
      <c r="Z130" s="238">
        <f>AB129</f>
        <v>46.699999999999989</v>
      </c>
      <c r="AA130" s="238"/>
      <c r="AB130" s="238">
        <f t="shared" si="13"/>
        <v>100.32999999999998</v>
      </c>
      <c r="AC130" s="238"/>
      <c r="AD130" s="197"/>
      <c r="AE130" s="197"/>
      <c r="AF130" s="197"/>
      <c r="AG130" s="197"/>
      <c r="AH130" s="176" t="s">
        <v>212</v>
      </c>
      <c r="AI130" s="177"/>
      <c r="AJ130" s="192">
        <v>60</v>
      </c>
      <c r="AK130" s="193"/>
      <c r="AL130" s="176" t="s">
        <v>213</v>
      </c>
      <c r="AM130" s="177"/>
      <c r="AN130" s="178" t="str">
        <f t="shared" si="14"/>
        <v/>
      </c>
      <c r="AO130" s="202"/>
    </row>
    <row r="131" spans="1:41" ht="23.1" customHeight="1">
      <c r="A131" s="180" t="s">
        <v>357</v>
      </c>
      <c r="B131" s="180"/>
      <c r="C131" s="182" t="s">
        <v>352</v>
      </c>
      <c r="D131" s="211"/>
      <c r="E131" s="211"/>
      <c r="F131" s="113" t="s">
        <v>200</v>
      </c>
      <c r="G131" s="183" t="s">
        <v>353</v>
      </c>
      <c r="H131" s="179"/>
      <c r="I131" s="179"/>
      <c r="J131" s="218">
        <v>184</v>
      </c>
      <c r="K131" s="219"/>
      <c r="L131" s="218">
        <f>배분계획!C17</f>
        <v>8759</v>
      </c>
      <c r="M131" s="219"/>
      <c r="N131" s="243">
        <f t="shared" si="8"/>
        <v>0.10137731481481481</v>
      </c>
      <c r="O131" s="244"/>
      <c r="P131" s="218">
        <v>400</v>
      </c>
      <c r="Q131" s="219"/>
      <c r="R131" s="241">
        <f t="shared" si="9"/>
        <v>100</v>
      </c>
      <c r="S131" s="242"/>
      <c r="T131" s="215">
        <f t="shared" si="10"/>
        <v>2.6727594375890729E-3</v>
      </c>
      <c r="U131" s="216"/>
      <c r="V131" s="239">
        <f t="shared" si="11"/>
        <v>0.81216420295403358</v>
      </c>
      <c r="W131" s="240"/>
      <c r="X131" s="239">
        <f t="shared" si="12"/>
        <v>0.49</v>
      </c>
      <c r="Y131" s="240"/>
      <c r="Z131" s="238">
        <f>AB130</f>
        <v>100.32999999999998</v>
      </c>
      <c r="AA131" s="238"/>
      <c r="AB131" s="238">
        <f t="shared" si="13"/>
        <v>99.839999999999989</v>
      </c>
      <c r="AC131" s="238"/>
      <c r="AD131" s="196">
        <v>80.28</v>
      </c>
      <c r="AE131" s="196"/>
      <c r="AF131" s="196">
        <v>77.28</v>
      </c>
      <c r="AG131" s="196"/>
      <c r="AH131" s="176" t="s">
        <v>212</v>
      </c>
      <c r="AI131" s="177"/>
      <c r="AJ131" s="192"/>
      <c r="AK131" s="193"/>
      <c r="AL131" s="176" t="s">
        <v>213</v>
      </c>
      <c r="AM131" s="177"/>
      <c r="AN131" s="178">
        <f t="shared" si="14"/>
        <v>19.559999999999988</v>
      </c>
      <c r="AO131" s="202"/>
    </row>
    <row r="132" spans="1:41" ht="23.1" customHeight="1">
      <c r="A132" s="180" t="s">
        <v>358</v>
      </c>
      <c r="B132" s="180"/>
      <c r="C132" s="182" t="s">
        <v>352</v>
      </c>
      <c r="D132" s="211"/>
      <c r="E132" s="211"/>
      <c r="F132" s="113" t="s">
        <v>200</v>
      </c>
      <c r="G132" s="183" t="s">
        <v>362</v>
      </c>
      <c r="H132" s="179"/>
      <c r="I132" s="179"/>
      <c r="J132" s="184">
        <v>3980</v>
      </c>
      <c r="K132" s="185"/>
      <c r="L132" s="184">
        <f>L133</f>
        <v>0</v>
      </c>
      <c r="M132" s="185"/>
      <c r="N132" s="186">
        <f t="shared" si="8"/>
        <v>0</v>
      </c>
      <c r="O132" s="187"/>
      <c r="P132" s="184">
        <v>200</v>
      </c>
      <c r="Q132" s="185"/>
      <c r="R132" s="188">
        <f t="shared" si="9"/>
        <v>100</v>
      </c>
      <c r="S132" s="189"/>
      <c r="T132" s="190">
        <f t="shared" si="10"/>
        <v>0</v>
      </c>
      <c r="U132" s="191"/>
      <c r="V132" s="194">
        <f t="shared" si="11"/>
        <v>0</v>
      </c>
      <c r="W132" s="195"/>
      <c r="X132" s="194">
        <f t="shared" si="12"/>
        <v>0</v>
      </c>
      <c r="Y132" s="195"/>
      <c r="Z132" s="197">
        <f>AB130</f>
        <v>100.32999999999998</v>
      </c>
      <c r="AA132" s="197"/>
      <c r="AB132" s="197">
        <f t="shared" si="13"/>
        <v>100.32999999999998</v>
      </c>
      <c r="AC132" s="197"/>
      <c r="AD132" s="196"/>
      <c r="AE132" s="196"/>
      <c r="AF132" s="196"/>
      <c r="AG132" s="196"/>
      <c r="AH132" s="176" t="s">
        <v>212</v>
      </c>
      <c r="AI132" s="177"/>
      <c r="AJ132" s="192"/>
      <c r="AK132" s="193"/>
      <c r="AL132" s="176" t="s">
        <v>213</v>
      </c>
      <c r="AM132" s="177"/>
      <c r="AN132" s="178" t="str">
        <f t="shared" si="14"/>
        <v/>
      </c>
      <c r="AO132" s="202"/>
    </row>
    <row r="133" spans="1:41" ht="23.1" customHeight="1">
      <c r="A133" s="180" t="s">
        <v>359</v>
      </c>
      <c r="B133" s="180"/>
      <c r="C133" s="182" t="s">
        <v>362</v>
      </c>
      <c r="D133" s="211"/>
      <c r="E133" s="211"/>
      <c r="F133" s="113" t="s">
        <v>200</v>
      </c>
      <c r="G133" s="183" t="s">
        <v>354</v>
      </c>
      <c r="H133" s="179"/>
      <c r="I133" s="179"/>
      <c r="J133" s="184">
        <v>341</v>
      </c>
      <c r="K133" s="185"/>
      <c r="L133" s="184">
        <f>배분계획!C18</f>
        <v>0</v>
      </c>
      <c r="M133" s="185"/>
      <c r="N133" s="186">
        <f t="shared" si="8"/>
        <v>0</v>
      </c>
      <c r="O133" s="187"/>
      <c r="P133" s="184">
        <v>200</v>
      </c>
      <c r="Q133" s="185"/>
      <c r="R133" s="188">
        <f t="shared" si="9"/>
        <v>100</v>
      </c>
      <c r="S133" s="189"/>
      <c r="T133" s="190">
        <f t="shared" si="10"/>
        <v>0</v>
      </c>
      <c r="U133" s="191"/>
      <c r="V133" s="194">
        <f t="shared" si="11"/>
        <v>0</v>
      </c>
      <c r="W133" s="195"/>
      <c r="X133" s="194">
        <f t="shared" si="12"/>
        <v>0</v>
      </c>
      <c r="Y133" s="195"/>
      <c r="Z133" s="197">
        <f>AB132</f>
        <v>100.32999999999998</v>
      </c>
      <c r="AA133" s="197"/>
      <c r="AB133" s="197">
        <f t="shared" si="13"/>
        <v>146.32999999999998</v>
      </c>
      <c r="AC133" s="197"/>
      <c r="AD133" s="196">
        <v>84.1</v>
      </c>
      <c r="AE133" s="196"/>
      <c r="AF133" s="196">
        <v>81.099999999999994</v>
      </c>
      <c r="AG133" s="196"/>
      <c r="AH133" s="176" t="s">
        <v>212</v>
      </c>
      <c r="AI133" s="177"/>
      <c r="AJ133" s="192">
        <v>46</v>
      </c>
      <c r="AK133" s="193"/>
      <c r="AL133" s="176" t="s">
        <v>213</v>
      </c>
      <c r="AM133" s="177"/>
      <c r="AN133" s="178">
        <f t="shared" si="14"/>
        <v>62.22999999999999</v>
      </c>
      <c r="AO133" s="202"/>
    </row>
    <row r="134" spans="1:41" ht="23.1" customHeight="1">
      <c r="A134" s="180" t="s">
        <v>364</v>
      </c>
      <c r="B134" s="180"/>
      <c r="C134" s="182" t="s">
        <v>250</v>
      </c>
      <c r="D134" s="211"/>
      <c r="E134" s="211"/>
      <c r="F134" s="113" t="s">
        <v>200</v>
      </c>
      <c r="G134" s="183" t="s">
        <v>360</v>
      </c>
      <c r="H134" s="179"/>
      <c r="I134" s="179"/>
      <c r="J134" s="184">
        <v>3131</v>
      </c>
      <c r="K134" s="185"/>
      <c r="L134" s="184">
        <f>배분계획!C16</f>
        <v>0</v>
      </c>
      <c r="M134" s="185"/>
      <c r="N134" s="186">
        <f t="shared" si="8"/>
        <v>0</v>
      </c>
      <c r="O134" s="187"/>
      <c r="P134" s="184">
        <v>300</v>
      </c>
      <c r="Q134" s="185"/>
      <c r="R134" s="188">
        <f t="shared" si="9"/>
        <v>100</v>
      </c>
      <c r="S134" s="189"/>
      <c r="T134" s="190">
        <f t="shared" si="10"/>
        <v>0</v>
      </c>
      <c r="U134" s="191"/>
      <c r="V134" s="194">
        <f t="shared" si="11"/>
        <v>0</v>
      </c>
      <c r="W134" s="195"/>
      <c r="X134" s="194">
        <f t="shared" si="12"/>
        <v>0</v>
      </c>
      <c r="Y134" s="195"/>
      <c r="Z134" s="197">
        <f>Z128</f>
        <v>57.529999999999994</v>
      </c>
      <c r="AA134" s="197"/>
      <c r="AB134" s="197">
        <f t="shared" si="13"/>
        <v>57.529999999999994</v>
      </c>
      <c r="AC134" s="197"/>
      <c r="AD134" s="196">
        <v>25.35</v>
      </c>
      <c r="AE134" s="196"/>
      <c r="AF134" s="196">
        <v>23.85</v>
      </c>
      <c r="AG134" s="196"/>
      <c r="AH134" s="176" t="s">
        <v>212</v>
      </c>
      <c r="AI134" s="177"/>
      <c r="AJ134" s="192"/>
      <c r="AK134" s="193"/>
      <c r="AL134" s="176" t="s">
        <v>213</v>
      </c>
      <c r="AM134" s="177"/>
      <c r="AN134" s="178">
        <f t="shared" si="14"/>
        <v>32.179999999999993</v>
      </c>
      <c r="AO134" s="202"/>
    </row>
    <row r="136" spans="1:41" s="114" customFormat="1" ht="23.1" customHeight="1">
      <c r="A136" s="111" t="s">
        <v>311</v>
      </c>
    </row>
    <row r="138" spans="1:41" ht="23.1" customHeight="1"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6"/>
      <c r="AK138" s="119"/>
      <c r="AL138" s="119"/>
      <c r="AM138" s="119"/>
    </row>
    <row r="139" spans="1:41" ht="23.1" customHeight="1"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6"/>
      <c r="AK139" s="116"/>
      <c r="AL139" s="116"/>
      <c r="AM139" s="116"/>
    </row>
    <row r="140" spans="1:41" ht="23.1" customHeight="1"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</row>
    <row r="141" spans="1:41" ht="23.1" customHeight="1">
      <c r="B141" s="117"/>
      <c r="C141" s="117"/>
      <c r="D141" s="117"/>
      <c r="E141" s="117"/>
      <c r="F141" s="117"/>
      <c r="G141" s="117"/>
      <c r="H141" s="117"/>
      <c r="I141" s="116"/>
      <c r="J141" s="116"/>
      <c r="K141" s="116"/>
      <c r="L141" s="116"/>
      <c r="M141" s="117"/>
      <c r="N141" s="116"/>
      <c r="O141" s="116"/>
      <c r="P141" s="116"/>
      <c r="Q141" s="116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8"/>
      <c r="AN141" s="118"/>
    </row>
    <row r="142" spans="1:41" ht="23.1" customHeight="1">
      <c r="B142" s="117"/>
      <c r="C142" s="117"/>
      <c r="D142" s="117"/>
      <c r="E142" s="117"/>
      <c r="F142" s="117"/>
      <c r="G142" s="117"/>
      <c r="H142" s="117"/>
      <c r="I142" s="116"/>
      <c r="J142" s="116"/>
      <c r="K142" s="116"/>
      <c r="L142" s="116"/>
      <c r="M142" s="117"/>
      <c r="N142" s="116"/>
      <c r="O142" s="116"/>
      <c r="P142" s="116"/>
      <c r="Q142" s="116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8"/>
      <c r="AN142" s="118"/>
    </row>
    <row r="143" spans="1:41" ht="23.1" customHeight="1">
      <c r="B143" s="117"/>
      <c r="C143" s="117"/>
      <c r="D143" s="117"/>
      <c r="E143" s="117"/>
      <c r="F143" s="117"/>
      <c r="G143" s="117"/>
      <c r="H143" s="117"/>
      <c r="I143" s="116"/>
      <c r="J143" s="116"/>
      <c r="K143" s="116"/>
      <c r="L143" s="116"/>
      <c r="M143" s="117"/>
      <c r="N143" s="116"/>
      <c r="O143" s="116"/>
      <c r="P143" s="116"/>
      <c r="Q143" s="116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</row>
    <row r="144" spans="1:41" ht="23.1" customHeight="1">
      <c r="B144" s="116"/>
      <c r="C144" s="119"/>
      <c r="D144" s="119"/>
      <c r="E144" s="119"/>
      <c r="F144" s="116"/>
      <c r="G144" s="116"/>
      <c r="H144" s="116"/>
      <c r="I144" s="116"/>
      <c r="J144" s="117"/>
      <c r="K144" s="116"/>
      <c r="L144" s="116"/>
      <c r="M144" s="116"/>
      <c r="N144" s="116"/>
      <c r="O144" s="117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9"/>
      <c r="AF144" s="119"/>
      <c r="AG144" s="119"/>
      <c r="AH144" s="116"/>
      <c r="AI144" s="117"/>
      <c r="AJ144" s="116"/>
      <c r="AK144" s="116"/>
      <c r="AL144" s="116"/>
      <c r="AM144" s="116"/>
    </row>
    <row r="145" spans="1:42" ht="23.1" customHeight="1">
      <c r="B145" s="198" t="s">
        <v>257</v>
      </c>
      <c r="C145" s="209"/>
      <c r="D145" s="209"/>
      <c r="E145" s="210"/>
      <c r="F145" s="112"/>
      <c r="G145" s="206" t="s">
        <v>253</v>
      </c>
      <c r="H145" s="206"/>
      <c r="I145" s="206"/>
      <c r="J145" s="117"/>
      <c r="K145" s="198" t="s">
        <v>261</v>
      </c>
      <c r="L145" s="203"/>
      <c r="M145" s="203"/>
      <c r="N145" s="199"/>
      <c r="O145" s="117"/>
      <c r="P145" s="206" t="s">
        <v>254</v>
      </c>
      <c r="Q145" s="206"/>
      <c r="R145" s="206"/>
      <c r="S145" s="116"/>
      <c r="T145" s="198" t="s">
        <v>244</v>
      </c>
      <c r="U145" s="209"/>
      <c r="V145" s="209"/>
      <c r="W145" s="210"/>
      <c r="X145" s="116"/>
      <c r="Y145" s="117"/>
      <c r="Z145" s="117"/>
      <c r="AA145" s="116"/>
      <c r="AB145" s="116"/>
      <c r="AC145" s="116"/>
      <c r="AD145" s="117"/>
      <c r="AE145" s="117"/>
      <c r="AF145" s="116"/>
      <c r="AG145" s="116"/>
      <c r="AH145" s="116"/>
      <c r="AI145" s="117"/>
      <c r="AJ145" s="116"/>
      <c r="AK145" s="116"/>
      <c r="AL145" s="116"/>
      <c r="AM145" s="116"/>
    </row>
    <row r="146" spans="1:42" ht="23.1" customHeight="1">
      <c r="B146" s="200" t="s">
        <v>234</v>
      </c>
      <c r="C146" s="204"/>
      <c r="D146" s="205">
        <f>Z155</f>
        <v>56.699999999999996</v>
      </c>
      <c r="E146" s="201"/>
      <c r="G146" s="110" t="s">
        <v>231</v>
      </c>
      <c r="H146" s="207">
        <f>P155</f>
        <v>250</v>
      </c>
      <c r="I146" s="207"/>
      <c r="J146" s="117"/>
      <c r="K146" s="200" t="s">
        <v>222</v>
      </c>
      <c r="L146" s="204"/>
      <c r="M146" s="205">
        <f>AJ156</f>
        <v>28</v>
      </c>
      <c r="N146" s="220"/>
      <c r="O146" s="117"/>
      <c r="P146" s="110" t="s">
        <v>231</v>
      </c>
      <c r="Q146" s="207">
        <f>P156</f>
        <v>250</v>
      </c>
      <c r="R146" s="207"/>
      <c r="S146" s="118"/>
      <c r="T146" s="200" t="s">
        <v>223</v>
      </c>
      <c r="U146" s="204"/>
      <c r="V146" s="205">
        <f>AF156</f>
        <v>46</v>
      </c>
      <c r="W146" s="201"/>
      <c r="X146" s="118"/>
      <c r="Y146" s="117"/>
      <c r="Z146" s="117"/>
      <c r="AA146" s="117"/>
      <c r="AB146" s="118"/>
      <c r="AC146" s="118"/>
      <c r="AD146" s="117"/>
      <c r="AE146" s="117"/>
      <c r="AF146" s="117"/>
      <c r="AG146" s="118"/>
      <c r="AH146" s="118"/>
      <c r="AI146" s="117"/>
      <c r="AJ146" s="116"/>
      <c r="AK146" s="116"/>
      <c r="AL146" s="116"/>
      <c r="AM146" s="116"/>
    </row>
    <row r="147" spans="1:42" ht="23.1" customHeight="1">
      <c r="G147" s="110" t="s">
        <v>232</v>
      </c>
      <c r="H147" s="208">
        <f>J155</f>
        <v>167</v>
      </c>
      <c r="I147" s="208"/>
      <c r="J147" s="117"/>
      <c r="K147" s="117"/>
      <c r="M147" s="124"/>
      <c r="N147" s="124"/>
      <c r="O147" s="117"/>
      <c r="P147" s="110" t="s">
        <v>232</v>
      </c>
      <c r="Q147" s="208">
        <f>J156</f>
        <v>311</v>
      </c>
      <c r="R147" s="208"/>
      <c r="S147" s="118"/>
      <c r="T147" s="117"/>
      <c r="U147" s="117"/>
      <c r="V147" s="118"/>
      <c r="W147" s="118"/>
      <c r="X147" s="118"/>
      <c r="Y147" s="117"/>
      <c r="AA147" s="118"/>
      <c r="AB147" s="118"/>
      <c r="AC147" s="118"/>
      <c r="AD147" s="117"/>
      <c r="AE147" s="117"/>
      <c r="AF147" s="117"/>
      <c r="AG147" s="118"/>
      <c r="AH147" s="118"/>
      <c r="AI147" s="117"/>
      <c r="AJ147" s="117"/>
      <c r="AK147" s="117"/>
      <c r="AL147" s="117"/>
      <c r="AM147" s="117"/>
    </row>
    <row r="148" spans="1:42" ht="23.1" customHeight="1">
      <c r="B148" s="117"/>
      <c r="C148" s="117"/>
      <c r="D148" s="117"/>
      <c r="E148" s="117"/>
      <c r="F148" s="117"/>
      <c r="G148" s="117"/>
      <c r="H148" s="117"/>
      <c r="I148" s="116"/>
      <c r="J148" s="116"/>
      <c r="K148" s="116"/>
      <c r="L148" s="116"/>
      <c r="M148" s="117"/>
      <c r="N148" s="116"/>
      <c r="O148" s="116"/>
      <c r="P148" s="116"/>
      <c r="Q148" s="116"/>
      <c r="R148" s="117"/>
      <c r="S148" s="116"/>
      <c r="T148" s="116"/>
      <c r="U148" s="116"/>
      <c r="V148" s="116"/>
      <c r="W148" s="117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7"/>
      <c r="AH148" s="117"/>
      <c r="AI148" s="117"/>
      <c r="AJ148" s="117"/>
      <c r="AK148" s="117"/>
      <c r="AL148" s="117"/>
      <c r="AM148" s="117"/>
    </row>
    <row r="149" spans="1:42" ht="23.1" customHeight="1">
      <c r="B149" s="117"/>
      <c r="C149" s="117"/>
      <c r="D149" s="117"/>
      <c r="E149" s="117"/>
      <c r="F149" s="117"/>
      <c r="G149" s="117"/>
      <c r="H149" s="117"/>
      <c r="I149" s="116"/>
      <c r="J149" s="116"/>
      <c r="K149" s="116"/>
      <c r="L149" s="116"/>
      <c r="M149" s="117"/>
      <c r="N149" s="116"/>
      <c r="O149" s="116"/>
      <c r="P149" s="116"/>
      <c r="Q149" s="116"/>
      <c r="R149" s="117"/>
      <c r="S149" s="116"/>
      <c r="T149" s="116"/>
      <c r="U149" s="116"/>
      <c r="V149" s="116"/>
      <c r="W149" s="117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7"/>
      <c r="AH149" s="117"/>
      <c r="AI149" s="117"/>
      <c r="AJ149" s="117"/>
      <c r="AK149" s="117"/>
      <c r="AL149" s="117"/>
      <c r="AM149" s="117"/>
    </row>
    <row r="150" spans="1:42" ht="23.1" customHeight="1">
      <c r="B150" s="117"/>
      <c r="C150" s="117"/>
      <c r="D150" s="117"/>
      <c r="E150" s="117"/>
      <c r="F150" s="117"/>
      <c r="G150" s="117"/>
      <c r="H150" s="117"/>
      <c r="I150" s="117"/>
      <c r="J150" s="116"/>
      <c r="K150" s="116"/>
      <c r="L150" s="116"/>
      <c r="M150" s="117"/>
      <c r="N150" s="117"/>
      <c r="O150" s="116"/>
      <c r="P150" s="116"/>
      <c r="Q150" s="116"/>
      <c r="R150" s="117"/>
      <c r="S150" s="117"/>
      <c r="T150" s="116"/>
      <c r="U150" s="116"/>
      <c r="V150" s="116"/>
      <c r="W150" s="117"/>
      <c r="X150" s="117"/>
      <c r="Y150" s="116"/>
      <c r="Z150" s="116"/>
      <c r="AA150" s="116"/>
      <c r="AB150" s="117"/>
      <c r="AC150" s="117"/>
      <c r="AD150" s="116"/>
      <c r="AE150" s="116"/>
      <c r="AF150" s="116"/>
      <c r="AG150" s="117"/>
      <c r="AH150" s="117"/>
      <c r="AI150" s="117"/>
      <c r="AJ150" s="117"/>
      <c r="AK150" s="117"/>
      <c r="AL150" s="117"/>
      <c r="AM150" s="117"/>
    </row>
    <row r="153" spans="1:42" ht="23.1" customHeight="1">
      <c r="A153" s="179" t="s">
        <v>179</v>
      </c>
      <c r="B153" s="179"/>
      <c r="C153" s="179" t="s">
        <v>180</v>
      </c>
      <c r="D153" s="179"/>
      <c r="E153" s="179"/>
      <c r="F153" s="179"/>
      <c r="G153" s="179"/>
      <c r="H153" s="179"/>
      <c r="I153" s="179"/>
      <c r="J153" s="181" t="s">
        <v>195</v>
      </c>
      <c r="K153" s="179"/>
      <c r="L153" s="179" t="s">
        <v>181</v>
      </c>
      <c r="M153" s="179"/>
      <c r="N153" s="179"/>
      <c r="O153" s="179"/>
      <c r="P153" s="181" t="s">
        <v>189</v>
      </c>
      <c r="Q153" s="179"/>
      <c r="R153" s="181" t="s">
        <v>190</v>
      </c>
      <c r="S153" s="179"/>
      <c r="T153" s="181" t="s">
        <v>191</v>
      </c>
      <c r="U153" s="179"/>
      <c r="V153" s="181" t="s">
        <v>193</v>
      </c>
      <c r="W153" s="179"/>
      <c r="X153" s="181" t="s">
        <v>194</v>
      </c>
      <c r="Y153" s="179"/>
      <c r="Z153" s="179" t="s">
        <v>196</v>
      </c>
      <c r="AA153" s="179"/>
      <c r="AB153" s="179"/>
      <c r="AC153" s="179"/>
      <c r="AD153" s="179" t="s">
        <v>184</v>
      </c>
      <c r="AE153" s="179"/>
      <c r="AF153" s="179"/>
      <c r="AG153" s="179"/>
      <c r="AH153" s="179" t="s">
        <v>187</v>
      </c>
      <c r="AI153" s="179"/>
      <c r="AJ153" s="179"/>
      <c r="AK153" s="179"/>
      <c r="AL153" s="179"/>
      <c r="AM153" s="179"/>
      <c r="AN153" s="179"/>
      <c r="AO153" s="179"/>
      <c r="AP153" s="116"/>
    </row>
    <row r="154" spans="1:42" ht="23.1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 t="s">
        <v>197</v>
      </c>
      <c r="M154" s="179"/>
      <c r="N154" s="179" t="s">
        <v>188</v>
      </c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 t="s">
        <v>182</v>
      </c>
      <c r="AA154" s="179"/>
      <c r="AB154" s="179" t="s">
        <v>183</v>
      </c>
      <c r="AC154" s="179"/>
      <c r="AD154" s="179" t="s">
        <v>185</v>
      </c>
      <c r="AE154" s="179"/>
      <c r="AF154" s="179" t="s">
        <v>186</v>
      </c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16"/>
    </row>
    <row r="155" spans="1:42" ht="23.1" customHeight="1">
      <c r="A155" s="180" t="s">
        <v>255</v>
      </c>
      <c r="B155" s="180"/>
      <c r="C155" s="179" t="s">
        <v>257</v>
      </c>
      <c r="D155" s="179"/>
      <c r="E155" s="182"/>
      <c r="F155" s="113" t="s">
        <v>200</v>
      </c>
      <c r="G155" s="183" t="s">
        <v>262</v>
      </c>
      <c r="H155" s="179"/>
      <c r="I155" s="179"/>
      <c r="J155" s="222">
        <v>167</v>
      </c>
      <c r="K155" s="223"/>
      <c r="L155" s="222">
        <f>L156</f>
        <v>1876</v>
      </c>
      <c r="M155" s="223"/>
      <c r="N155" s="230">
        <f>L155/24/60/60</f>
        <v>2.1712962962962965E-2</v>
      </c>
      <c r="O155" s="231"/>
      <c r="P155" s="222">
        <v>250</v>
      </c>
      <c r="Q155" s="223"/>
      <c r="R155" s="224">
        <f>IF(P155&lt;=600,100,IF(P155&gt;=1000,120,110))</f>
        <v>100</v>
      </c>
      <c r="S155" s="225"/>
      <c r="T155" s="230">
        <f>10.666*R155^(-1.85)*(P155/1000)^(-4.87)*N155^1.85</f>
        <v>1.5239266239156697E-3</v>
      </c>
      <c r="U155" s="231"/>
      <c r="V155" s="232">
        <f>0.35464*R155*(P155/1000)^(0.63)*T155^(0.54)</f>
        <v>0.44595446266793393</v>
      </c>
      <c r="W155" s="233"/>
      <c r="X155" s="232">
        <f>ROUND(T155*J155,2)</f>
        <v>0.25</v>
      </c>
      <c r="Y155" s="233"/>
      <c r="Z155" s="236">
        <f>AB74</f>
        <v>56.699999999999996</v>
      </c>
      <c r="AA155" s="236"/>
      <c r="AB155" s="236">
        <f>Z155-X155+AJ155</f>
        <v>56.449999999999996</v>
      </c>
      <c r="AC155" s="236"/>
      <c r="AD155" s="197"/>
      <c r="AE155" s="197"/>
      <c r="AF155" s="197"/>
      <c r="AG155" s="197"/>
      <c r="AH155" s="176" t="s">
        <v>212</v>
      </c>
      <c r="AI155" s="177"/>
      <c r="AJ155" s="183"/>
      <c r="AK155" s="179"/>
      <c r="AL155" s="176" t="s">
        <v>213</v>
      </c>
      <c r="AM155" s="177"/>
      <c r="AN155" s="178" t="str">
        <f>IF(AD155="","",AB155-AD155)</f>
        <v/>
      </c>
      <c r="AO155" s="202"/>
    </row>
    <row r="156" spans="1:42" ht="23.1" customHeight="1">
      <c r="A156" s="180" t="s">
        <v>256</v>
      </c>
      <c r="B156" s="180"/>
      <c r="C156" s="179" t="s">
        <v>261</v>
      </c>
      <c r="D156" s="179"/>
      <c r="E156" s="182"/>
      <c r="F156" s="113" t="s">
        <v>200</v>
      </c>
      <c r="G156" s="183" t="s">
        <v>244</v>
      </c>
      <c r="H156" s="179"/>
      <c r="I156" s="179"/>
      <c r="J156" s="222">
        <v>311</v>
      </c>
      <c r="K156" s="223"/>
      <c r="L156" s="222">
        <f>배분계획!C13</f>
        <v>1876</v>
      </c>
      <c r="M156" s="223"/>
      <c r="N156" s="230">
        <f>L156/24/60/60</f>
        <v>2.1712962962962965E-2</v>
      </c>
      <c r="O156" s="231"/>
      <c r="P156" s="222">
        <v>250</v>
      </c>
      <c r="Q156" s="223"/>
      <c r="R156" s="224">
        <f>IF(P156&lt;=600,100,IF(P156&gt;=1000,120,110))</f>
        <v>100</v>
      </c>
      <c r="S156" s="225"/>
      <c r="T156" s="230">
        <f>10.666*R156^(-1.85)*(P156/1000)^(-4.87)*N156^1.85</f>
        <v>1.5239266239156697E-3</v>
      </c>
      <c r="U156" s="231"/>
      <c r="V156" s="232">
        <f>0.35464*R156*(P156/1000)^(0.63)*T156^(0.54)</f>
        <v>0.44595446266793393</v>
      </c>
      <c r="W156" s="233"/>
      <c r="X156" s="232">
        <f>ROUND(T156*J156,2)</f>
        <v>0.47</v>
      </c>
      <c r="Y156" s="233"/>
      <c r="Z156" s="236">
        <f>AB155</f>
        <v>56.449999999999996</v>
      </c>
      <c r="AA156" s="236"/>
      <c r="AB156" s="236">
        <f>Z156-X156+AJ156</f>
        <v>83.97999999999999</v>
      </c>
      <c r="AC156" s="236"/>
      <c r="AD156" s="196">
        <v>49.5</v>
      </c>
      <c r="AE156" s="196"/>
      <c r="AF156" s="196">
        <v>46</v>
      </c>
      <c r="AG156" s="196"/>
      <c r="AH156" s="176" t="s">
        <v>212</v>
      </c>
      <c r="AI156" s="177"/>
      <c r="AJ156" s="192">
        <v>28</v>
      </c>
      <c r="AK156" s="193"/>
      <c r="AL156" s="176" t="s">
        <v>213</v>
      </c>
      <c r="AM156" s="177"/>
      <c r="AN156" s="178">
        <f>IF(AD156="","",AB156-AD156)</f>
        <v>34.47999999999999</v>
      </c>
      <c r="AO156" s="202"/>
    </row>
    <row r="163" spans="1:40" s="114" customFormat="1" ht="23.1" customHeight="1">
      <c r="A163" s="111" t="s">
        <v>312</v>
      </c>
    </row>
    <row r="165" spans="1:40" ht="23.1" customHeight="1"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6"/>
      <c r="AK165" s="119"/>
      <c r="AL165" s="119"/>
      <c r="AM165" s="119"/>
    </row>
    <row r="166" spans="1:40" ht="23.1" customHeight="1"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6"/>
      <c r="AK166" s="119"/>
      <c r="AL166" s="119"/>
      <c r="AM166" s="119"/>
    </row>
    <row r="167" spans="1:40" ht="23.1" customHeight="1"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6"/>
      <c r="AK167" s="116"/>
      <c r="AL167" s="116"/>
      <c r="AM167" s="116"/>
    </row>
    <row r="168" spans="1:40" ht="23.1" customHeight="1"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</row>
    <row r="169" spans="1:40" ht="23.1" customHeight="1"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6"/>
      <c r="AJ169" s="116"/>
      <c r="AK169" s="116"/>
      <c r="AL169" s="117"/>
      <c r="AM169" s="118"/>
      <c r="AN169" s="118"/>
    </row>
    <row r="170" spans="1:40" ht="23.1" customHeight="1">
      <c r="B170" s="117"/>
      <c r="C170" s="117"/>
      <c r="D170" s="117"/>
      <c r="E170" s="117"/>
      <c r="F170" s="117"/>
      <c r="G170" s="117"/>
      <c r="H170" s="117"/>
      <c r="I170" s="198" t="s">
        <v>286</v>
      </c>
      <c r="J170" s="203"/>
      <c r="K170" s="203"/>
      <c r="L170" s="199"/>
      <c r="M170" s="117"/>
      <c r="N170" s="198" t="s">
        <v>287</v>
      </c>
      <c r="O170" s="203"/>
      <c r="P170" s="203"/>
      <c r="Q170" s="199"/>
      <c r="R170" s="117"/>
      <c r="S170" s="198" t="s">
        <v>284</v>
      </c>
      <c r="T170" s="203"/>
      <c r="U170" s="203"/>
      <c r="V170" s="199"/>
      <c r="W170" s="117"/>
      <c r="X170" s="198" t="s">
        <v>366</v>
      </c>
      <c r="Y170" s="203"/>
      <c r="Z170" s="203"/>
      <c r="AA170" s="199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8"/>
      <c r="AN170" s="118"/>
    </row>
    <row r="171" spans="1:40" ht="23.1" customHeight="1">
      <c r="B171" s="117"/>
      <c r="C171" s="117"/>
      <c r="D171" s="117"/>
      <c r="E171" s="117"/>
      <c r="F171" s="117"/>
      <c r="G171" s="117"/>
      <c r="H171" s="117"/>
      <c r="I171" s="200" t="s">
        <v>234</v>
      </c>
      <c r="J171" s="204"/>
      <c r="K171" s="205">
        <f>AB182</f>
        <v>115.42999999999999</v>
      </c>
      <c r="L171" s="201"/>
      <c r="M171" s="117"/>
      <c r="N171" s="200" t="s">
        <v>234</v>
      </c>
      <c r="O171" s="204"/>
      <c r="P171" s="205">
        <f>AB183</f>
        <v>114.16</v>
      </c>
      <c r="Q171" s="201"/>
      <c r="R171" s="117"/>
      <c r="S171" s="200"/>
      <c r="T171" s="204"/>
      <c r="U171" s="204"/>
      <c r="V171" s="201"/>
      <c r="W171" s="117"/>
      <c r="X171" s="200" t="s">
        <v>234</v>
      </c>
      <c r="Y171" s="204"/>
      <c r="Z171" s="205">
        <f>AB185</f>
        <v>112.41</v>
      </c>
      <c r="AA171" s="201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</row>
    <row r="172" spans="1:40" ht="23.1" customHeight="1">
      <c r="B172" s="198" t="s">
        <v>269</v>
      </c>
      <c r="C172" s="203"/>
      <c r="D172" s="203"/>
      <c r="E172" s="199"/>
      <c r="F172" s="112"/>
      <c r="G172" s="206" t="s">
        <v>259</v>
      </c>
      <c r="H172" s="206"/>
      <c r="I172" s="206"/>
      <c r="J172" s="117"/>
      <c r="K172" s="116"/>
      <c r="L172" s="206" t="s">
        <v>260</v>
      </c>
      <c r="M172" s="206"/>
      <c r="N172" s="206"/>
      <c r="O172" s="117"/>
      <c r="P172" s="116"/>
      <c r="Q172" s="206" t="s">
        <v>372</v>
      </c>
      <c r="R172" s="206"/>
      <c r="S172" s="206"/>
      <c r="T172" s="116"/>
      <c r="U172" s="116"/>
      <c r="V172" s="206" t="s">
        <v>373</v>
      </c>
      <c r="W172" s="206"/>
      <c r="X172" s="206"/>
      <c r="Y172" s="116"/>
      <c r="Z172" s="117"/>
      <c r="AA172" s="206" t="s">
        <v>374</v>
      </c>
      <c r="AB172" s="206"/>
      <c r="AC172" s="206"/>
      <c r="AD172" s="116"/>
      <c r="AE172" s="198" t="s">
        <v>271</v>
      </c>
      <c r="AF172" s="209"/>
      <c r="AG172" s="209"/>
      <c r="AH172" s="210"/>
      <c r="AI172" s="117"/>
      <c r="AJ172" s="116"/>
      <c r="AK172" s="116"/>
      <c r="AL172" s="116"/>
      <c r="AM172" s="116"/>
    </row>
    <row r="173" spans="1:40" ht="23.1" customHeight="1">
      <c r="B173" s="200" t="s">
        <v>222</v>
      </c>
      <c r="C173" s="204"/>
      <c r="D173" s="205">
        <f>AJ182</f>
        <v>76</v>
      </c>
      <c r="E173" s="220"/>
      <c r="G173" s="110" t="s">
        <v>231</v>
      </c>
      <c r="H173" s="207">
        <f>P182</f>
        <v>300</v>
      </c>
      <c r="I173" s="207"/>
      <c r="J173" s="117"/>
      <c r="K173" s="116"/>
      <c r="L173" s="110" t="s">
        <v>231</v>
      </c>
      <c r="M173" s="207">
        <f>P183</f>
        <v>300</v>
      </c>
      <c r="N173" s="207"/>
      <c r="O173" s="117"/>
      <c r="P173" s="116"/>
      <c r="Q173" s="110" t="s">
        <v>231</v>
      </c>
      <c r="R173" s="207">
        <f>P184</f>
        <v>300</v>
      </c>
      <c r="S173" s="207"/>
      <c r="T173" s="116"/>
      <c r="U173" s="116"/>
      <c r="V173" s="110" t="s">
        <v>231</v>
      </c>
      <c r="W173" s="207">
        <f>P185</f>
        <v>300</v>
      </c>
      <c r="X173" s="207"/>
      <c r="Y173" s="116"/>
      <c r="Z173" s="117"/>
      <c r="AA173" s="110" t="s">
        <v>231</v>
      </c>
      <c r="AB173" s="207">
        <f>P186</f>
        <v>300</v>
      </c>
      <c r="AC173" s="207"/>
      <c r="AD173" s="116"/>
      <c r="AE173" s="200" t="s">
        <v>223</v>
      </c>
      <c r="AF173" s="204"/>
      <c r="AG173" s="205">
        <f>AD186</f>
        <v>87.8</v>
      </c>
      <c r="AH173" s="201"/>
      <c r="AI173" s="117"/>
      <c r="AJ173" s="116"/>
      <c r="AK173" s="116"/>
      <c r="AL173" s="116"/>
      <c r="AM173" s="116"/>
    </row>
    <row r="174" spans="1:40" ht="23.1" customHeight="1">
      <c r="G174" s="110" t="s">
        <v>232</v>
      </c>
      <c r="H174" s="208">
        <f>J182</f>
        <v>3483</v>
      </c>
      <c r="I174" s="208"/>
      <c r="J174" s="117"/>
      <c r="K174" s="117"/>
      <c r="L174" s="110" t="s">
        <v>232</v>
      </c>
      <c r="M174" s="208">
        <f>J183</f>
        <v>3359</v>
      </c>
      <c r="N174" s="208"/>
      <c r="O174" s="117"/>
      <c r="P174" s="117"/>
      <c r="Q174" s="110" t="s">
        <v>232</v>
      </c>
      <c r="R174" s="208">
        <f>J184</f>
        <v>4636</v>
      </c>
      <c r="S174" s="208"/>
      <c r="T174" s="117"/>
      <c r="U174" s="117"/>
      <c r="V174" s="110" t="s">
        <v>232</v>
      </c>
      <c r="W174" s="208">
        <f>J185</f>
        <v>1258</v>
      </c>
      <c r="X174" s="208"/>
      <c r="Y174" s="117"/>
      <c r="Z174" s="117"/>
      <c r="AA174" s="110" t="s">
        <v>232</v>
      </c>
      <c r="AB174" s="208">
        <f>J186</f>
        <v>236</v>
      </c>
      <c r="AC174" s="208"/>
      <c r="AD174" s="117"/>
      <c r="AE174" s="117"/>
      <c r="AF174" s="117"/>
      <c r="AG174" s="118"/>
      <c r="AH174" s="118"/>
      <c r="AI174" s="117"/>
      <c r="AJ174" s="117"/>
      <c r="AK174" s="117"/>
      <c r="AL174" s="117"/>
      <c r="AM174" s="117"/>
    </row>
    <row r="175" spans="1:40" ht="23.1" customHeight="1"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</row>
    <row r="176" spans="1:40" ht="23.1" customHeight="1">
      <c r="B176" s="117"/>
      <c r="C176" s="117"/>
      <c r="D176" s="117"/>
      <c r="E176" s="117"/>
      <c r="F176" s="117"/>
      <c r="G176" s="117"/>
      <c r="H176" s="117"/>
      <c r="I176" s="198" t="s">
        <v>288</v>
      </c>
      <c r="J176" s="203"/>
      <c r="K176" s="203"/>
      <c r="L176" s="199"/>
      <c r="M176" s="117"/>
      <c r="N176" s="198" t="s">
        <v>289</v>
      </c>
      <c r="O176" s="203"/>
      <c r="P176" s="203"/>
      <c r="Q176" s="199"/>
      <c r="R176" s="117"/>
      <c r="S176" s="116"/>
      <c r="T176" s="116"/>
      <c r="U176" s="116"/>
      <c r="V176" s="116"/>
      <c r="W176" s="117"/>
      <c r="X176" s="198" t="s">
        <v>318</v>
      </c>
      <c r="Y176" s="203"/>
      <c r="Z176" s="203"/>
      <c r="AA176" s="199"/>
      <c r="AB176" s="117"/>
      <c r="AC176" s="116"/>
      <c r="AD176" s="116"/>
      <c r="AE176" s="116"/>
      <c r="AF176" s="116"/>
      <c r="AG176" s="117"/>
      <c r="AH176" s="117"/>
      <c r="AI176" s="117"/>
      <c r="AJ176" s="117"/>
      <c r="AK176" s="117"/>
      <c r="AL176" s="117"/>
      <c r="AM176" s="117"/>
    </row>
    <row r="177" spans="1:42" ht="23.1" customHeight="1">
      <c r="B177" s="117"/>
      <c r="C177" s="117"/>
      <c r="D177" s="117"/>
      <c r="E177" s="117"/>
      <c r="F177" s="117"/>
      <c r="G177" s="117"/>
      <c r="H177" s="117"/>
      <c r="I177" s="115" t="s">
        <v>233</v>
      </c>
      <c r="J177" s="237">
        <f>배분계획!C5</f>
        <v>765</v>
      </c>
      <c r="K177" s="204"/>
      <c r="L177" s="201"/>
      <c r="M177" s="117"/>
      <c r="N177" s="115" t="s">
        <v>233</v>
      </c>
      <c r="O177" s="237">
        <f>배분계획!C6</f>
        <v>176</v>
      </c>
      <c r="P177" s="204"/>
      <c r="Q177" s="201"/>
      <c r="R177" s="117"/>
      <c r="S177" s="117"/>
      <c r="T177" s="116"/>
      <c r="U177" s="116"/>
      <c r="V177" s="116"/>
      <c r="W177" s="117"/>
      <c r="X177" s="115" t="s">
        <v>233</v>
      </c>
      <c r="Y177" s="237">
        <f>배분계획!C20</f>
        <v>0</v>
      </c>
      <c r="Z177" s="204"/>
      <c r="AA177" s="201"/>
      <c r="AB177" s="117"/>
      <c r="AC177" s="117"/>
      <c r="AD177" s="116"/>
      <c r="AE177" s="116"/>
      <c r="AF177" s="116"/>
      <c r="AG177" s="117"/>
      <c r="AH177" s="117"/>
      <c r="AI177" s="117"/>
      <c r="AJ177" s="117"/>
      <c r="AK177" s="117"/>
      <c r="AL177" s="117"/>
      <c r="AM177" s="117"/>
    </row>
    <row r="180" spans="1:42" ht="23.1" customHeight="1">
      <c r="A180" s="179" t="s">
        <v>179</v>
      </c>
      <c r="B180" s="179"/>
      <c r="C180" s="179" t="s">
        <v>180</v>
      </c>
      <c r="D180" s="179"/>
      <c r="E180" s="179"/>
      <c r="F180" s="179"/>
      <c r="G180" s="179"/>
      <c r="H180" s="179"/>
      <c r="I180" s="179"/>
      <c r="J180" s="181" t="s">
        <v>195</v>
      </c>
      <c r="K180" s="179"/>
      <c r="L180" s="179" t="s">
        <v>181</v>
      </c>
      <c r="M180" s="179"/>
      <c r="N180" s="179"/>
      <c r="O180" s="179"/>
      <c r="P180" s="181" t="s">
        <v>189</v>
      </c>
      <c r="Q180" s="179"/>
      <c r="R180" s="181" t="s">
        <v>190</v>
      </c>
      <c r="S180" s="179"/>
      <c r="T180" s="181" t="s">
        <v>191</v>
      </c>
      <c r="U180" s="179"/>
      <c r="V180" s="181" t="s">
        <v>193</v>
      </c>
      <c r="W180" s="179"/>
      <c r="X180" s="181" t="s">
        <v>194</v>
      </c>
      <c r="Y180" s="179"/>
      <c r="Z180" s="179" t="s">
        <v>196</v>
      </c>
      <c r="AA180" s="179"/>
      <c r="AB180" s="179"/>
      <c r="AC180" s="179"/>
      <c r="AD180" s="179" t="s">
        <v>184</v>
      </c>
      <c r="AE180" s="179"/>
      <c r="AF180" s="179"/>
      <c r="AG180" s="179"/>
      <c r="AH180" s="179" t="s">
        <v>187</v>
      </c>
      <c r="AI180" s="179"/>
      <c r="AJ180" s="179"/>
      <c r="AK180" s="179"/>
      <c r="AL180" s="179"/>
      <c r="AM180" s="179"/>
      <c r="AN180" s="179"/>
      <c r="AO180" s="179"/>
      <c r="AP180" s="116"/>
    </row>
    <row r="181" spans="1:42" ht="23.1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 t="s">
        <v>197</v>
      </c>
      <c r="M181" s="179"/>
      <c r="N181" s="179" t="s">
        <v>188</v>
      </c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 t="s">
        <v>182</v>
      </c>
      <c r="AA181" s="179"/>
      <c r="AB181" s="179" t="s">
        <v>183</v>
      </c>
      <c r="AC181" s="179"/>
      <c r="AD181" s="179" t="s">
        <v>185</v>
      </c>
      <c r="AE181" s="179"/>
      <c r="AF181" s="179" t="s">
        <v>186</v>
      </c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16"/>
    </row>
    <row r="182" spans="1:42" ht="23.1" customHeight="1">
      <c r="A182" s="180" t="s">
        <v>263</v>
      </c>
      <c r="B182" s="180"/>
      <c r="C182" s="181" t="s">
        <v>273</v>
      </c>
      <c r="D182" s="179"/>
      <c r="E182" s="182"/>
      <c r="F182" s="113" t="s">
        <v>200</v>
      </c>
      <c r="G182" s="183" t="s">
        <v>285</v>
      </c>
      <c r="H182" s="179"/>
      <c r="I182" s="179"/>
      <c r="J182" s="222">
        <v>3483</v>
      </c>
      <c r="K182" s="223"/>
      <c r="L182" s="222">
        <f>L183+J177</f>
        <v>2193</v>
      </c>
      <c r="M182" s="223"/>
      <c r="N182" s="230">
        <f>L182/24/60/60</f>
        <v>2.5381944444444447E-2</v>
      </c>
      <c r="O182" s="231"/>
      <c r="P182" s="222">
        <v>300</v>
      </c>
      <c r="Q182" s="223"/>
      <c r="R182" s="224">
        <f>IF(P182&lt;=600,100,IF(P182&gt;=1000,120,110))</f>
        <v>100</v>
      </c>
      <c r="S182" s="225"/>
      <c r="T182" s="226">
        <f>10.666*R182^(-1.85)*(P182/1000)^(-4.87)*N182^1.85</f>
        <v>8.3712847333043639E-4</v>
      </c>
      <c r="U182" s="227"/>
      <c r="V182" s="232">
        <f>0.35464*R182*(P182/1000)^(0.63)*T182^(0.54)</f>
        <v>0.36197772838047065</v>
      </c>
      <c r="W182" s="233"/>
      <c r="X182" s="232">
        <f>ROUND(T182*J182,2)</f>
        <v>2.92</v>
      </c>
      <c r="Y182" s="233"/>
      <c r="Z182" s="236">
        <f>AB76</f>
        <v>42.349999999999994</v>
      </c>
      <c r="AA182" s="236"/>
      <c r="AB182" s="236">
        <f>Z182-X182+AJ182</f>
        <v>115.42999999999999</v>
      </c>
      <c r="AC182" s="236"/>
      <c r="AD182" s="197"/>
      <c r="AE182" s="197"/>
      <c r="AF182" s="197"/>
      <c r="AG182" s="197"/>
      <c r="AH182" s="176" t="s">
        <v>212</v>
      </c>
      <c r="AI182" s="177"/>
      <c r="AJ182" s="192">
        <v>76</v>
      </c>
      <c r="AK182" s="193"/>
      <c r="AL182" s="176" t="s">
        <v>213</v>
      </c>
      <c r="AM182" s="177"/>
      <c r="AN182" s="178" t="str">
        <f>IF(AD182="","",AB182-AD182)</f>
        <v/>
      </c>
      <c r="AO182" s="202"/>
    </row>
    <row r="183" spans="1:42" ht="23.1" customHeight="1">
      <c r="A183" s="180" t="s">
        <v>368</v>
      </c>
      <c r="B183" s="180"/>
      <c r="C183" s="181" t="s">
        <v>285</v>
      </c>
      <c r="D183" s="179"/>
      <c r="E183" s="182"/>
      <c r="F183" s="113" t="s">
        <v>200</v>
      </c>
      <c r="G183" s="183" t="s">
        <v>291</v>
      </c>
      <c r="H183" s="179"/>
      <c r="I183" s="179"/>
      <c r="J183" s="222">
        <v>3359</v>
      </c>
      <c r="K183" s="223"/>
      <c r="L183" s="222">
        <f>L184+O177</f>
        <v>1428</v>
      </c>
      <c r="M183" s="223"/>
      <c r="N183" s="230">
        <f>L183/24/60/60</f>
        <v>1.6527777777777777E-2</v>
      </c>
      <c r="O183" s="231"/>
      <c r="P183" s="222">
        <v>300</v>
      </c>
      <c r="Q183" s="223"/>
      <c r="R183" s="224">
        <f>IF(P183&lt;=600,100,IF(P183&gt;=1000,120,110))</f>
        <v>100</v>
      </c>
      <c r="S183" s="225"/>
      <c r="T183" s="226">
        <f>10.666*R183^(-1.85)*(P183/1000)^(-4.87)*N183^1.85</f>
        <v>3.7854527443137101E-4</v>
      </c>
      <c r="U183" s="227"/>
      <c r="V183" s="232">
        <f>0.35464*R183*(P183/1000)^(0.63)*T183^(0.54)</f>
        <v>0.23580756649682386</v>
      </c>
      <c r="W183" s="233"/>
      <c r="X183" s="232">
        <f>ROUND(T183*J183,2)</f>
        <v>1.27</v>
      </c>
      <c r="Y183" s="233"/>
      <c r="Z183" s="236">
        <f>AB182</f>
        <v>115.42999999999999</v>
      </c>
      <c r="AA183" s="236"/>
      <c r="AB183" s="236">
        <f>Z183-X183+AJ183</f>
        <v>114.16</v>
      </c>
      <c r="AC183" s="236"/>
      <c r="AD183" s="197"/>
      <c r="AE183" s="197"/>
      <c r="AF183" s="197"/>
      <c r="AG183" s="197"/>
      <c r="AH183" s="176" t="s">
        <v>212</v>
      </c>
      <c r="AI183" s="177"/>
      <c r="AJ183" s="183"/>
      <c r="AK183" s="179"/>
      <c r="AL183" s="176" t="s">
        <v>213</v>
      </c>
      <c r="AM183" s="177"/>
      <c r="AN183" s="178" t="str">
        <f>IF(AD183="","",AB183-AD183)</f>
        <v/>
      </c>
      <c r="AO183" s="202"/>
    </row>
    <row r="184" spans="1:42" ht="23.1" customHeight="1">
      <c r="A184" s="180" t="s">
        <v>369</v>
      </c>
      <c r="B184" s="180"/>
      <c r="C184" s="179" t="s">
        <v>291</v>
      </c>
      <c r="D184" s="179"/>
      <c r="E184" s="182"/>
      <c r="F184" s="113" t="s">
        <v>200</v>
      </c>
      <c r="G184" s="183" t="s">
        <v>292</v>
      </c>
      <c r="H184" s="179"/>
      <c r="I184" s="179"/>
      <c r="J184" s="222">
        <v>4636</v>
      </c>
      <c r="K184" s="223"/>
      <c r="L184" s="222">
        <f>L185</f>
        <v>1252</v>
      </c>
      <c r="M184" s="223"/>
      <c r="N184" s="230">
        <f>L184/24/60/60</f>
        <v>1.449074074074074E-2</v>
      </c>
      <c r="O184" s="231"/>
      <c r="P184" s="222">
        <v>300</v>
      </c>
      <c r="Q184" s="223"/>
      <c r="R184" s="224">
        <f>IF(P184&lt;=600,100,IF(P184&gt;=1000,120,110))</f>
        <v>100</v>
      </c>
      <c r="S184" s="225"/>
      <c r="T184" s="226">
        <f>10.666*R184^(-1.85)*(P184/1000)^(-4.87)*N184^1.85</f>
        <v>2.9678274931132354E-4</v>
      </c>
      <c r="U184" s="227"/>
      <c r="V184" s="232">
        <f>0.35464*R184*(P184/1000)^(0.63)*T184^(0.54)</f>
        <v>0.20677164447905139</v>
      </c>
      <c r="W184" s="233"/>
      <c r="X184" s="232">
        <f>ROUND(T184*J184,2)</f>
        <v>1.38</v>
      </c>
      <c r="Y184" s="233"/>
      <c r="Z184" s="236">
        <f>AB183</f>
        <v>114.16</v>
      </c>
      <c r="AA184" s="236"/>
      <c r="AB184" s="236">
        <f>Z184-X184+AJ184</f>
        <v>112.78</v>
      </c>
      <c r="AC184" s="236"/>
      <c r="AD184" s="197"/>
      <c r="AE184" s="197"/>
      <c r="AF184" s="197"/>
      <c r="AG184" s="197"/>
      <c r="AH184" s="176" t="s">
        <v>212</v>
      </c>
      <c r="AI184" s="177"/>
      <c r="AJ184" s="183"/>
      <c r="AK184" s="179"/>
      <c r="AL184" s="176" t="s">
        <v>213</v>
      </c>
      <c r="AM184" s="177"/>
      <c r="AN184" s="178" t="str">
        <f>IF(AD184="","",AB184-AD184)</f>
        <v/>
      </c>
      <c r="AO184" s="202"/>
    </row>
    <row r="185" spans="1:42" ht="23.1" customHeight="1">
      <c r="A185" s="180" t="s">
        <v>370</v>
      </c>
      <c r="B185" s="180"/>
      <c r="C185" s="179" t="s">
        <v>292</v>
      </c>
      <c r="D185" s="179"/>
      <c r="E185" s="182"/>
      <c r="F185" s="113" t="s">
        <v>200</v>
      </c>
      <c r="G185" s="183" t="s">
        <v>367</v>
      </c>
      <c r="H185" s="179"/>
      <c r="I185" s="179"/>
      <c r="J185" s="222">
        <v>1258</v>
      </c>
      <c r="K185" s="223"/>
      <c r="L185" s="222">
        <f>L186+Y177</f>
        <v>1252</v>
      </c>
      <c r="M185" s="223"/>
      <c r="N185" s="230">
        <f>L185/24/60/60</f>
        <v>1.449074074074074E-2</v>
      </c>
      <c r="O185" s="231"/>
      <c r="P185" s="222">
        <v>300</v>
      </c>
      <c r="Q185" s="223"/>
      <c r="R185" s="224">
        <f>IF(P185&lt;=600,100,IF(P185&gt;=1000,120,110))</f>
        <v>100</v>
      </c>
      <c r="S185" s="225"/>
      <c r="T185" s="226">
        <f>10.666*R185^(-1.85)*(P185/1000)^(-4.87)*N185^1.85</f>
        <v>2.9678274931132354E-4</v>
      </c>
      <c r="U185" s="227"/>
      <c r="V185" s="232">
        <f>0.35464*R185*(P185/1000)^(0.63)*T185^(0.54)</f>
        <v>0.20677164447905139</v>
      </c>
      <c r="W185" s="233"/>
      <c r="X185" s="232">
        <f>ROUND(T185*J185,2)</f>
        <v>0.37</v>
      </c>
      <c r="Y185" s="233"/>
      <c r="Z185" s="236">
        <f>AB184</f>
        <v>112.78</v>
      </c>
      <c r="AA185" s="236"/>
      <c r="AB185" s="236">
        <f>Z185-X185+AJ185</f>
        <v>112.41</v>
      </c>
      <c r="AC185" s="236"/>
      <c r="AD185" s="196"/>
      <c r="AE185" s="196"/>
      <c r="AF185" s="196"/>
      <c r="AG185" s="196"/>
      <c r="AH185" s="176" t="s">
        <v>212</v>
      </c>
      <c r="AI185" s="177"/>
      <c r="AJ185" s="183"/>
      <c r="AK185" s="179"/>
      <c r="AL185" s="176" t="s">
        <v>213</v>
      </c>
      <c r="AM185" s="177"/>
      <c r="AN185" s="178" t="str">
        <f>IF(AD185="","",AB185-AD185)</f>
        <v/>
      </c>
      <c r="AO185" s="202"/>
    </row>
    <row r="186" spans="1:42" ht="23.1" customHeight="1">
      <c r="A186" s="180" t="s">
        <v>371</v>
      </c>
      <c r="B186" s="180"/>
      <c r="C186" s="179" t="s">
        <v>367</v>
      </c>
      <c r="D186" s="179"/>
      <c r="E186" s="182"/>
      <c r="F186" s="113" t="s">
        <v>200</v>
      </c>
      <c r="G186" s="183" t="s">
        <v>271</v>
      </c>
      <c r="H186" s="179"/>
      <c r="I186" s="179"/>
      <c r="J186" s="222">
        <v>236</v>
      </c>
      <c r="K186" s="223"/>
      <c r="L186" s="222">
        <f>배분계획!C19</f>
        <v>1252</v>
      </c>
      <c r="M186" s="223"/>
      <c r="N186" s="230">
        <f>L186/24/60/60</f>
        <v>1.449074074074074E-2</v>
      </c>
      <c r="O186" s="231"/>
      <c r="P186" s="222">
        <v>300</v>
      </c>
      <c r="Q186" s="223"/>
      <c r="R186" s="224">
        <f>IF(P186&lt;=600,100,IF(P186&gt;=1000,120,110))</f>
        <v>100</v>
      </c>
      <c r="S186" s="225"/>
      <c r="T186" s="226">
        <f>10.666*R186^(-1.85)*(P186/1000)^(-4.87)*N186^1.85</f>
        <v>2.9678274931132354E-4</v>
      </c>
      <c r="U186" s="227"/>
      <c r="V186" s="232">
        <f>0.35464*R186*(P186/1000)^(0.63)*T186^(0.54)</f>
        <v>0.20677164447905139</v>
      </c>
      <c r="W186" s="233"/>
      <c r="X186" s="232">
        <f>ROUND(T186*J186,2)</f>
        <v>7.0000000000000007E-2</v>
      </c>
      <c r="Y186" s="233"/>
      <c r="Z186" s="236">
        <f>AB185</f>
        <v>112.41</v>
      </c>
      <c r="AA186" s="236"/>
      <c r="AB186" s="236">
        <f>Z186-X186+AJ186</f>
        <v>112.34</v>
      </c>
      <c r="AC186" s="236"/>
      <c r="AD186" s="196">
        <v>87.8</v>
      </c>
      <c r="AE186" s="196"/>
      <c r="AF186" s="196">
        <v>86.3</v>
      </c>
      <c r="AG186" s="196"/>
      <c r="AH186" s="176" t="s">
        <v>212</v>
      </c>
      <c r="AI186" s="177"/>
      <c r="AJ186" s="183"/>
      <c r="AK186" s="179"/>
      <c r="AL186" s="176" t="s">
        <v>213</v>
      </c>
      <c r="AM186" s="177"/>
      <c r="AN186" s="178">
        <f>IF(AD186="","",AB186-AD186)</f>
        <v>24.540000000000006</v>
      </c>
      <c r="AO186" s="202"/>
    </row>
    <row r="190" spans="1:42" s="114" customFormat="1" ht="23.1" customHeight="1">
      <c r="A190" s="111" t="s">
        <v>365</v>
      </c>
    </row>
    <row r="192" spans="1:42" ht="23.1" customHeight="1"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6"/>
      <c r="AK192" s="119"/>
      <c r="AL192" s="119"/>
      <c r="AM192" s="119"/>
    </row>
    <row r="193" spans="1:42" ht="23.1" customHeight="1"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6"/>
      <c r="AK193" s="116"/>
      <c r="AL193" s="116"/>
      <c r="AM193" s="116"/>
    </row>
    <row r="194" spans="1:42" ht="23.1" customHeight="1"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6"/>
      <c r="AK194" s="116"/>
      <c r="AL194" s="116"/>
      <c r="AM194" s="116"/>
    </row>
    <row r="195" spans="1:42" ht="23.1" customHeight="1"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</row>
    <row r="196" spans="1:42" ht="23.1" customHeight="1"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6"/>
      <c r="AJ196" s="116"/>
      <c r="AK196" s="116"/>
      <c r="AL196" s="117"/>
      <c r="AM196" s="118"/>
      <c r="AN196" s="118"/>
    </row>
    <row r="197" spans="1:42" ht="23.1" customHeight="1">
      <c r="B197" s="117"/>
      <c r="C197" s="117"/>
      <c r="D197" s="117"/>
      <c r="E197" s="117"/>
      <c r="F197" s="117"/>
      <c r="G197" s="117"/>
      <c r="H197" s="117"/>
      <c r="I197" s="116"/>
      <c r="J197" s="116"/>
      <c r="K197" s="116"/>
      <c r="L197" s="116"/>
      <c r="M197" s="117"/>
      <c r="N197" s="116"/>
      <c r="O197" s="116"/>
      <c r="P197" s="116"/>
      <c r="Q197" s="116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8"/>
      <c r="AN197" s="118"/>
    </row>
    <row r="198" spans="1:42" ht="23.1" customHeight="1">
      <c r="B198" s="117"/>
      <c r="C198" s="117"/>
      <c r="D198" s="117"/>
      <c r="E198" s="117"/>
      <c r="F198" s="117"/>
      <c r="G198" s="117"/>
      <c r="H198" s="117"/>
      <c r="I198" s="116"/>
      <c r="J198" s="116"/>
      <c r="K198" s="116"/>
      <c r="L198" s="116"/>
      <c r="M198" s="117"/>
      <c r="N198" s="116"/>
      <c r="O198" s="116"/>
      <c r="P198" s="116"/>
      <c r="Q198" s="116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</row>
    <row r="199" spans="1:42" ht="23.1" customHeight="1">
      <c r="B199" s="198" t="s">
        <v>366</v>
      </c>
      <c r="C199" s="203"/>
      <c r="D199" s="203"/>
      <c r="E199" s="199"/>
      <c r="F199" s="112"/>
      <c r="G199" s="206" t="s">
        <v>270</v>
      </c>
      <c r="H199" s="206"/>
      <c r="I199" s="206"/>
      <c r="J199" s="117"/>
      <c r="K199" s="198" t="s">
        <v>375</v>
      </c>
      <c r="L199" s="203"/>
      <c r="M199" s="203"/>
      <c r="N199" s="199"/>
      <c r="O199" s="117"/>
      <c r="P199" s="206" t="s">
        <v>281</v>
      </c>
      <c r="Q199" s="206"/>
      <c r="R199" s="206"/>
      <c r="S199" s="119"/>
      <c r="T199" s="198" t="s">
        <v>376</v>
      </c>
      <c r="U199" s="203"/>
      <c r="V199" s="203"/>
      <c r="W199" s="199"/>
      <c r="X199" s="116"/>
      <c r="Y199" s="206" t="s">
        <v>282</v>
      </c>
      <c r="Z199" s="206"/>
      <c r="AA199" s="206"/>
      <c r="AB199" s="116"/>
      <c r="AC199" s="198" t="s">
        <v>318</v>
      </c>
      <c r="AD199" s="209"/>
      <c r="AE199" s="209"/>
      <c r="AF199" s="210"/>
      <c r="AG199" s="119"/>
      <c r="AH199" s="116"/>
      <c r="AI199" s="117"/>
      <c r="AJ199" s="116"/>
      <c r="AK199" s="116"/>
      <c r="AL199" s="116"/>
      <c r="AM199" s="116"/>
    </row>
    <row r="200" spans="1:42" ht="23.1" customHeight="1">
      <c r="B200" s="200" t="s">
        <v>234</v>
      </c>
      <c r="C200" s="204"/>
      <c r="D200" s="205">
        <f>AB185</f>
        <v>112.41</v>
      </c>
      <c r="E200" s="201"/>
      <c r="G200" s="110" t="s">
        <v>231</v>
      </c>
      <c r="H200" s="207"/>
      <c r="I200" s="207"/>
      <c r="J200" s="117"/>
      <c r="K200" s="200" t="s">
        <v>222</v>
      </c>
      <c r="L200" s="204"/>
      <c r="M200" s="205"/>
      <c r="N200" s="220"/>
      <c r="O200" s="117"/>
      <c r="P200" s="110" t="s">
        <v>231</v>
      </c>
      <c r="Q200" s="207"/>
      <c r="R200" s="207"/>
      <c r="S200" s="116"/>
      <c r="T200" s="200" t="s">
        <v>222</v>
      </c>
      <c r="U200" s="204"/>
      <c r="V200" s="205"/>
      <c r="W200" s="220"/>
      <c r="X200" s="116"/>
      <c r="Y200" s="110" t="s">
        <v>231</v>
      </c>
      <c r="Z200" s="207"/>
      <c r="AA200" s="207"/>
      <c r="AB200" s="118"/>
      <c r="AC200" s="200" t="s">
        <v>223</v>
      </c>
      <c r="AD200" s="204"/>
      <c r="AE200" s="205">
        <f>AB213</f>
        <v>0</v>
      </c>
      <c r="AF200" s="201"/>
      <c r="AG200" s="116"/>
      <c r="AH200" s="118"/>
      <c r="AI200" s="117"/>
      <c r="AJ200" s="116"/>
      <c r="AK200" s="116"/>
      <c r="AL200" s="116"/>
      <c r="AM200" s="116"/>
    </row>
    <row r="201" spans="1:42" ht="23.1" customHeight="1">
      <c r="G201" s="110" t="s">
        <v>232</v>
      </c>
      <c r="H201" s="208"/>
      <c r="I201" s="208"/>
      <c r="J201" s="117"/>
      <c r="K201" s="117"/>
      <c r="L201" s="117"/>
      <c r="M201" s="118"/>
      <c r="N201" s="118"/>
      <c r="O201" s="117"/>
      <c r="P201" s="110" t="s">
        <v>232</v>
      </c>
      <c r="Q201" s="208"/>
      <c r="R201" s="208"/>
      <c r="S201" s="118"/>
      <c r="T201" s="117"/>
      <c r="U201" s="117"/>
      <c r="V201" s="118"/>
      <c r="W201" s="118"/>
      <c r="X201" s="118"/>
      <c r="Y201" s="110" t="s">
        <v>232</v>
      </c>
      <c r="Z201" s="208"/>
      <c r="AA201" s="208"/>
      <c r="AB201" s="118"/>
      <c r="AC201" s="118"/>
      <c r="AD201" s="117"/>
      <c r="AE201" s="117"/>
      <c r="AF201" s="117"/>
      <c r="AG201" s="118"/>
      <c r="AH201" s="118"/>
      <c r="AI201" s="117"/>
      <c r="AJ201" s="117"/>
      <c r="AK201" s="117"/>
      <c r="AL201" s="117"/>
      <c r="AM201" s="117"/>
    </row>
    <row r="202" spans="1:42" ht="23.1" customHeight="1"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</row>
    <row r="203" spans="1:42" ht="23.1" customHeight="1">
      <c r="B203" s="117"/>
      <c r="C203" s="117"/>
      <c r="D203" s="117"/>
      <c r="E203" s="117"/>
      <c r="F203" s="117"/>
      <c r="G203" s="117"/>
      <c r="H203" s="117"/>
      <c r="I203" s="116"/>
      <c r="J203" s="116"/>
      <c r="K203" s="116"/>
      <c r="L203" s="116"/>
      <c r="M203" s="117"/>
      <c r="N203" s="116"/>
      <c r="O203" s="116"/>
      <c r="P203" s="116"/>
      <c r="Q203" s="116"/>
      <c r="R203" s="117"/>
      <c r="S203" s="116"/>
      <c r="T203" s="116"/>
      <c r="U203" s="116"/>
      <c r="V203" s="116"/>
      <c r="W203" s="117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7"/>
      <c r="AH203" s="117"/>
      <c r="AI203" s="117"/>
      <c r="AJ203" s="117"/>
      <c r="AK203" s="117"/>
      <c r="AL203" s="117"/>
      <c r="AM203" s="117"/>
    </row>
    <row r="204" spans="1:42" ht="23.1" customHeight="1">
      <c r="B204" s="117"/>
      <c r="C204" s="117"/>
      <c r="D204" s="117"/>
      <c r="E204" s="117"/>
      <c r="F204" s="117"/>
      <c r="G204" s="117"/>
      <c r="H204" s="117"/>
      <c r="I204" s="117"/>
      <c r="J204" s="116"/>
      <c r="K204" s="116"/>
      <c r="L204" s="116"/>
      <c r="M204" s="117"/>
      <c r="N204" s="117"/>
      <c r="O204" s="116"/>
      <c r="P204" s="116"/>
      <c r="Q204" s="116"/>
      <c r="R204" s="117"/>
      <c r="S204" s="117"/>
      <c r="T204" s="116"/>
      <c r="U204" s="116"/>
      <c r="V204" s="116"/>
      <c r="W204" s="117"/>
      <c r="X204" s="117"/>
      <c r="Y204" s="116"/>
      <c r="Z204" s="116"/>
      <c r="AA204" s="116"/>
      <c r="AB204" s="117"/>
      <c r="AC204" s="117"/>
      <c r="AD204" s="116"/>
      <c r="AE204" s="116"/>
      <c r="AF204" s="116"/>
      <c r="AG204" s="117"/>
      <c r="AH204" s="117"/>
      <c r="AI204" s="117"/>
      <c r="AJ204" s="117"/>
      <c r="AK204" s="117"/>
      <c r="AL204" s="117"/>
      <c r="AM204" s="117"/>
    </row>
    <row r="207" spans="1:42" ht="23.1" customHeight="1">
      <c r="A207" s="179" t="s">
        <v>179</v>
      </c>
      <c r="B207" s="179"/>
      <c r="C207" s="179" t="s">
        <v>180</v>
      </c>
      <c r="D207" s="179"/>
      <c r="E207" s="179"/>
      <c r="F207" s="179"/>
      <c r="G207" s="179"/>
      <c r="H207" s="179"/>
      <c r="I207" s="179"/>
      <c r="J207" s="181" t="s">
        <v>195</v>
      </c>
      <c r="K207" s="179"/>
      <c r="L207" s="179" t="s">
        <v>181</v>
      </c>
      <c r="M207" s="179"/>
      <c r="N207" s="179"/>
      <c r="O207" s="179"/>
      <c r="P207" s="181" t="s">
        <v>189</v>
      </c>
      <c r="Q207" s="179"/>
      <c r="R207" s="181" t="s">
        <v>190</v>
      </c>
      <c r="S207" s="179"/>
      <c r="T207" s="181" t="s">
        <v>191</v>
      </c>
      <c r="U207" s="179"/>
      <c r="V207" s="181" t="s">
        <v>193</v>
      </c>
      <c r="W207" s="179"/>
      <c r="X207" s="181" t="s">
        <v>194</v>
      </c>
      <c r="Y207" s="179"/>
      <c r="Z207" s="179" t="s">
        <v>196</v>
      </c>
      <c r="AA207" s="179"/>
      <c r="AB207" s="179"/>
      <c r="AC207" s="179"/>
      <c r="AD207" s="179" t="s">
        <v>184</v>
      </c>
      <c r="AE207" s="179"/>
      <c r="AF207" s="179"/>
      <c r="AG207" s="179"/>
      <c r="AH207" s="179" t="s">
        <v>187</v>
      </c>
      <c r="AI207" s="179"/>
      <c r="AJ207" s="179"/>
      <c r="AK207" s="179"/>
      <c r="AL207" s="179"/>
      <c r="AM207" s="179"/>
      <c r="AN207" s="179"/>
      <c r="AO207" s="179"/>
      <c r="AP207" s="116"/>
    </row>
    <row r="208" spans="1:42" ht="23.1" customHeight="1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 t="s">
        <v>197</v>
      </c>
      <c r="M208" s="179"/>
      <c r="N208" s="179" t="s">
        <v>188</v>
      </c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 t="s">
        <v>182</v>
      </c>
      <c r="AA208" s="179"/>
      <c r="AB208" s="179" t="s">
        <v>183</v>
      </c>
      <c r="AC208" s="179"/>
      <c r="AD208" s="179" t="s">
        <v>185</v>
      </c>
      <c r="AE208" s="179"/>
      <c r="AF208" s="179" t="s">
        <v>186</v>
      </c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16"/>
    </row>
    <row r="209" spans="1:41" ht="22.5" customHeight="1">
      <c r="A209" s="180" t="s">
        <v>272</v>
      </c>
      <c r="B209" s="180"/>
      <c r="C209" s="181" t="s">
        <v>367</v>
      </c>
      <c r="D209" s="179"/>
      <c r="E209" s="182"/>
      <c r="F209" s="113" t="s">
        <v>200</v>
      </c>
      <c r="G209" s="183" t="s">
        <v>377</v>
      </c>
      <c r="H209" s="179"/>
      <c r="I209" s="179"/>
      <c r="J209" s="184"/>
      <c r="K209" s="185"/>
      <c r="L209" s="184"/>
      <c r="M209" s="185"/>
      <c r="N209" s="186">
        <f>L209/24/60/60</f>
        <v>0</v>
      </c>
      <c r="O209" s="187"/>
      <c r="P209" s="184"/>
      <c r="Q209" s="185"/>
      <c r="R209" s="188">
        <f>IF(P209&lt;=600,100,IF(P209&gt;=1000,120,110))</f>
        <v>100</v>
      </c>
      <c r="S209" s="189"/>
      <c r="T209" s="190" t="e">
        <f>10.666*R209^(-1.85)*(P209/1000)^(-4.87)*N209^1.85</f>
        <v>#DIV/0!</v>
      </c>
      <c r="U209" s="191"/>
      <c r="V209" s="194" t="e">
        <f>0.35464*R209*(P209/1000)^(0.63)*T209^(0.54)</f>
        <v>#DIV/0!</v>
      </c>
      <c r="W209" s="195"/>
      <c r="X209" s="194" t="e">
        <f>ROUND(T209*J209,2)</f>
        <v>#DIV/0!</v>
      </c>
      <c r="Y209" s="195"/>
      <c r="Z209" s="196">
        <v>41</v>
      </c>
      <c r="AA209" s="196"/>
      <c r="AB209" s="197" t="e">
        <f>Z209-X209+AJ209</f>
        <v>#DIV/0!</v>
      </c>
      <c r="AC209" s="197"/>
      <c r="AD209" s="196">
        <v>66.599999999999994</v>
      </c>
      <c r="AE209" s="196"/>
      <c r="AF209" s="196">
        <v>61.6</v>
      </c>
      <c r="AG209" s="196"/>
      <c r="AH209" s="176" t="s">
        <v>212</v>
      </c>
      <c r="AI209" s="177"/>
      <c r="AJ209" s="192"/>
      <c r="AK209" s="193"/>
      <c r="AL209" s="176" t="s">
        <v>213</v>
      </c>
      <c r="AM209" s="177"/>
      <c r="AN209" s="178" t="e">
        <f>AB209-AD209</f>
        <v>#DIV/0!</v>
      </c>
      <c r="AO209" s="179"/>
    </row>
    <row r="210" spans="1:41" ht="22.5" customHeight="1">
      <c r="A210" s="180" t="s">
        <v>290</v>
      </c>
      <c r="B210" s="180"/>
      <c r="C210" s="181" t="s">
        <v>377</v>
      </c>
      <c r="D210" s="179"/>
      <c r="E210" s="182"/>
      <c r="F210" s="113" t="s">
        <v>200</v>
      </c>
      <c r="G210" s="183" t="s">
        <v>378</v>
      </c>
      <c r="H210" s="179"/>
      <c r="I210" s="179"/>
      <c r="J210" s="184"/>
      <c r="K210" s="185"/>
      <c r="L210" s="184"/>
      <c r="M210" s="185"/>
      <c r="N210" s="186">
        <f>L210/24/60/60</f>
        <v>0</v>
      </c>
      <c r="O210" s="187"/>
      <c r="P210" s="184"/>
      <c r="Q210" s="185"/>
      <c r="R210" s="188">
        <f>IF(P210&lt;=600,100,IF(P210&gt;=1000,120,110))</f>
        <v>100</v>
      </c>
      <c r="S210" s="189"/>
      <c r="T210" s="190" t="e">
        <f>10.666*R210^(-1.85)*(P210/1000)^(-4.87)*N210^1.85</f>
        <v>#DIV/0!</v>
      </c>
      <c r="U210" s="191"/>
      <c r="V210" s="194" t="e">
        <f>0.35464*R210*(P210/1000)^(0.63)*T210^(0.54)</f>
        <v>#DIV/0!</v>
      </c>
      <c r="W210" s="195"/>
      <c r="X210" s="194" t="e">
        <f>ROUND(T210*J210,2)</f>
        <v>#DIV/0!</v>
      </c>
      <c r="Y210" s="195"/>
      <c r="Z210" s="196"/>
      <c r="AA210" s="196"/>
      <c r="AB210" s="197" t="e">
        <f>Z210-X210+AJ210</f>
        <v>#DIV/0!</v>
      </c>
      <c r="AC210" s="197"/>
      <c r="AD210" s="196"/>
      <c r="AE210" s="196"/>
      <c r="AF210" s="196"/>
      <c r="AG210" s="196"/>
      <c r="AH210" s="176" t="s">
        <v>212</v>
      </c>
      <c r="AI210" s="177"/>
      <c r="AJ210" s="192">
        <v>40</v>
      </c>
      <c r="AK210" s="193"/>
      <c r="AL210" s="176" t="s">
        <v>213</v>
      </c>
      <c r="AM210" s="177"/>
      <c r="AN210" s="178" t="e">
        <f>AB210-AD210</f>
        <v>#DIV/0!</v>
      </c>
      <c r="AO210" s="179"/>
    </row>
    <row r="211" spans="1:41" ht="22.5" customHeight="1">
      <c r="A211" s="180" t="s">
        <v>283</v>
      </c>
      <c r="B211" s="180"/>
      <c r="C211" s="181" t="s">
        <v>378</v>
      </c>
      <c r="D211" s="179"/>
      <c r="E211" s="182"/>
      <c r="F211" s="113" t="s">
        <v>200</v>
      </c>
      <c r="G211" s="183" t="s">
        <v>379</v>
      </c>
      <c r="H211" s="179"/>
      <c r="I211" s="179"/>
      <c r="J211" s="184"/>
      <c r="K211" s="185"/>
      <c r="L211" s="184"/>
      <c r="M211" s="185"/>
      <c r="N211" s="186">
        <f>L211/24/60/60</f>
        <v>0</v>
      </c>
      <c r="O211" s="187"/>
      <c r="P211" s="184"/>
      <c r="Q211" s="185"/>
      <c r="R211" s="188">
        <f>IF(P211&lt;=600,100,IF(P211&gt;=1000,120,110))</f>
        <v>100</v>
      </c>
      <c r="S211" s="189"/>
      <c r="T211" s="190" t="e">
        <f>10.666*R211^(-1.85)*(P211/1000)^(-4.87)*N211^1.85</f>
        <v>#DIV/0!</v>
      </c>
      <c r="U211" s="191"/>
      <c r="V211" s="194" t="e">
        <f>0.35464*R211*(P211/1000)^(0.63)*T211^(0.54)</f>
        <v>#DIV/0!</v>
      </c>
      <c r="W211" s="195"/>
      <c r="X211" s="194" t="e">
        <f>ROUND(T211*J211,2)</f>
        <v>#DIV/0!</v>
      </c>
      <c r="Y211" s="195"/>
      <c r="Z211" s="196"/>
      <c r="AA211" s="196"/>
      <c r="AB211" s="197" t="e">
        <f>Z211-X211+AJ211</f>
        <v>#DIV/0!</v>
      </c>
      <c r="AC211" s="197"/>
      <c r="AD211" s="196"/>
      <c r="AE211" s="196"/>
      <c r="AF211" s="196"/>
      <c r="AG211" s="196"/>
      <c r="AH211" s="176" t="s">
        <v>212</v>
      </c>
      <c r="AI211" s="177"/>
      <c r="AJ211" s="192">
        <v>40</v>
      </c>
      <c r="AK211" s="193"/>
      <c r="AL211" s="176" t="s">
        <v>213</v>
      </c>
      <c r="AM211" s="177"/>
      <c r="AN211" s="178" t="e">
        <f>AB211-AD211</f>
        <v>#DIV/0!</v>
      </c>
      <c r="AO211" s="179"/>
    </row>
    <row r="217" spans="1:41" s="114" customFormat="1" ht="23.1" customHeight="1">
      <c r="A217" s="111" t="s">
        <v>313</v>
      </c>
    </row>
    <row r="219" spans="1:41" ht="23.1" customHeight="1"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6"/>
      <c r="AK219" s="119"/>
      <c r="AL219" s="119"/>
      <c r="AM219" s="119"/>
    </row>
    <row r="220" spans="1:41" ht="23.1" customHeight="1"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6"/>
      <c r="AK220" s="119"/>
      <c r="AL220" s="119"/>
      <c r="AM220" s="119"/>
    </row>
    <row r="221" spans="1:41" ht="23.1" customHeight="1"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6"/>
      <c r="AK221" s="116"/>
      <c r="AL221" s="116"/>
      <c r="AM221" s="116"/>
    </row>
    <row r="222" spans="1:41" ht="23.1" customHeight="1"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</row>
    <row r="223" spans="1:41" ht="23.1" customHeight="1"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6"/>
      <c r="AJ223" s="116"/>
      <c r="AK223" s="116"/>
      <c r="AL223" s="117"/>
      <c r="AM223" s="118"/>
      <c r="AN223" s="118"/>
    </row>
    <row r="224" spans="1:41" ht="23.1" customHeight="1">
      <c r="B224" s="117"/>
      <c r="C224" s="117"/>
      <c r="D224" s="117"/>
      <c r="E224" s="117"/>
      <c r="F224" s="117"/>
      <c r="G224" s="117"/>
      <c r="H224" s="117"/>
      <c r="I224" s="116"/>
      <c r="J224" s="116"/>
      <c r="K224" s="116"/>
      <c r="L224" s="116"/>
      <c r="M224" s="117"/>
      <c r="N224" s="116"/>
      <c r="O224" s="116"/>
      <c r="P224" s="116"/>
      <c r="Q224" s="116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8"/>
      <c r="AN224" s="118"/>
    </row>
    <row r="225" spans="1:42" ht="23.1" customHeight="1">
      <c r="B225" s="117"/>
      <c r="C225" s="117"/>
      <c r="D225" s="117"/>
      <c r="E225" s="117"/>
      <c r="F225" s="117"/>
      <c r="G225" s="117"/>
      <c r="H225" s="117"/>
      <c r="I225" s="116"/>
      <c r="J225" s="116"/>
      <c r="K225" s="116"/>
      <c r="L225" s="116"/>
      <c r="M225" s="117"/>
      <c r="N225" s="116"/>
      <c r="O225" s="116"/>
      <c r="P225" s="116"/>
      <c r="Q225" s="116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</row>
    <row r="226" spans="1:42" ht="23.1" customHeight="1">
      <c r="B226" s="198" t="s">
        <v>275</v>
      </c>
      <c r="C226" s="209"/>
      <c r="D226" s="209"/>
      <c r="E226" s="210"/>
      <c r="F226" s="112"/>
      <c r="G226" s="206" t="s">
        <v>278</v>
      </c>
      <c r="H226" s="206"/>
      <c r="I226" s="206"/>
      <c r="J226" s="117"/>
      <c r="K226" s="198" t="s">
        <v>276</v>
      </c>
      <c r="L226" s="203"/>
      <c r="M226" s="203"/>
      <c r="N226" s="199"/>
      <c r="O226" s="117"/>
      <c r="P226" s="206" t="s">
        <v>279</v>
      </c>
      <c r="Q226" s="206"/>
      <c r="R226" s="206"/>
      <c r="S226" s="119"/>
      <c r="T226" s="116"/>
      <c r="U226" s="206" t="s">
        <v>301</v>
      </c>
      <c r="V226" s="206"/>
      <c r="W226" s="206"/>
      <c r="X226" s="116"/>
      <c r="Y226" s="198" t="s">
        <v>274</v>
      </c>
      <c r="Z226" s="209"/>
      <c r="AA226" s="209"/>
      <c r="AB226" s="210"/>
      <c r="AC226" s="116"/>
      <c r="AD226" s="116"/>
      <c r="AE226" s="119"/>
      <c r="AF226" s="119"/>
      <c r="AG226" s="119"/>
      <c r="AH226" s="116"/>
      <c r="AI226" s="117"/>
      <c r="AJ226" s="116"/>
      <c r="AK226" s="116"/>
      <c r="AL226" s="116"/>
      <c r="AM226" s="116"/>
    </row>
    <row r="227" spans="1:42" ht="23.1" customHeight="1">
      <c r="B227" s="200" t="s">
        <v>234</v>
      </c>
      <c r="C227" s="204"/>
      <c r="D227" s="205">
        <f>Z236</f>
        <v>60.54999999999999</v>
      </c>
      <c r="E227" s="201"/>
      <c r="G227" s="110" t="s">
        <v>231</v>
      </c>
      <c r="H227" s="207">
        <f>P236</f>
        <v>250</v>
      </c>
      <c r="I227" s="207"/>
      <c r="J227" s="117"/>
      <c r="K227" s="200" t="s">
        <v>222</v>
      </c>
      <c r="L227" s="204"/>
      <c r="M227" s="205">
        <f>AJ237</f>
        <v>95</v>
      </c>
      <c r="N227" s="220"/>
      <c r="O227" s="117"/>
      <c r="P227" s="110" t="s">
        <v>231</v>
      </c>
      <c r="Q227" s="207">
        <f>P237</f>
        <v>200</v>
      </c>
      <c r="R227" s="207"/>
      <c r="S227" s="126"/>
      <c r="T227" s="116"/>
      <c r="U227" s="110" t="s">
        <v>231</v>
      </c>
      <c r="V227" s="207">
        <f>P238</f>
        <v>200</v>
      </c>
      <c r="W227" s="207"/>
      <c r="X227" s="116"/>
      <c r="Y227" s="200" t="s">
        <v>223</v>
      </c>
      <c r="Z227" s="204"/>
      <c r="AA227" s="205">
        <f>AD238</f>
        <v>73.7</v>
      </c>
      <c r="AB227" s="201"/>
      <c r="AC227" s="118"/>
      <c r="AD227" s="116"/>
      <c r="AE227" s="116"/>
      <c r="AF227" s="116"/>
      <c r="AG227" s="116"/>
      <c r="AH227" s="118"/>
      <c r="AI227" s="117"/>
      <c r="AJ227" s="116"/>
      <c r="AK227" s="116"/>
      <c r="AL227" s="116"/>
      <c r="AM227" s="116"/>
    </row>
    <row r="228" spans="1:42" ht="23.1" customHeight="1">
      <c r="G228" s="110" t="s">
        <v>232</v>
      </c>
      <c r="H228" s="208">
        <f>J236</f>
        <v>4512</v>
      </c>
      <c r="I228" s="208"/>
      <c r="J228" s="117"/>
      <c r="K228" s="117"/>
      <c r="L228" s="117"/>
      <c r="M228" s="118"/>
      <c r="N228" s="118"/>
      <c r="O228" s="117"/>
      <c r="P228" s="110" t="s">
        <v>232</v>
      </c>
      <c r="Q228" s="208">
        <f>J237</f>
        <v>4400</v>
      </c>
      <c r="R228" s="208"/>
      <c r="S228" s="118"/>
      <c r="T228" s="117"/>
      <c r="U228" s="110" t="s">
        <v>232</v>
      </c>
      <c r="V228" s="208">
        <f>J238</f>
        <v>2768</v>
      </c>
      <c r="W228" s="208"/>
      <c r="X228" s="118"/>
      <c r="Y228" s="117"/>
      <c r="Z228" s="117"/>
      <c r="AA228" s="118"/>
      <c r="AB228" s="118"/>
      <c r="AC228" s="118"/>
      <c r="AD228" s="117"/>
      <c r="AE228" s="117"/>
      <c r="AF228" s="117"/>
      <c r="AG228" s="118"/>
      <c r="AH228" s="118"/>
      <c r="AI228" s="117"/>
      <c r="AJ228" s="117"/>
      <c r="AK228" s="117"/>
      <c r="AL228" s="117"/>
      <c r="AM228" s="117"/>
    </row>
    <row r="229" spans="1:42" ht="23.1" customHeight="1"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  <c r="AK229" s="117"/>
      <c r="AL229" s="117"/>
      <c r="AM229" s="117"/>
    </row>
    <row r="230" spans="1:42" ht="23.1" customHeight="1">
      <c r="B230" s="117"/>
      <c r="C230" s="117"/>
      <c r="D230" s="117"/>
      <c r="E230" s="117"/>
      <c r="F230" s="117"/>
      <c r="G230" s="117"/>
      <c r="H230" s="117"/>
      <c r="I230" s="116"/>
      <c r="J230" s="116"/>
      <c r="K230" s="116"/>
      <c r="L230" s="116"/>
      <c r="M230" s="117"/>
      <c r="N230" s="116"/>
      <c r="O230" s="116"/>
      <c r="P230" s="116"/>
      <c r="Q230" s="116"/>
      <c r="R230" s="198" t="s">
        <v>304</v>
      </c>
      <c r="S230" s="203"/>
      <c r="T230" s="203"/>
      <c r="U230" s="199"/>
      <c r="V230" s="116"/>
      <c r="W230" s="117"/>
      <c r="X230" s="116"/>
      <c r="Y230" s="116"/>
      <c r="Z230" s="116"/>
      <c r="AA230" s="116"/>
      <c r="AB230" s="117"/>
      <c r="AC230" s="116"/>
      <c r="AD230" s="116"/>
      <c r="AE230" s="116"/>
      <c r="AF230" s="116"/>
      <c r="AG230" s="117"/>
      <c r="AH230" s="117"/>
      <c r="AI230" s="117"/>
      <c r="AJ230" s="117"/>
      <c r="AK230" s="117"/>
      <c r="AL230" s="117"/>
      <c r="AM230" s="117"/>
    </row>
    <row r="231" spans="1:42" ht="23.1" customHeight="1">
      <c r="B231" s="117"/>
      <c r="C231" s="117"/>
      <c r="D231" s="117"/>
      <c r="E231" s="117"/>
      <c r="F231" s="117"/>
      <c r="G231" s="117"/>
      <c r="H231" s="117"/>
      <c r="I231" s="117"/>
      <c r="J231" s="116"/>
      <c r="K231" s="116"/>
      <c r="L231" s="116"/>
      <c r="M231" s="117"/>
      <c r="N231" s="117"/>
      <c r="O231" s="116"/>
      <c r="P231" s="116"/>
      <c r="Q231" s="116"/>
      <c r="R231" s="115" t="s">
        <v>233</v>
      </c>
      <c r="S231" s="237">
        <f>배분계획!C10</f>
        <v>0</v>
      </c>
      <c r="T231" s="204"/>
      <c r="U231" s="201"/>
      <c r="V231" s="116"/>
      <c r="W231" s="117"/>
      <c r="X231" s="117"/>
      <c r="Y231" s="116"/>
      <c r="Z231" s="116"/>
      <c r="AA231" s="116"/>
      <c r="AB231" s="117"/>
      <c r="AC231" s="117"/>
      <c r="AD231" s="116"/>
      <c r="AE231" s="116"/>
      <c r="AF231" s="116"/>
      <c r="AG231" s="117"/>
      <c r="AH231" s="117"/>
      <c r="AI231" s="117"/>
      <c r="AJ231" s="117"/>
      <c r="AK231" s="117"/>
      <c r="AL231" s="117"/>
      <c r="AM231" s="117"/>
    </row>
    <row r="234" spans="1:42" ht="23.1" customHeight="1">
      <c r="A234" s="179" t="s">
        <v>179</v>
      </c>
      <c r="B234" s="179"/>
      <c r="C234" s="179" t="s">
        <v>180</v>
      </c>
      <c r="D234" s="179"/>
      <c r="E234" s="179"/>
      <c r="F234" s="179"/>
      <c r="G234" s="179"/>
      <c r="H234" s="179"/>
      <c r="I234" s="179"/>
      <c r="J234" s="181" t="s">
        <v>195</v>
      </c>
      <c r="K234" s="179"/>
      <c r="L234" s="179" t="s">
        <v>181</v>
      </c>
      <c r="M234" s="179"/>
      <c r="N234" s="179"/>
      <c r="O234" s="179"/>
      <c r="P234" s="181" t="s">
        <v>189</v>
      </c>
      <c r="Q234" s="179"/>
      <c r="R234" s="181" t="s">
        <v>190</v>
      </c>
      <c r="S234" s="179"/>
      <c r="T234" s="181" t="s">
        <v>191</v>
      </c>
      <c r="U234" s="179"/>
      <c r="V234" s="181" t="s">
        <v>193</v>
      </c>
      <c r="W234" s="179"/>
      <c r="X234" s="181" t="s">
        <v>194</v>
      </c>
      <c r="Y234" s="179"/>
      <c r="Z234" s="179" t="s">
        <v>196</v>
      </c>
      <c r="AA234" s="179"/>
      <c r="AB234" s="179"/>
      <c r="AC234" s="179"/>
      <c r="AD234" s="179" t="s">
        <v>184</v>
      </c>
      <c r="AE234" s="179"/>
      <c r="AF234" s="179"/>
      <c r="AG234" s="179"/>
      <c r="AH234" s="179" t="s">
        <v>187</v>
      </c>
      <c r="AI234" s="179"/>
      <c r="AJ234" s="179"/>
      <c r="AK234" s="179"/>
      <c r="AL234" s="179"/>
      <c r="AM234" s="179"/>
      <c r="AN234" s="179"/>
      <c r="AO234" s="179"/>
      <c r="AP234" s="116"/>
    </row>
    <row r="235" spans="1:42" ht="23.1" customHeight="1">
      <c r="A235" s="179"/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 t="s">
        <v>197</v>
      </c>
      <c r="M235" s="179"/>
      <c r="N235" s="179" t="s">
        <v>188</v>
      </c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 t="s">
        <v>182</v>
      </c>
      <c r="AA235" s="179"/>
      <c r="AB235" s="179" t="s">
        <v>183</v>
      </c>
      <c r="AC235" s="179"/>
      <c r="AD235" s="179" t="s">
        <v>185</v>
      </c>
      <c r="AE235" s="179"/>
      <c r="AF235" s="179" t="s">
        <v>186</v>
      </c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16"/>
    </row>
    <row r="236" spans="1:42" ht="23.1" customHeight="1">
      <c r="A236" s="180" t="s">
        <v>280</v>
      </c>
      <c r="B236" s="180"/>
      <c r="C236" s="181" t="s">
        <v>275</v>
      </c>
      <c r="D236" s="179"/>
      <c r="E236" s="182"/>
      <c r="F236" s="113" t="s">
        <v>200</v>
      </c>
      <c r="G236" s="183" t="s">
        <v>276</v>
      </c>
      <c r="H236" s="179"/>
      <c r="I236" s="179"/>
      <c r="J236" s="184">
        <f>1612+2900</f>
        <v>4512</v>
      </c>
      <c r="K236" s="185"/>
      <c r="L236" s="184">
        <f>L237</f>
        <v>0</v>
      </c>
      <c r="M236" s="185"/>
      <c r="N236" s="186">
        <f>L236/24/60/60</f>
        <v>0</v>
      </c>
      <c r="O236" s="187"/>
      <c r="P236" s="184">
        <v>250</v>
      </c>
      <c r="Q236" s="185"/>
      <c r="R236" s="188">
        <f>IF(P236&lt;=600,100,IF(P236&gt;=1000,120,110))</f>
        <v>100</v>
      </c>
      <c r="S236" s="189"/>
      <c r="T236" s="190">
        <f>10.666*R236^(-1.85)*(P236/1000)^(-4.87)*N236^1.85</f>
        <v>0</v>
      </c>
      <c r="U236" s="191"/>
      <c r="V236" s="194">
        <f>0.35464*R236*(P236/1000)^(0.63)*T236^(0.54)</f>
        <v>0</v>
      </c>
      <c r="W236" s="195"/>
      <c r="X236" s="194">
        <f>ROUND(T236*J236,2)</f>
        <v>0</v>
      </c>
      <c r="Y236" s="195"/>
      <c r="Z236" s="197">
        <f>AB23</f>
        <v>60.54999999999999</v>
      </c>
      <c r="AA236" s="197"/>
      <c r="AB236" s="197">
        <f>Z236-X236+AJ236</f>
        <v>60.54999999999999</v>
      </c>
      <c r="AC236" s="197"/>
      <c r="AD236" s="197"/>
      <c r="AE236" s="197"/>
      <c r="AF236" s="197"/>
      <c r="AG236" s="197"/>
      <c r="AH236" s="176" t="s">
        <v>212</v>
      </c>
      <c r="AI236" s="177"/>
      <c r="AJ236" s="183"/>
      <c r="AK236" s="179"/>
      <c r="AL236" s="176" t="s">
        <v>213</v>
      </c>
      <c r="AM236" s="177"/>
      <c r="AN236" s="178">
        <f>AB236-AD236</f>
        <v>60.54999999999999</v>
      </c>
      <c r="AO236" s="179"/>
    </row>
    <row r="237" spans="1:42" ht="23.1" customHeight="1">
      <c r="A237" s="180" t="s">
        <v>302</v>
      </c>
      <c r="B237" s="180"/>
      <c r="C237" s="181" t="s">
        <v>276</v>
      </c>
      <c r="D237" s="179"/>
      <c r="E237" s="182"/>
      <c r="F237" s="113" t="s">
        <v>200</v>
      </c>
      <c r="G237" s="183" t="s">
        <v>304</v>
      </c>
      <c r="H237" s="179"/>
      <c r="I237" s="179"/>
      <c r="J237" s="184">
        <v>4400</v>
      </c>
      <c r="K237" s="185"/>
      <c r="L237" s="184">
        <f>L238+S231</f>
        <v>0</v>
      </c>
      <c r="M237" s="185"/>
      <c r="N237" s="186">
        <f>L237/24/60/60</f>
        <v>0</v>
      </c>
      <c r="O237" s="187"/>
      <c r="P237" s="184">
        <v>200</v>
      </c>
      <c r="Q237" s="185"/>
      <c r="R237" s="188">
        <f>IF(P237&lt;=600,100,IF(P237&gt;=1000,120,110))</f>
        <v>100</v>
      </c>
      <c r="S237" s="189"/>
      <c r="T237" s="190">
        <f>10.666*R237^(-1.85)*(P237/1000)^(-4.87)*N237^1.85</f>
        <v>0</v>
      </c>
      <c r="U237" s="191"/>
      <c r="V237" s="194">
        <f>0.35464*R237*(P237/1000)^(0.63)*T237^(0.54)</f>
        <v>0</v>
      </c>
      <c r="W237" s="195"/>
      <c r="X237" s="194">
        <f>ROUND(T237*J237,2)</f>
        <v>0</v>
      </c>
      <c r="Y237" s="195"/>
      <c r="Z237" s="197">
        <f>AB236</f>
        <v>60.54999999999999</v>
      </c>
      <c r="AA237" s="197"/>
      <c r="AB237" s="197">
        <f>Z237-X237+AJ237</f>
        <v>155.54999999999998</v>
      </c>
      <c r="AC237" s="197"/>
      <c r="AD237" s="197"/>
      <c r="AE237" s="197"/>
      <c r="AF237" s="197"/>
      <c r="AG237" s="197"/>
      <c r="AH237" s="176" t="s">
        <v>212</v>
      </c>
      <c r="AI237" s="177"/>
      <c r="AJ237" s="192">
        <v>95</v>
      </c>
      <c r="AK237" s="193"/>
      <c r="AL237" s="176" t="s">
        <v>213</v>
      </c>
      <c r="AM237" s="177"/>
      <c r="AN237" s="178">
        <f>AB237-AD237</f>
        <v>155.54999999999998</v>
      </c>
      <c r="AO237" s="179"/>
    </row>
    <row r="238" spans="1:42" ht="23.1" customHeight="1">
      <c r="A238" s="180" t="s">
        <v>303</v>
      </c>
      <c r="B238" s="180"/>
      <c r="C238" s="181" t="s">
        <v>305</v>
      </c>
      <c r="D238" s="179"/>
      <c r="E238" s="182"/>
      <c r="F238" s="113" t="s">
        <v>200</v>
      </c>
      <c r="G238" s="183" t="s">
        <v>277</v>
      </c>
      <c r="H238" s="179"/>
      <c r="I238" s="179"/>
      <c r="J238" s="184">
        <v>2768</v>
      </c>
      <c r="K238" s="185"/>
      <c r="L238" s="184">
        <f>배분계획!C22</f>
        <v>0</v>
      </c>
      <c r="M238" s="185"/>
      <c r="N238" s="186">
        <f>L238/24/60/60</f>
        <v>0</v>
      </c>
      <c r="O238" s="187"/>
      <c r="P238" s="184">
        <v>200</v>
      </c>
      <c r="Q238" s="185"/>
      <c r="R238" s="188">
        <f>IF(P238&lt;=600,100,IF(P238&gt;=1000,120,110))</f>
        <v>100</v>
      </c>
      <c r="S238" s="189"/>
      <c r="T238" s="190">
        <f>10.666*R238^(-1.85)*(P238/1000)^(-4.87)*N238^1.85</f>
        <v>0</v>
      </c>
      <c r="U238" s="191"/>
      <c r="V238" s="194">
        <f>0.35464*R238*(P238/1000)^(0.63)*T238^(0.54)</f>
        <v>0</v>
      </c>
      <c r="W238" s="195"/>
      <c r="X238" s="194">
        <f>ROUND(T238*J238,2)</f>
        <v>0</v>
      </c>
      <c r="Y238" s="195"/>
      <c r="Z238" s="197">
        <f>AB237</f>
        <v>155.54999999999998</v>
      </c>
      <c r="AA238" s="197"/>
      <c r="AB238" s="197">
        <f>Z238-X238+AJ238</f>
        <v>155.54999999999998</v>
      </c>
      <c r="AC238" s="197"/>
      <c r="AD238" s="197">
        <v>73.7</v>
      </c>
      <c r="AE238" s="197"/>
      <c r="AF238" s="197">
        <v>69.7</v>
      </c>
      <c r="AG238" s="197"/>
      <c r="AH238" s="176" t="s">
        <v>212</v>
      </c>
      <c r="AI238" s="177"/>
      <c r="AJ238" s="192"/>
      <c r="AK238" s="193"/>
      <c r="AL238" s="176" t="s">
        <v>213</v>
      </c>
      <c r="AM238" s="177"/>
      <c r="AN238" s="178">
        <f>AB238-AD238</f>
        <v>81.84999999999998</v>
      </c>
      <c r="AO238" s="179"/>
    </row>
  </sheetData>
  <mergeCells count="1127">
    <mergeCell ref="AN238:AO238"/>
    <mergeCell ref="AB238:AC238"/>
    <mergeCell ref="AD238:AE238"/>
    <mergeCell ref="AF238:AG238"/>
    <mergeCell ref="AH238:AI238"/>
    <mergeCell ref="AJ238:AK238"/>
    <mergeCell ref="AL238:AM238"/>
    <mergeCell ref="P238:Q238"/>
    <mergeCell ref="R238:S238"/>
    <mergeCell ref="T238:U238"/>
    <mergeCell ref="V238:W238"/>
    <mergeCell ref="X238:Y238"/>
    <mergeCell ref="Z238:AA238"/>
    <mergeCell ref="A238:B238"/>
    <mergeCell ref="C238:E238"/>
    <mergeCell ref="G238:I238"/>
    <mergeCell ref="J238:K238"/>
    <mergeCell ref="L238:M238"/>
    <mergeCell ref="N238:O238"/>
    <mergeCell ref="H39:I39"/>
    <mergeCell ref="AH58:AK58"/>
    <mergeCell ref="AN49:AO49"/>
    <mergeCell ref="U226:W226"/>
    <mergeCell ref="Y226:AB226"/>
    <mergeCell ref="W173:X173"/>
    <mergeCell ref="W174:X174"/>
    <mergeCell ref="AJ183:AK183"/>
    <mergeCell ref="AH129:AI129"/>
    <mergeCell ref="AA119:AB119"/>
    <mergeCell ref="AN129:AO129"/>
    <mergeCell ref="AD183:AE183"/>
    <mergeCell ref="S231:U231"/>
    <mergeCell ref="R173:S173"/>
    <mergeCell ref="R174:S174"/>
    <mergeCell ref="G183:I183"/>
    <mergeCell ref="T49:U49"/>
    <mergeCell ref="AD49:AE49"/>
    <mergeCell ref="Y227:Z227"/>
    <mergeCell ref="AA227:AB227"/>
    <mergeCell ref="R230:U230"/>
    <mergeCell ref="V228:W228"/>
    <mergeCell ref="J49:K49"/>
    <mergeCell ref="L49:M49"/>
    <mergeCell ref="N49:O49"/>
    <mergeCell ref="P49:Q49"/>
    <mergeCell ref="A49:I49"/>
    <mergeCell ref="AF49:AG49"/>
    <mergeCell ref="R49:S49"/>
    <mergeCell ref="AB49:AC49"/>
    <mergeCell ref="J184:K184"/>
    <mergeCell ref="L184:M184"/>
    <mergeCell ref="Q39:R39"/>
    <mergeCell ref="AK61:AL61"/>
    <mergeCell ref="P118:S118"/>
    <mergeCell ref="P119:Q119"/>
    <mergeCell ref="AB100:AC100"/>
    <mergeCell ref="AD100:AE100"/>
    <mergeCell ref="AF100:AG100"/>
    <mergeCell ref="AL183:AM183"/>
    <mergeCell ref="AH49:AI49"/>
    <mergeCell ref="AJ49:AK49"/>
    <mergeCell ref="AL49:AM49"/>
    <mergeCell ref="AB47:AC47"/>
    <mergeCell ref="AD47:AE47"/>
    <mergeCell ref="AF47:AG47"/>
    <mergeCell ref="AH47:AI47"/>
    <mergeCell ref="AJ47:AK47"/>
    <mergeCell ref="AL47:AM47"/>
    <mergeCell ref="T47:U47"/>
    <mergeCell ref="V47:W47"/>
    <mergeCell ref="X47:Y47"/>
    <mergeCell ref="Z47:AA47"/>
    <mergeCell ref="AH48:AI48"/>
    <mergeCell ref="AJ48:AK48"/>
    <mergeCell ref="AL48:AM48"/>
    <mergeCell ref="P76:Q76"/>
    <mergeCell ref="R76:S76"/>
    <mergeCell ref="T76:U76"/>
    <mergeCell ref="Z118:AB118"/>
    <mergeCell ref="AL155:AM155"/>
    <mergeCell ref="AL182:AM182"/>
    <mergeCell ref="V133:W133"/>
    <mergeCell ref="X133:Y133"/>
    <mergeCell ref="T37:W37"/>
    <mergeCell ref="T38:U38"/>
    <mergeCell ref="V38:W38"/>
    <mergeCell ref="AD99:AG99"/>
    <mergeCell ref="AH99:AO100"/>
    <mergeCell ref="Z100:AA100"/>
    <mergeCell ref="P37:R37"/>
    <mergeCell ref="Q38:R38"/>
    <mergeCell ref="T48:U48"/>
    <mergeCell ref="P47:Q47"/>
    <mergeCell ref="R47:S47"/>
    <mergeCell ref="Z99:AC99"/>
    <mergeCell ref="V76:W76"/>
    <mergeCell ref="X76:Y76"/>
    <mergeCell ref="Z76:AA76"/>
    <mergeCell ref="AB76:AC76"/>
    <mergeCell ref="J99:K100"/>
    <mergeCell ref="L99:O99"/>
    <mergeCell ref="P99:Q100"/>
    <mergeCell ref="R99:S100"/>
    <mergeCell ref="L100:M100"/>
    <mergeCell ref="N100:O100"/>
    <mergeCell ref="AH76:AI76"/>
    <mergeCell ref="AJ76:AK76"/>
    <mergeCell ref="AL76:AM76"/>
    <mergeCell ref="AN76:AO76"/>
    <mergeCell ref="J77:K77"/>
    <mergeCell ref="L77:M77"/>
    <mergeCell ref="N77:O77"/>
    <mergeCell ref="AD76:AE76"/>
    <mergeCell ref="AF76:AG76"/>
    <mergeCell ref="AN47:AO47"/>
    <mergeCell ref="A77:B77"/>
    <mergeCell ref="C77:E77"/>
    <mergeCell ref="G77:I77"/>
    <mergeCell ref="I116:L117"/>
    <mergeCell ref="Q172:S172"/>
    <mergeCell ref="AB183:AC183"/>
    <mergeCell ref="T99:U100"/>
    <mergeCell ref="V99:W100"/>
    <mergeCell ref="X99:Y100"/>
    <mergeCell ref="AL129:AM129"/>
    <mergeCell ref="A183:B183"/>
    <mergeCell ref="C183:E183"/>
    <mergeCell ref="A186:B186"/>
    <mergeCell ref="C186:E186"/>
    <mergeCell ref="G186:I186"/>
    <mergeCell ref="J186:K186"/>
    <mergeCell ref="L186:M186"/>
    <mergeCell ref="N186:O186"/>
    <mergeCell ref="B92:C92"/>
    <mergeCell ref="B91:E91"/>
    <mergeCell ref="Y177:AA177"/>
    <mergeCell ref="AE172:AH172"/>
    <mergeCell ref="AE173:AF173"/>
    <mergeCell ref="AG173:AH173"/>
    <mergeCell ref="A129:B129"/>
    <mergeCell ref="C129:E129"/>
    <mergeCell ref="G129:I129"/>
    <mergeCell ref="J129:K129"/>
    <mergeCell ref="X186:Y186"/>
    <mergeCell ref="Z131:AA131"/>
    <mergeCell ref="N170:Q170"/>
    <mergeCell ref="N176:Q176"/>
    <mergeCell ref="AN48:AO48"/>
    <mergeCell ref="L64:N64"/>
    <mergeCell ref="M66:N66"/>
    <mergeCell ref="R65:S65"/>
    <mergeCell ref="X49:Y49"/>
    <mergeCell ref="Z49:AA49"/>
    <mergeCell ref="V49:W49"/>
    <mergeCell ref="V48:W48"/>
    <mergeCell ref="X48:Y48"/>
    <mergeCell ref="Z48:AA48"/>
    <mergeCell ref="AB48:AC48"/>
    <mergeCell ref="AD48:AE48"/>
    <mergeCell ref="AF48:AG48"/>
    <mergeCell ref="A48:B48"/>
    <mergeCell ref="C48:E48"/>
    <mergeCell ref="G48:I48"/>
    <mergeCell ref="J48:K48"/>
    <mergeCell ref="L48:M48"/>
    <mergeCell ref="N48:O48"/>
    <mergeCell ref="P48:Q48"/>
    <mergeCell ref="R48:S48"/>
    <mergeCell ref="AA65:AB65"/>
    <mergeCell ref="V66:W66"/>
    <mergeCell ref="AH64:AK64"/>
    <mergeCell ref="AH65:AI65"/>
    <mergeCell ref="AJ65:AK65"/>
    <mergeCell ref="A47:B47"/>
    <mergeCell ref="C47:E47"/>
    <mergeCell ref="G47:I47"/>
    <mergeCell ref="J47:K47"/>
    <mergeCell ref="L47:M47"/>
    <mergeCell ref="N47:O47"/>
    <mergeCell ref="T45:U46"/>
    <mergeCell ref="V45:W46"/>
    <mergeCell ref="X45:Y46"/>
    <mergeCell ref="Z45:AC45"/>
    <mergeCell ref="AD45:AG45"/>
    <mergeCell ref="AH45:AO46"/>
    <mergeCell ref="Z46:AA46"/>
    <mergeCell ref="AB46:AC46"/>
    <mergeCell ref="AD46:AE46"/>
    <mergeCell ref="AF46:AG46"/>
    <mergeCell ref="A45:B46"/>
    <mergeCell ref="C45:I46"/>
    <mergeCell ref="J45:K46"/>
    <mergeCell ref="L45:O45"/>
    <mergeCell ref="P45:Q46"/>
    <mergeCell ref="R45:S46"/>
    <mergeCell ref="L46:M46"/>
    <mergeCell ref="N46:O46"/>
    <mergeCell ref="B38:C38"/>
    <mergeCell ref="D38:E38"/>
    <mergeCell ref="H38:I38"/>
    <mergeCell ref="M38:N38"/>
    <mergeCell ref="B37:E37"/>
    <mergeCell ref="G37:I37"/>
    <mergeCell ref="K37:N37"/>
    <mergeCell ref="K38:L38"/>
    <mergeCell ref="AL27:AM27"/>
    <mergeCell ref="AJ21:AK21"/>
    <mergeCell ref="AH20:AI20"/>
    <mergeCell ref="AH22:AI22"/>
    <mergeCell ref="AH23:AI23"/>
    <mergeCell ref="AH24:AI24"/>
    <mergeCell ref="AJ20:AK20"/>
    <mergeCell ref="AJ22:AK22"/>
    <mergeCell ref="AJ24:AK24"/>
    <mergeCell ref="AH21:AI21"/>
    <mergeCell ref="T21:U21"/>
    <mergeCell ref="V21:W21"/>
    <mergeCell ref="AB20:AC20"/>
    <mergeCell ref="Z20:AA20"/>
    <mergeCell ref="N27:O27"/>
    <mergeCell ref="P27:Q27"/>
    <mergeCell ref="R27:S27"/>
    <mergeCell ref="T27:U27"/>
    <mergeCell ref="V27:W27"/>
    <mergeCell ref="X27:Y27"/>
    <mergeCell ref="Z27:AA27"/>
    <mergeCell ref="A27:B27"/>
    <mergeCell ref="C27:E27"/>
    <mergeCell ref="G27:I27"/>
    <mergeCell ref="AN24:AO24"/>
    <mergeCell ref="AL21:AM21"/>
    <mergeCell ref="AN21:AO21"/>
    <mergeCell ref="AH27:AI27"/>
    <mergeCell ref="AJ27:AK27"/>
    <mergeCell ref="AL22:AM22"/>
    <mergeCell ref="AL23:AM23"/>
    <mergeCell ref="AL24:AM24"/>
    <mergeCell ref="AN20:AO20"/>
    <mergeCell ref="AH18:AO19"/>
    <mergeCell ref="AN22:AO22"/>
    <mergeCell ref="AN23:AO23"/>
    <mergeCell ref="AL20:AM20"/>
    <mergeCell ref="AJ23:AK23"/>
    <mergeCell ref="AN27:AO27"/>
    <mergeCell ref="B10:E10"/>
    <mergeCell ref="I14:L14"/>
    <mergeCell ref="N14:Q14"/>
    <mergeCell ref="A21:B21"/>
    <mergeCell ref="C21:E21"/>
    <mergeCell ref="G21:I21"/>
    <mergeCell ref="J21:K21"/>
    <mergeCell ref="X21:Y21"/>
    <mergeCell ref="Z21:AA21"/>
    <mergeCell ref="AB21:AC21"/>
    <mergeCell ref="AD21:AE21"/>
    <mergeCell ref="AF21:AG21"/>
    <mergeCell ref="S14:V14"/>
    <mergeCell ref="X14:AA14"/>
    <mergeCell ref="AC14:AF14"/>
    <mergeCell ref="T15:V15"/>
    <mergeCell ref="Y15:AA15"/>
    <mergeCell ref="B11:C11"/>
    <mergeCell ref="D11:E11"/>
    <mergeCell ref="AD15:AF15"/>
    <mergeCell ref="H11:I11"/>
    <mergeCell ref="H12:I12"/>
    <mergeCell ref="M11:N11"/>
    <mergeCell ref="M12:N12"/>
    <mergeCell ref="J15:L15"/>
    <mergeCell ref="O15:Q15"/>
    <mergeCell ref="G10:I10"/>
    <mergeCell ref="L10:N10"/>
    <mergeCell ref="Q10:S10"/>
    <mergeCell ref="V10:X10"/>
    <mergeCell ref="AA10:AC10"/>
    <mergeCell ref="AF10:AH10"/>
    <mergeCell ref="AF24:AG24"/>
    <mergeCell ref="AF23:AG23"/>
    <mergeCell ref="AD22:AE22"/>
    <mergeCell ref="Z23:AA23"/>
    <mergeCell ref="R11:S11"/>
    <mergeCell ref="R12:S12"/>
    <mergeCell ref="W11:X11"/>
    <mergeCell ref="W12:X12"/>
    <mergeCell ref="AB11:AC11"/>
    <mergeCell ref="AB12:AC12"/>
    <mergeCell ref="A23:B23"/>
    <mergeCell ref="C23:E23"/>
    <mergeCell ref="G23:I23"/>
    <mergeCell ref="A24:B24"/>
    <mergeCell ref="C24:E24"/>
    <mergeCell ref="G24:I24"/>
    <mergeCell ref="T22:U22"/>
    <mergeCell ref="J27:K27"/>
    <mergeCell ref="L27:M27"/>
    <mergeCell ref="AG11:AH11"/>
    <mergeCell ref="AG12:AH12"/>
    <mergeCell ref="AB27:AC27"/>
    <mergeCell ref="AD27:AE27"/>
    <mergeCell ref="AF27:AG27"/>
    <mergeCell ref="V24:W24"/>
    <mergeCell ref="X24:Y24"/>
    <mergeCell ref="P24:Q24"/>
    <mergeCell ref="AF75:AG75"/>
    <mergeCell ref="Q64:S64"/>
    <mergeCell ref="AG61:AI61"/>
    <mergeCell ref="AD24:AE24"/>
    <mergeCell ref="Z24:AA24"/>
    <mergeCell ref="AB24:AC24"/>
    <mergeCell ref="AH75:AI75"/>
    <mergeCell ref="Z22:AA22"/>
    <mergeCell ref="AB22:AC22"/>
    <mergeCell ref="N24:O24"/>
    <mergeCell ref="R24:S24"/>
    <mergeCell ref="T24:U24"/>
    <mergeCell ref="N23:O23"/>
    <mergeCell ref="P23:Q23"/>
    <mergeCell ref="AB23:AC23"/>
    <mergeCell ref="AF22:AG22"/>
    <mergeCell ref="V22:W22"/>
    <mergeCell ref="AD23:AE23"/>
    <mergeCell ref="J24:K24"/>
    <mergeCell ref="L24:M24"/>
    <mergeCell ref="X22:Y22"/>
    <mergeCell ref="P22:Q22"/>
    <mergeCell ref="AD20:AE20"/>
    <mergeCell ref="T18:U19"/>
    <mergeCell ref="V18:W19"/>
    <mergeCell ref="X18:Y19"/>
    <mergeCell ref="Z18:AC18"/>
    <mergeCell ref="Z19:AA19"/>
    <mergeCell ref="L21:M21"/>
    <mergeCell ref="N21:O21"/>
    <mergeCell ref="P21:Q21"/>
    <mergeCell ref="R21:S21"/>
    <mergeCell ref="AB19:AC19"/>
    <mergeCell ref="L19:M19"/>
    <mergeCell ref="N19:O19"/>
    <mergeCell ref="P18:Q19"/>
    <mergeCell ref="R18:S19"/>
    <mergeCell ref="X20:Y20"/>
    <mergeCell ref="R22:S22"/>
    <mergeCell ref="L22:M22"/>
    <mergeCell ref="N22:O22"/>
    <mergeCell ref="L20:M20"/>
    <mergeCell ref="N20:O20"/>
    <mergeCell ref="P20:Q20"/>
    <mergeCell ref="R20:S20"/>
    <mergeCell ref="V20:W20"/>
    <mergeCell ref="T20:U20"/>
    <mergeCell ref="A18:B19"/>
    <mergeCell ref="C18:I19"/>
    <mergeCell ref="A20:B20"/>
    <mergeCell ref="C20:E20"/>
    <mergeCell ref="G20:I20"/>
    <mergeCell ref="J18:K19"/>
    <mergeCell ref="L18:O18"/>
    <mergeCell ref="J23:K23"/>
    <mergeCell ref="L23:M23"/>
    <mergeCell ref="I68:L68"/>
    <mergeCell ref="B64:E64"/>
    <mergeCell ref="G64:I64"/>
    <mergeCell ref="B65:C65"/>
    <mergeCell ref="D65:E65"/>
    <mergeCell ref="H65:I65"/>
    <mergeCell ref="V72:W73"/>
    <mergeCell ref="A25:B25"/>
    <mergeCell ref="C25:E25"/>
    <mergeCell ref="A26:B26"/>
    <mergeCell ref="C26:E26"/>
    <mergeCell ref="P63:Q63"/>
    <mergeCell ref="U58:X58"/>
    <mergeCell ref="V59:X59"/>
    <mergeCell ref="T23:U23"/>
    <mergeCell ref="V23:W23"/>
    <mergeCell ref="X23:Y23"/>
    <mergeCell ref="R23:S23"/>
    <mergeCell ref="A22:B22"/>
    <mergeCell ref="C22:E22"/>
    <mergeCell ref="G22:I22"/>
    <mergeCell ref="J22:K22"/>
    <mergeCell ref="J20:K20"/>
    <mergeCell ref="A72:B73"/>
    <mergeCell ref="C72:I73"/>
    <mergeCell ref="J72:K73"/>
    <mergeCell ref="L72:O72"/>
    <mergeCell ref="P72:Q73"/>
    <mergeCell ref="L74:M74"/>
    <mergeCell ref="N74:O74"/>
    <mergeCell ref="AH72:AO73"/>
    <mergeCell ref="L73:M73"/>
    <mergeCell ref="N73:O73"/>
    <mergeCell ref="Z73:AA73"/>
    <mergeCell ref="AB73:AC73"/>
    <mergeCell ref="AD73:AE73"/>
    <mergeCell ref="AF73:AG73"/>
    <mergeCell ref="R72:S73"/>
    <mergeCell ref="AN74:AO74"/>
    <mergeCell ref="AJ74:AK74"/>
    <mergeCell ref="T72:U73"/>
    <mergeCell ref="AB74:AC74"/>
    <mergeCell ref="X74:Y74"/>
    <mergeCell ref="Z74:AA74"/>
    <mergeCell ref="AD74:AE74"/>
    <mergeCell ref="AL74:AM74"/>
    <mergeCell ref="AF74:AG74"/>
    <mergeCell ref="AH74:AI74"/>
    <mergeCell ref="P74:Q74"/>
    <mergeCell ref="R74:S74"/>
    <mergeCell ref="T74:U74"/>
    <mergeCell ref="V74:W74"/>
    <mergeCell ref="A76:B76"/>
    <mergeCell ref="C76:E76"/>
    <mergeCell ref="G76:I76"/>
    <mergeCell ref="J76:K76"/>
    <mergeCell ref="L76:M76"/>
    <mergeCell ref="N76:O76"/>
    <mergeCell ref="B118:E118"/>
    <mergeCell ref="G118:I118"/>
    <mergeCell ref="B119:C119"/>
    <mergeCell ref="D119:E119"/>
    <mergeCell ref="AH126:AO127"/>
    <mergeCell ref="N128:O128"/>
    <mergeCell ref="P128:Q128"/>
    <mergeCell ref="V129:W129"/>
    <mergeCell ref="X129:Y129"/>
    <mergeCell ref="AF119:AG119"/>
    <mergeCell ref="AH78:AI78"/>
    <mergeCell ref="AJ78:AK78"/>
    <mergeCell ref="AL78:AM78"/>
    <mergeCell ref="AH77:AI77"/>
    <mergeCell ref="AN77:AO77"/>
    <mergeCell ref="AB77:AC77"/>
    <mergeCell ref="AD77:AE77"/>
    <mergeCell ref="AF77:AG77"/>
    <mergeCell ref="AF127:AG127"/>
    <mergeCell ref="V126:W127"/>
    <mergeCell ref="X126:Y127"/>
    <mergeCell ref="AH128:AI128"/>
    <mergeCell ref="AJ128:AK128"/>
    <mergeCell ref="AL128:AM128"/>
    <mergeCell ref="AN128:AO128"/>
    <mergeCell ref="AN78:AO78"/>
    <mergeCell ref="AA172:AC172"/>
    <mergeCell ref="N129:O129"/>
    <mergeCell ref="Z186:AA186"/>
    <mergeCell ref="AB186:AC186"/>
    <mergeCell ref="AD186:AE186"/>
    <mergeCell ref="AF186:AG186"/>
    <mergeCell ref="AH186:AI186"/>
    <mergeCell ref="AJ77:AK77"/>
    <mergeCell ref="AL77:AM77"/>
    <mergeCell ref="P77:Q77"/>
    <mergeCell ref="R77:S77"/>
    <mergeCell ref="T77:U77"/>
    <mergeCell ref="V77:W77"/>
    <mergeCell ref="X77:Y77"/>
    <mergeCell ref="Z77:AA77"/>
    <mergeCell ref="R101:S101"/>
    <mergeCell ref="T101:U101"/>
    <mergeCell ref="V101:W101"/>
    <mergeCell ref="X101:Y101"/>
    <mergeCell ref="M119:N119"/>
    <mergeCell ref="P186:Q186"/>
    <mergeCell ref="R186:S186"/>
    <mergeCell ref="T186:U186"/>
    <mergeCell ref="V186:W186"/>
    <mergeCell ref="N101:O101"/>
    <mergeCell ref="AD101:AE101"/>
    <mergeCell ref="AF101:AG101"/>
    <mergeCell ref="AL101:AM101"/>
    <mergeCell ref="T131:U131"/>
    <mergeCell ref="V131:W131"/>
    <mergeCell ref="X131:Y131"/>
    <mergeCell ref="V128:W128"/>
    <mergeCell ref="AJ75:AK75"/>
    <mergeCell ref="AL75:AM75"/>
    <mergeCell ref="AJ186:AK186"/>
    <mergeCell ref="AJ129:AK129"/>
    <mergeCell ref="Z128:AA128"/>
    <mergeCell ref="AB128:AC128"/>
    <mergeCell ref="AD128:AE128"/>
    <mergeCell ref="AF128:AG128"/>
    <mergeCell ref="R128:S128"/>
    <mergeCell ref="T128:U128"/>
    <mergeCell ref="N171:O171"/>
    <mergeCell ref="P171:Q171"/>
    <mergeCell ref="AF183:AG183"/>
    <mergeCell ref="AH183:AI183"/>
    <mergeCell ref="AN101:AO101"/>
    <mergeCell ref="N184:O184"/>
    <mergeCell ref="P184:Q184"/>
    <mergeCell ref="R184:S184"/>
    <mergeCell ref="T184:U184"/>
    <mergeCell ref="V184:W184"/>
    <mergeCell ref="AH184:AI184"/>
    <mergeCell ref="AJ184:AK184"/>
    <mergeCell ref="AF132:AG132"/>
    <mergeCell ref="AH132:AI132"/>
    <mergeCell ref="AJ132:AK132"/>
    <mergeCell ref="AL132:AM132"/>
    <mergeCell ref="AH153:AO154"/>
    <mergeCell ref="AH180:AO181"/>
    <mergeCell ref="AN182:AO182"/>
    <mergeCell ref="AH133:AI133"/>
    <mergeCell ref="AN132:AO132"/>
    <mergeCell ref="AH130:AI130"/>
    <mergeCell ref="AN130:AO130"/>
    <mergeCell ref="T132:U132"/>
    <mergeCell ref="V132:W132"/>
    <mergeCell ref="X132:Y132"/>
    <mergeCell ref="Z132:AA132"/>
    <mergeCell ref="AB132:AC132"/>
    <mergeCell ref="AD132:AE132"/>
    <mergeCell ref="A132:B132"/>
    <mergeCell ref="C132:E132"/>
    <mergeCell ref="G132:I132"/>
    <mergeCell ref="J132:K132"/>
    <mergeCell ref="L132:M132"/>
    <mergeCell ref="N132:O132"/>
    <mergeCell ref="P132:Q132"/>
    <mergeCell ref="R132:S132"/>
    <mergeCell ref="AB129:AC129"/>
    <mergeCell ref="AD129:AE129"/>
    <mergeCell ref="AF129:AG129"/>
    <mergeCell ref="L129:M129"/>
    <mergeCell ref="N131:O131"/>
    <mergeCell ref="A131:B131"/>
    <mergeCell ref="C131:E131"/>
    <mergeCell ref="G131:I131"/>
    <mergeCell ref="J131:K131"/>
    <mergeCell ref="L131:M131"/>
    <mergeCell ref="AF131:AG131"/>
    <mergeCell ref="AF130:AG130"/>
    <mergeCell ref="AH131:AI131"/>
    <mergeCell ref="AJ131:AK131"/>
    <mergeCell ref="AL131:AM131"/>
    <mergeCell ref="P131:Q131"/>
    <mergeCell ref="R131:S131"/>
    <mergeCell ref="U9:V9"/>
    <mergeCell ref="X9:Y9"/>
    <mergeCell ref="Z9:AA9"/>
    <mergeCell ref="AC9:AD9"/>
    <mergeCell ref="AE9:AF9"/>
    <mergeCell ref="S8:V8"/>
    <mergeCell ref="A126:B127"/>
    <mergeCell ref="C126:I127"/>
    <mergeCell ref="J126:K127"/>
    <mergeCell ref="L126:O126"/>
    <mergeCell ref="P126:Q127"/>
    <mergeCell ref="X8:AA8"/>
    <mergeCell ref="I62:L62"/>
    <mergeCell ref="I63:J63"/>
    <mergeCell ref="K63:L63"/>
    <mergeCell ref="K91:N91"/>
    <mergeCell ref="Z126:AC126"/>
    <mergeCell ref="AD126:AG126"/>
    <mergeCell ref="L127:M127"/>
    <mergeCell ref="N127:O127"/>
    <mergeCell ref="Z127:AA127"/>
    <mergeCell ref="AB127:AC127"/>
    <mergeCell ref="AD127:AE127"/>
    <mergeCell ref="R126:S127"/>
    <mergeCell ref="T126:U127"/>
    <mergeCell ref="A74:B74"/>
    <mergeCell ref="C74:E74"/>
    <mergeCell ref="G74:I74"/>
    <mergeCell ref="J74:K74"/>
    <mergeCell ref="G101:I101"/>
    <mergeCell ref="J101:K101"/>
    <mergeCell ref="P101:Q101"/>
    <mergeCell ref="X128:Y128"/>
    <mergeCell ref="P129:Q129"/>
    <mergeCell ref="R129:S129"/>
    <mergeCell ref="T129:U129"/>
    <mergeCell ref="V130:W130"/>
    <mergeCell ref="Z130:AA130"/>
    <mergeCell ref="AB130:AC130"/>
    <mergeCell ref="AD130:AE130"/>
    <mergeCell ref="Z129:AA129"/>
    <mergeCell ref="N130:O130"/>
    <mergeCell ref="P130:Q130"/>
    <mergeCell ref="R130:S130"/>
    <mergeCell ref="X130:Y130"/>
    <mergeCell ref="C128:E128"/>
    <mergeCell ref="G128:I128"/>
    <mergeCell ref="J128:K128"/>
    <mergeCell ref="AJ237:AK237"/>
    <mergeCell ref="P237:Q237"/>
    <mergeCell ref="H146:I146"/>
    <mergeCell ref="M146:N146"/>
    <mergeCell ref="V146:W146"/>
    <mergeCell ref="H147:I147"/>
    <mergeCell ref="T237:U237"/>
    <mergeCell ref="V237:W237"/>
    <mergeCell ref="V183:W183"/>
    <mergeCell ref="P155:Q155"/>
    <mergeCell ref="AH155:AI155"/>
    <mergeCell ref="AJ155:AK155"/>
    <mergeCell ref="X156:Y156"/>
    <mergeCell ref="Z156:AA156"/>
    <mergeCell ref="AB156:AC156"/>
    <mergeCell ref="AD156:AE156"/>
    <mergeCell ref="AL237:AM237"/>
    <mergeCell ref="AN237:AO237"/>
    <mergeCell ref="AB154:AC154"/>
    <mergeCell ref="AD154:AE154"/>
    <mergeCell ref="AF154:AG154"/>
    <mergeCell ref="R153:S154"/>
    <mergeCell ref="T153:U154"/>
    <mergeCell ref="V153:W154"/>
    <mergeCell ref="Z153:AC153"/>
    <mergeCell ref="AD153:AG153"/>
    <mergeCell ref="AN155:AO155"/>
    <mergeCell ref="AN209:AO209"/>
    <mergeCell ref="AL236:AM236"/>
    <mergeCell ref="AN236:AO236"/>
    <mergeCell ref="AH156:AI156"/>
    <mergeCell ref="AJ156:AK156"/>
    <mergeCell ref="T183:U183"/>
    <mergeCell ref="AN184:AO184"/>
    <mergeCell ref="S170:V171"/>
    <mergeCell ref="V172:X172"/>
    <mergeCell ref="AB174:AC174"/>
    <mergeCell ref="X176:AA176"/>
    <mergeCell ref="AB173:AC173"/>
    <mergeCell ref="AL184:AM184"/>
    <mergeCell ref="X237:Y237"/>
    <mergeCell ref="Z237:AA237"/>
    <mergeCell ref="AB237:AC237"/>
    <mergeCell ref="AD237:AE237"/>
    <mergeCell ref="AF237:AG237"/>
    <mergeCell ref="AH237:AI237"/>
    <mergeCell ref="Z154:AA154"/>
    <mergeCell ref="R237:S237"/>
    <mergeCell ref="A153:B154"/>
    <mergeCell ref="C153:I154"/>
    <mergeCell ref="J153:K154"/>
    <mergeCell ref="L153:O153"/>
    <mergeCell ref="P153:Q154"/>
    <mergeCell ref="X153:Y154"/>
    <mergeCell ref="L154:M154"/>
    <mergeCell ref="N154:O154"/>
    <mergeCell ref="L183:M183"/>
    <mergeCell ref="J183:K183"/>
    <mergeCell ref="P183:Q183"/>
    <mergeCell ref="R183:S183"/>
    <mergeCell ref="X184:Y184"/>
    <mergeCell ref="A237:B237"/>
    <mergeCell ref="C237:E237"/>
    <mergeCell ref="G237:I237"/>
    <mergeCell ref="J237:K237"/>
    <mergeCell ref="L237:M237"/>
    <mergeCell ref="N237:O237"/>
    <mergeCell ref="A209:B209"/>
    <mergeCell ref="C209:E209"/>
    <mergeCell ref="G209:I209"/>
    <mergeCell ref="A156:B156"/>
    <mergeCell ref="C156:E156"/>
    <mergeCell ref="G156:I156"/>
    <mergeCell ref="J156:K156"/>
    <mergeCell ref="L156:M156"/>
    <mergeCell ref="N156:O156"/>
    <mergeCell ref="P156:Q156"/>
    <mergeCell ref="R156:S156"/>
    <mergeCell ref="T156:U156"/>
    <mergeCell ref="V156:W156"/>
    <mergeCell ref="AF156:AG156"/>
    <mergeCell ref="AB236:AC236"/>
    <mergeCell ref="T207:U208"/>
    <mergeCell ref="V207:W208"/>
    <mergeCell ref="X207:Y208"/>
    <mergeCell ref="Z207:AC207"/>
    <mergeCell ref="X183:Y183"/>
    <mergeCell ref="Z183:AA183"/>
    <mergeCell ref="AN183:AO183"/>
    <mergeCell ref="AH236:AI236"/>
    <mergeCell ref="AJ236:AK236"/>
    <mergeCell ref="AD209:AE209"/>
    <mergeCell ref="AF209:AG209"/>
    <mergeCell ref="AH209:AI209"/>
    <mergeCell ref="AJ209:AK209"/>
    <mergeCell ref="AL209:AM209"/>
    <mergeCell ref="P209:Q209"/>
    <mergeCell ref="R209:S209"/>
    <mergeCell ref="T209:U209"/>
    <mergeCell ref="V209:W209"/>
    <mergeCell ref="X209:Y209"/>
    <mergeCell ref="Z209:AA209"/>
    <mergeCell ref="AF236:AG236"/>
    <mergeCell ref="P236:Q236"/>
    <mergeCell ref="R236:S236"/>
    <mergeCell ref="T236:U236"/>
    <mergeCell ref="V236:W236"/>
    <mergeCell ref="X236:Y236"/>
    <mergeCell ref="Z236:AA236"/>
    <mergeCell ref="AB181:AC181"/>
    <mergeCell ref="AD181:AE181"/>
    <mergeCell ref="Z181:AA181"/>
    <mergeCell ref="B145:E145"/>
    <mergeCell ref="G145:I145"/>
    <mergeCell ref="K145:N145"/>
    <mergeCell ref="P145:R145"/>
    <mergeCell ref="T145:W145"/>
    <mergeCell ref="B146:C146"/>
    <mergeCell ref="D146:E146"/>
    <mergeCell ref="K146:L146"/>
    <mergeCell ref="Q146:R146"/>
    <mergeCell ref="T146:U146"/>
    <mergeCell ref="AF181:AG181"/>
    <mergeCell ref="R180:S181"/>
    <mergeCell ref="T180:U181"/>
    <mergeCell ref="V180:W181"/>
    <mergeCell ref="X180:Y181"/>
    <mergeCell ref="Z180:AC180"/>
    <mergeCell ref="AD180:AG180"/>
    <mergeCell ref="A155:B155"/>
    <mergeCell ref="C155:E155"/>
    <mergeCell ref="G155:I155"/>
    <mergeCell ref="J155:K155"/>
    <mergeCell ref="L155:M155"/>
    <mergeCell ref="N155:O155"/>
    <mergeCell ref="R155:S155"/>
    <mergeCell ref="T155:U155"/>
    <mergeCell ref="V155:W155"/>
    <mergeCell ref="X155:Y155"/>
    <mergeCell ref="Z155:AA155"/>
    <mergeCell ref="AB155:AC155"/>
    <mergeCell ref="AD155:AE155"/>
    <mergeCell ref="AF155:AG155"/>
    <mergeCell ref="O177:Q177"/>
    <mergeCell ref="J209:K209"/>
    <mergeCell ref="L209:M209"/>
    <mergeCell ref="N209:O209"/>
    <mergeCell ref="AD207:AG207"/>
    <mergeCell ref="Z208:AA208"/>
    <mergeCell ref="AB208:AC208"/>
    <mergeCell ref="AD208:AE208"/>
    <mergeCell ref="AF208:AG208"/>
    <mergeCell ref="AH207:AO208"/>
    <mergeCell ref="A207:B208"/>
    <mergeCell ref="C207:I208"/>
    <mergeCell ref="J207:K208"/>
    <mergeCell ref="L207:O207"/>
    <mergeCell ref="AB184:AC184"/>
    <mergeCell ref="AD184:AE184"/>
    <mergeCell ref="AB209:AC209"/>
    <mergeCell ref="P207:Q208"/>
    <mergeCell ref="L208:M208"/>
    <mergeCell ref="N208:O208"/>
    <mergeCell ref="AF184:AG184"/>
    <mergeCell ref="A184:B184"/>
    <mergeCell ref="C184:E184"/>
    <mergeCell ref="G184:I184"/>
    <mergeCell ref="Z184:AA184"/>
    <mergeCell ref="N183:O183"/>
    <mergeCell ref="AH182:AI182"/>
    <mergeCell ref="AJ182:AK182"/>
    <mergeCell ref="G226:I226"/>
    <mergeCell ref="H227:I227"/>
    <mergeCell ref="H228:I228"/>
    <mergeCell ref="B172:E172"/>
    <mergeCell ref="B200:C200"/>
    <mergeCell ref="D200:E200"/>
    <mergeCell ref="M200:N200"/>
    <mergeCell ref="K200:L200"/>
    <mergeCell ref="Q200:R200"/>
    <mergeCell ref="AD236:AE236"/>
    <mergeCell ref="B173:C173"/>
    <mergeCell ref="D173:E173"/>
    <mergeCell ref="B199:E199"/>
    <mergeCell ref="K199:N199"/>
    <mergeCell ref="P199:R199"/>
    <mergeCell ref="T199:W199"/>
    <mergeCell ref="T200:U200"/>
    <mergeCell ref="V200:W200"/>
    <mergeCell ref="Q201:R201"/>
    <mergeCell ref="M173:N173"/>
    <mergeCell ref="M174:N174"/>
    <mergeCell ref="R207:S208"/>
    <mergeCell ref="A180:B181"/>
    <mergeCell ref="C180:I181"/>
    <mergeCell ref="J180:K181"/>
    <mergeCell ref="L180:O180"/>
    <mergeCell ref="P180:Q181"/>
    <mergeCell ref="L181:M181"/>
    <mergeCell ref="N181:O181"/>
    <mergeCell ref="A182:B182"/>
    <mergeCell ref="C182:E182"/>
    <mergeCell ref="G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Z182:AA182"/>
    <mergeCell ref="AB182:AC182"/>
    <mergeCell ref="AD182:AE182"/>
    <mergeCell ref="AF182:AG182"/>
    <mergeCell ref="T234:U235"/>
    <mergeCell ref="V234:W235"/>
    <mergeCell ref="A185:B185"/>
    <mergeCell ref="C185:E185"/>
    <mergeCell ref="G185:I185"/>
    <mergeCell ref="J185:K185"/>
    <mergeCell ref="L185:M185"/>
    <mergeCell ref="N185:O185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AF185:AG185"/>
    <mergeCell ref="Q147:R147"/>
    <mergeCell ref="I176:L176"/>
    <mergeCell ref="G130:I130"/>
    <mergeCell ref="J130:K130"/>
    <mergeCell ref="L130:M130"/>
    <mergeCell ref="AB131:AC131"/>
    <mergeCell ref="AD131:AE131"/>
    <mergeCell ref="AN131:AO131"/>
    <mergeCell ref="X234:Y235"/>
    <mergeCell ref="A236:B236"/>
    <mergeCell ref="C236:E236"/>
    <mergeCell ref="G236:I236"/>
    <mergeCell ref="J236:K236"/>
    <mergeCell ref="L236:M236"/>
    <mergeCell ref="N236:O236"/>
    <mergeCell ref="Z234:AC234"/>
    <mergeCell ref="AD234:AG234"/>
    <mergeCell ref="AH234:AO235"/>
    <mergeCell ref="L235:M235"/>
    <mergeCell ref="N235:O235"/>
    <mergeCell ref="Z235:AA235"/>
    <mergeCell ref="AB235:AC235"/>
    <mergeCell ref="AD235:AE235"/>
    <mergeCell ref="AF235:AG235"/>
    <mergeCell ref="V227:W227"/>
    <mergeCell ref="Q228:R228"/>
    <mergeCell ref="A234:B235"/>
    <mergeCell ref="C234:I235"/>
    <mergeCell ref="J234:K235"/>
    <mergeCell ref="L234:O234"/>
    <mergeCell ref="P234:Q235"/>
    <mergeCell ref="R234:S235"/>
    <mergeCell ref="AD25:AE25"/>
    <mergeCell ref="AF25:AG25"/>
    <mergeCell ref="AH25:AI25"/>
    <mergeCell ref="AJ25:AK25"/>
    <mergeCell ref="AL25:AM25"/>
    <mergeCell ref="P26:Q26"/>
    <mergeCell ref="R26:S26"/>
    <mergeCell ref="S9:T9"/>
    <mergeCell ref="B226:E226"/>
    <mergeCell ref="K226:N226"/>
    <mergeCell ref="P226:R226"/>
    <mergeCell ref="B227:C227"/>
    <mergeCell ref="D227:E227"/>
    <mergeCell ref="K227:L227"/>
    <mergeCell ref="M227:N227"/>
    <mergeCell ref="Q227:R227"/>
    <mergeCell ref="J177:L177"/>
    <mergeCell ref="I170:L170"/>
    <mergeCell ref="I171:J171"/>
    <mergeCell ref="K171:L171"/>
    <mergeCell ref="G172:I172"/>
    <mergeCell ref="H173:I173"/>
    <mergeCell ref="H174:I174"/>
    <mergeCell ref="L172:N172"/>
    <mergeCell ref="AK10:AN10"/>
    <mergeCell ref="AK11:AL11"/>
    <mergeCell ref="AM11:AN11"/>
    <mergeCell ref="AH14:AK14"/>
    <mergeCell ref="AI15:AK15"/>
    <mergeCell ref="AL156:AM156"/>
    <mergeCell ref="AN156:AO156"/>
    <mergeCell ref="AN25:AO25"/>
    <mergeCell ref="G25:I25"/>
    <mergeCell ref="J25:K25"/>
    <mergeCell ref="L25:M25"/>
    <mergeCell ref="N25:O25"/>
    <mergeCell ref="G26:I26"/>
    <mergeCell ref="J26:K26"/>
    <mergeCell ref="L26:M26"/>
    <mergeCell ref="N26:O26"/>
    <mergeCell ref="T26:U26"/>
    <mergeCell ref="V26:W26"/>
    <mergeCell ref="X26:Y26"/>
    <mergeCell ref="Z26:AA26"/>
    <mergeCell ref="AB26:AC26"/>
    <mergeCell ref="P25:Q25"/>
    <mergeCell ref="R25:S25"/>
    <mergeCell ref="T25:U25"/>
    <mergeCell ref="V25:W25"/>
    <mergeCell ref="X25:Y25"/>
    <mergeCell ref="Z25:AA25"/>
    <mergeCell ref="AB25:AC25"/>
    <mergeCell ref="V78:W78"/>
    <mergeCell ref="X78:Y78"/>
    <mergeCell ref="Z78:AA78"/>
    <mergeCell ref="AB78:AC78"/>
    <mergeCell ref="AD78:AE78"/>
    <mergeCell ref="AF78:AG78"/>
    <mergeCell ref="AK5:AN5"/>
    <mergeCell ref="AK6:AL6"/>
    <mergeCell ref="AM6:AN6"/>
    <mergeCell ref="AA5:AD5"/>
    <mergeCell ref="AA6:AB6"/>
    <mergeCell ref="AC6:AD6"/>
    <mergeCell ref="AG6:AH6"/>
    <mergeCell ref="X7:Y7"/>
    <mergeCell ref="AF5:AH5"/>
    <mergeCell ref="V75:W75"/>
    <mergeCell ref="X75:Y75"/>
    <mergeCell ref="Z75:AA75"/>
    <mergeCell ref="AB75:AC75"/>
    <mergeCell ref="AD75:AE75"/>
    <mergeCell ref="AC8:AF8"/>
    <mergeCell ref="X72:Y73"/>
    <mergeCell ref="Z72:AC72"/>
    <mergeCell ref="AD72:AG72"/>
    <mergeCell ref="AD18:AG18"/>
    <mergeCell ref="AD19:AE19"/>
    <mergeCell ref="AF19:AG19"/>
    <mergeCell ref="AF20:AG20"/>
    <mergeCell ref="AG7:AH7"/>
    <mergeCell ref="AK7:AM7"/>
    <mergeCell ref="AL8:AM8"/>
    <mergeCell ref="AL9:AM9"/>
    <mergeCell ref="D92:E92"/>
    <mergeCell ref="AH59:AI59"/>
    <mergeCell ref="AJ59:AK59"/>
    <mergeCell ref="U62:X62"/>
    <mergeCell ref="U63:V63"/>
    <mergeCell ref="W63:X63"/>
    <mergeCell ref="AA66:AB66"/>
    <mergeCell ref="R66:S66"/>
    <mergeCell ref="N62:Q62"/>
    <mergeCell ref="N63:O63"/>
    <mergeCell ref="AD26:AE26"/>
    <mergeCell ref="AF26:AG26"/>
    <mergeCell ref="AH26:AI26"/>
    <mergeCell ref="AJ26:AK26"/>
    <mergeCell ref="AL26:AM26"/>
    <mergeCell ref="AN26:AO26"/>
    <mergeCell ref="A75:B75"/>
    <mergeCell ref="C75:E75"/>
    <mergeCell ref="G75:I75"/>
    <mergeCell ref="J75:K75"/>
    <mergeCell ref="L75:M75"/>
    <mergeCell ref="N75:O75"/>
    <mergeCell ref="AN75:AO75"/>
    <mergeCell ref="A78:B78"/>
    <mergeCell ref="C78:E78"/>
    <mergeCell ref="G78:I78"/>
    <mergeCell ref="J78:K78"/>
    <mergeCell ref="L78:M78"/>
    <mergeCell ref="N78:O78"/>
    <mergeCell ref="P78:Q78"/>
    <mergeCell ref="R78:S78"/>
    <mergeCell ref="T78:U78"/>
    <mergeCell ref="M92:N92"/>
    <mergeCell ref="K92:L92"/>
    <mergeCell ref="H92:I92"/>
    <mergeCell ref="U118:W118"/>
    <mergeCell ref="V119:W119"/>
    <mergeCell ref="V120:W120"/>
    <mergeCell ref="L118:N118"/>
    <mergeCell ref="M120:N120"/>
    <mergeCell ref="R119:S119"/>
    <mergeCell ref="H120:I120"/>
    <mergeCell ref="AK62:AL62"/>
    <mergeCell ref="U64:X64"/>
    <mergeCell ref="U65:V65"/>
    <mergeCell ref="W65:X65"/>
    <mergeCell ref="Z64:AB64"/>
    <mergeCell ref="AD64:AG64"/>
    <mergeCell ref="AD65:AE65"/>
    <mergeCell ref="AF65:AG65"/>
    <mergeCell ref="P75:Q75"/>
    <mergeCell ref="R75:S75"/>
    <mergeCell ref="T75:U75"/>
    <mergeCell ref="AH101:AI101"/>
    <mergeCell ref="AJ101:AK101"/>
    <mergeCell ref="L101:M101"/>
    <mergeCell ref="G91:I91"/>
    <mergeCell ref="H66:I66"/>
    <mergeCell ref="J69:L69"/>
    <mergeCell ref="N68:Q68"/>
    <mergeCell ref="O69:Q69"/>
    <mergeCell ref="M65:N65"/>
    <mergeCell ref="H119:I119"/>
    <mergeCell ref="H93:I93"/>
    <mergeCell ref="Z133:AA133"/>
    <mergeCell ref="AB133:AC133"/>
    <mergeCell ref="Z123:AA123"/>
    <mergeCell ref="Z124:AA124"/>
    <mergeCell ref="AB122:AE122"/>
    <mergeCell ref="AB123:AC123"/>
    <mergeCell ref="AK122:AN122"/>
    <mergeCell ref="AK123:AL123"/>
    <mergeCell ref="AM123:AN123"/>
    <mergeCell ref="AG122:AI122"/>
    <mergeCell ref="AH124:AI124"/>
    <mergeCell ref="AD123:AE123"/>
    <mergeCell ref="C99:I100"/>
    <mergeCell ref="E112:G112"/>
    <mergeCell ref="F113:G113"/>
    <mergeCell ref="F114:G114"/>
    <mergeCell ref="C133:E133"/>
    <mergeCell ref="G133:I133"/>
    <mergeCell ref="I112:L112"/>
    <mergeCell ref="I113:J113"/>
    <mergeCell ref="K113:L113"/>
    <mergeCell ref="AD133:AE133"/>
    <mergeCell ref="AF133:AG133"/>
    <mergeCell ref="J133:K133"/>
    <mergeCell ref="L133:M133"/>
    <mergeCell ref="N133:O133"/>
    <mergeCell ref="P133:Q133"/>
    <mergeCell ref="R133:S133"/>
    <mergeCell ref="T133:U133"/>
    <mergeCell ref="L128:M128"/>
    <mergeCell ref="AJ130:AK130"/>
    <mergeCell ref="AL130:AM130"/>
    <mergeCell ref="L134:M134"/>
    <mergeCell ref="N134:O134"/>
    <mergeCell ref="AH134:AI134"/>
    <mergeCell ref="AJ134:AK134"/>
    <mergeCell ref="AL134:AM134"/>
    <mergeCell ref="P134:Q134"/>
    <mergeCell ref="R134:S134"/>
    <mergeCell ref="T134:U134"/>
    <mergeCell ref="V134:W134"/>
    <mergeCell ref="X134:Y134"/>
    <mergeCell ref="Z134:AA134"/>
    <mergeCell ref="AN134:AO134"/>
    <mergeCell ref="AB101:AC101"/>
    <mergeCell ref="Z101:AA101"/>
    <mergeCell ref="C101:E101"/>
    <mergeCell ref="A101:B101"/>
    <mergeCell ref="AJ133:AK133"/>
    <mergeCell ref="AL133:AM133"/>
    <mergeCell ref="AN133:AO133"/>
    <mergeCell ref="AH123:AI123"/>
    <mergeCell ref="A133:B133"/>
    <mergeCell ref="A128:B128"/>
    <mergeCell ref="AA120:AB120"/>
    <mergeCell ref="Y122:AA122"/>
    <mergeCell ref="AD118:AG118"/>
    <mergeCell ref="AD119:AE119"/>
    <mergeCell ref="W116:Z116"/>
    <mergeCell ref="W117:X117"/>
    <mergeCell ref="Y117:Z117"/>
    <mergeCell ref="A130:B130"/>
    <mergeCell ref="C130:E130"/>
    <mergeCell ref="T130:U130"/>
    <mergeCell ref="Z210:AA210"/>
    <mergeCell ref="AB210:AC210"/>
    <mergeCell ref="AD210:AE210"/>
    <mergeCell ref="AF210:AG210"/>
    <mergeCell ref="AH210:AI210"/>
    <mergeCell ref="AJ210:AK210"/>
    <mergeCell ref="A99:B100"/>
    <mergeCell ref="AB134:AC134"/>
    <mergeCell ref="AD134:AE134"/>
    <mergeCell ref="AF134:AG134"/>
    <mergeCell ref="AL186:AM186"/>
    <mergeCell ref="AN186:AO186"/>
    <mergeCell ref="X170:AA170"/>
    <mergeCell ref="X171:Y171"/>
    <mergeCell ref="Z171:AA171"/>
    <mergeCell ref="G199:I199"/>
    <mergeCell ref="AH185:AI185"/>
    <mergeCell ref="AJ185:AK185"/>
    <mergeCell ref="AL185:AM185"/>
    <mergeCell ref="AN185:AO185"/>
    <mergeCell ref="H200:I200"/>
    <mergeCell ref="H201:I201"/>
    <mergeCell ref="Y199:AA199"/>
    <mergeCell ref="Z200:AA200"/>
    <mergeCell ref="Z201:AA201"/>
    <mergeCell ref="AC199:AF199"/>
    <mergeCell ref="AC200:AD200"/>
    <mergeCell ref="AE200:AF200"/>
    <mergeCell ref="A134:B134"/>
    <mergeCell ref="C134:E134"/>
    <mergeCell ref="G134:I134"/>
    <mergeCell ref="J134:K134"/>
    <mergeCell ref="AL210:AM210"/>
    <mergeCell ref="AN210:AO210"/>
    <mergeCell ref="A211:B211"/>
    <mergeCell ref="C211:E211"/>
    <mergeCell ref="G211:I211"/>
    <mergeCell ref="J211:K211"/>
    <mergeCell ref="L211:M211"/>
    <mergeCell ref="N211:O211"/>
    <mergeCell ref="P211:Q211"/>
    <mergeCell ref="R211:S211"/>
    <mergeCell ref="T211:U211"/>
    <mergeCell ref="AH211:AI211"/>
    <mergeCell ref="AJ211:AK211"/>
    <mergeCell ref="AL211:AM211"/>
    <mergeCell ref="AN211:AO211"/>
    <mergeCell ref="V211:W211"/>
    <mergeCell ref="X211:Y211"/>
    <mergeCell ref="Z211:AA211"/>
    <mergeCell ref="AB211:AC211"/>
    <mergeCell ref="AD211:AE211"/>
    <mergeCell ref="AF211:AG211"/>
    <mergeCell ref="A210:B210"/>
    <mergeCell ref="C210:E210"/>
    <mergeCell ref="G210:I210"/>
    <mergeCell ref="J210:K210"/>
    <mergeCell ref="L210:M210"/>
    <mergeCell ref="N210:O210"/>
    <mergeCell ref="P210:Q210"/>
    <mergeCell ref="R210:S210"/>
    <mergeCell ref="T210:U210"/>
    <mergeCell ref="V210:W210"/>
    <mergeCell ref="X210:Y210"/>
  </mergeCells>
  <phoneticPr fontId="2" type="noConversion"/>
  <printOptions horizontalCentered="1"/>
  <pageMargins left="0.47244094488188981" right="0.47244094488188981" top="0.62992125984251968" bottom="0.62992125984251968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67"/>
  <sheetViews>
    <sheetView tabSelected="1" topLeftCell="A209" zoomScale="85" zoomScaleNormal="85" workbookViewId="0">
      <selection activeCell="AF218" sqref="AF218"/>
    </sheetView>
  </sheetViews>
  <sheetFormatPr defaultColWidth="3.5546875" defaultRowHeight="23.1" customHeight="1"/>
  <cols>
    <col min="1" max="7" width="3.5546875" style="110" customWidth="1"/>
    <col min="8" max="9" width="3.77734375" style="110" customWidth="1"/>
    <col min="10" max="16384" width="3.5546875" style="110"/>
  </cols>
  <sheetData>
    <row r="1" spans="1:40" s="114" customFormat="1" ht="23.1" customHeight="1">
      <c r="A1" s="111" t="s">
        <v>380</v>
      </c>
    </row>
    <row r="5" spans="1:40" ht="23.1" customHeight="1">
      <c r="R5" s="116"/>
      <c r="S5" s="119"/>
      <c r="T5" s="119"/>
      <c r="U5" s="119"/>
      <c r="V5" s="117"/>
      <c r="W5" s="116"/>
      <c r="X5" s="116"/>
      <c r="Y5" s="116"/>
      <c r="AA5" s="198" t="s">
        <v>207</v>
      </c>
      <c r="AB5" s="209"/>
      <c r="AC5" s="209"/>
      <c r="AD5" s="210"/>
      <c r="AF5" s="206" t="s">
        <v>323</v>
      </c>
      <c r="AG5" s="206"/>
      <c r="AH5" s="206"/>
      <c r="AJ5" s="116"/>
      <c r="AK5" s="198" t="s">
        <v>221</v>
      </c>
      <c r="AL5" s="203"/>
      <c r="AM5" s="203"/>
      <c r="AN5" s="199"/>
    </row>
    <row r="6" spans="1:40" ht="23.1" customHeight="1">
      <c r="R6" s="116"/>
      <c r="S6" s="116"/>
      <c r="T6" s="128"/>
      <c r="U6" s="116"/>
      <c r="V6" s="117"/>
      <c r="W6" s="117"/>
      <c r="X6" s="129"/>
      <c r="Y6" s="129"/>
      <c r="AA6" s="200" t="s">
        <v>223</v>
      </c>
      <c r="AB6" s="204"/>
      <c r="AC6" s="205">
        <v>29.9</v>
      </c>
      <c r="AD6" s="201"/>
      <c r="AF6" s="110" t="s">
        <v>231</v>
      </c>
      <c r="AG6" s="207">
        <f>P27</f>
        <v>250</v>
      </c>
      <c r="AH6" s="207"/>
      <c r="AK6" s="200" t="s">
        <v>222</v>
      </c>
      <c r="AL6" s="204"/>
      <c r="AM6" s="205">
        <f>AJ27</f>
        <v>30</v>
      </c>
      <c r="AN6" s="220"/>
    </row>
    <row r="7" spans="1:40" ht="23.1" customHeight="1">
      <c r="X7" s="221"/>
      <c r="Y7" s="221"/>
      <c r="AF7" s="110" t="s">
        <v>232</v>
      </c>
      <c r="AG7" s="221">
        <f>J27</f>
        <v>454</v>
      </c>
      <c r="AH7" s="221"/>
      <c r="AI7" s="112"/>
      <c r="AJ7" s="112"/>
      <c r="AK7" s="206" t="s">
        <v>322</v>
      </c>
      <c r="AL7" s="206"/>
      <c r="AM7" s="206"/>
      <c r="AN7" s="116"/>
    </row>
    <row r="8" spans="1:40" ht="23.1" customHeight="1">
      <c r="S8" s="198" t="s">
        <v>321</v>
      </c>
      <c r="T8" s="203"/>
      <c r="U8" s="203"/>
      <c r="V8" s="199"/>
      <c r="X8" s="198" t="s">
        <v>275</v>
      </c>
      <c r="Y8" s="203"/>
      <c r="Z8" s="203"/>
      <c r="AA8" s="199"/>
      <c r="AC8" s="198" t="s">
        <v>203</v>
      </c>
      <c r="AD8" s="203"/>
      <c r="AE8" s="203"/>
      <c r="AF8" s="199"/>
      <c r="AK8" s="110" t="s">
        <v>231</v>
      </c>
      <c r="AL8" s="207">
        <f>P26</f>
        <v>450</v>
      </c>
      <c r="AM8" s="207"/>
      <c r="AN8" s="130"/>
    </row>
    <row r="9" spans="1:40" ht="23.1" customHeight="1">
      <c r="J9" s="112"/>
      <c r="K9" s="112"/>
      <c r="S9" s="200" t="s">
        <v>234</v>
      </c>
      <c r="T9" s="204"/>
      <c r="U9" s="205">
        <f>AB22</f>
        <v>49.66</v>
      </c>
      <c r="V9" s="201"/>
      <c r="X9" s="200" t="s">
        <v>234</v>
      </c>
      <c r="Y9" s="204"/>
      <c r="Z9" s="205">
        <f>AB23</f>
        <v>48.529999999999994</v>
      </c>
      <c r="AA9" s="201"/>
      <c r="AC9" s="200" t="s">
        <v>234</v>
      </c>
      <c r="AD9" s="204"/>
      <c r="AE9" s="205">
        <f>AB24</f>
        <v>44.05</v>
      </c>
      <c r="AF9" s="201"/>
      <c r="AK9" s="110" t="s">
        <v>232</v>
      </c>
      <c r="AL9" s="221">
        <f>J26</f>
        <v>5675</v>
      </c>
      <c r="AM9" s="221"/>
    </row>
    <row r="10" spans="1:40" ht="23.1" customHeight="1">
      <c r="B10" s="198" t="s">
        <v>199</v>
      </c>
      <c r="C10" s="209"/>
      <c r="D10" s="209"/>
      <c r="E10" s="210"/>
      <c r="F10" s="112"/>
      <c r="G10" s="206" t="s">
        <v>225</v>
      </c>
      <c r="H10" s="206"/>
      <c r="I10" s="206"/>
      <c r="L10" s="206" t="s">
        <v>226</v>
      </c>
      <c r="M10" s="206"/>
      <c r="N10" s="206"/>
      <c r="Q10" s="206" t="s">
        <v>227</v>
      </c>
      <c r="R10" s="206"/>
      <c r="S10" s="206"/>
      <c r="V10" s="206" t="s">
        <v>228</v>
      </c>
      <c r="W10" s="206"/>
      <c r="X10" s="206"/>
      <c r="AA10" s="206" t="s">
        <v>229</v>
      </c>
      <c r="AB10" s="206"/>
      <c r="AC10" s="206"/>
      <c r="AF10" s="206" t="s">
        <v>230</v>
      </c>
      <c r="AG10" s="206"/>
      <c r="AH10" s="206"/>
      <c r="AJ10" s="116"/>
      <c r="AK10" s="198" t="s">
        <v>204</v>
      </c>
      <c r="AL10" s="203"/>
      <c r="AM10" s="203"/>
      <c r="AN10" s="199"/>
    </row>
    <row r="11" spans="1:40" ht="23.1" customHeight="1">
      <c r="B11" s="200" t="s">
        <v>224</v>
      </c>
      <c r="C11" s="204"/>
      <c r="D11" s="205">
        <f>AF20</f>
        <v>68.599999999999994</v>
      </c>
      <c r="E11" s="201"/>
      <c r="G11" s="110" t="s">
        <v>231</v>
      </c>
      <c r="H11" s="207">
        <f>P20</f>
        <v>1000</v>
      </c>
      <c r="I11" s="207"/>
      <c r="L11" s="110" t="s">
        <v>231</v>
      </c>
      <c r="M11" s="207">
        <f>P21</f>
        <v>900</v>
      </c>
      <c r="N11" s="207"/>
      <c r="Q11" s="110" t="s">
        <v>231</v>
      </c>
      <c r="R11" s="207">
        <f>P22</f>
        <v>900</v>
      </c>
      <c r="S11" s="207"/>
      <c r="V11" s="110" t="s">
        <v>231</v>
      </c>
      <c r="W11" s="207">
        <f>P23</f>
        <v>900</v>
      </c>
      <c r="X11" s="207"/>
      <c r="AA11" s="110" t="s">
        <v>231</v>
      </c>
      <c r="AB11" s="207">
        <f>P24</f>
        <v>900</v>
      </c>
      <c r="AC11" s="207"/>
      <c r="AF11" s="110" t="s">
        <v>231</v>
      </c>
      <c r="AG11" s="207">
        <f>P25</f>
        <v>450</v>
      </c>
      <c r="AH11" s="207"/>
      <c r="AJ11" s="116"/>
      <c r="AK11" s="200" t="s">
        <v>234</v>
      </c>
      <c r="AL11" s="204"/>
      <c r="AM11" s="205">
        <f>AB25</f>
        <v>42.11</v>
      </c>
      <c r="AN11" s="201"/>
    </row>
    <row r="12" spans="1:40" ht="23.1" customHeight="1">
      <c r="G12" s="110" t="s">
        <v>232</v>
      </c>
      <c r="H12" s="221">
        <f>J20</f>
        <v>7053</v>
      </c>
      <c r="I12" s="221"/>
      <c r="L12" s="110" t="s">
        <v>232</v>
      </c>
      <c r="M12" s="221">
        <f>J21</f>
        <v>2346</v>
      </c>
      <c r="N12" s="221"/>
      <c r="Q12" s="110" t="s">
        <v>232</v>
      </c>
      <c r="R12" s="221">
        <f>J22</f>
        <v>3796</v>
      </c>
      <c r="S12" s="221"/>
      <c r="V12" s="110" t="s">
        <v>232</v>
      </c>
      <c r="W12" s="221">
        <f>J23</f>
        <v>610</v>
      </c>
      <c r="X12" s="221"/>
      <c r="AA12" s="110" t="s">
        <v>232</v>
      </c>
      <c r="AB12" s="221">
        <f>J24</f>
        <v>2823</v>
      </c>
      <c r="AC12" s="221"/>
      <c r="AF12" s="110" t="s">
        <v>232</v>
      </c>
      <c r="AG12" s="221">
        <f>J25</f>
        <v>1784</v>
      </c>
      <c r="AH12" s="221"/>
    </row>
    <row r="14" spans="1:40" ht="23.1" customHeight="1">
      <c r="I14" s="198" t="s">
        <v>201</v>
      </c>
      <c r="J14" s="203"/>
      <c r="K14" s="203"/>
      <c r="L14" s="199"/>
      <c r="N14" s="198" t="s">
        <v>215</v>
      </c>
      <c r="O14" s="203"/>
      <c r="P14" s="203"/>
      <c r="Q14" s="199"/>
      <c r="S14" s="198" t="s">
        <v>319</v>
      </c>
      <c r="T14" s="203"/>
      <c r="U14" s="203"/>
      <c r="V14" s="199"/>
      <c r="X14" s="198" t="s">
        <v>320</v>
      </c>
      <c r="Y14" s="203"/>
      <c r="Z14" s="203"/>
      <c r="AA14" s="199"/>
      <c r="AC14" s="198" t="s">
        <v>341</v>
      </c>
      <c r="AD14" s="203"/>
      <c r="AE14" s="203"/>
      <c r="AF14" s="199"/>
      <c r="AH14" s="198" t="s">
        <v>220</v>
      </c>
      <c r="AI14" s="203"/>
      <c r="AJ14" s="203"/>
      <c r="AK14" s="199"/>
    </row>
    <row r="15" spans="1:40" ht="23.1" customHeight="1">
      <c r="I15" s="115" t="s">
        <v>233</v>
      </c>
      <c r="J15" s="237">
        <f>배분계획!G9</f>
        <v>1456</v>
      </c>
      <c r="K15" s="204"/>
      <c r="L15" s="201"/>
      <c r="N15" s="115" t="s">
        <v>233</v>
      </c>
      <c r="O15" s="237">
        <f>배분계획!G8</f>
        <v>475</v>
      </c>
      <c r="P15" s="204"/>
      <c r="Q15" s="201"/>
      <c r="S15" s="115" t="s">
        <v>233</v>
      </c>
      <c r="T15" s="229">
        <f>배분계획!G4</f>
        <v>1118</v>
      </c>
      <c r="U15" s="204"/>
      <c r="V15" s="201"/>
      <c r="X15" s="115" t="s">
        <v>233</v>
      </c>
      <c r="Y15" s="229">
        <f>배분계획!G12+배분계획!G22+배분계획!G10</f>
        <v>5227</v>
      </c>
      <c r="Z15" s="204"/>
      <c r="AA15" s="201"/>
      <c r="AC15" s="115" t="s">
        <v>233</v>
      </c>
      <c r="AD15" s="237">
        <f>배분계획!G5+배분계획!G6+배분계획!G13+배분계획!G14+배분계획!G16+배분계획!G17+배분계획!G18+배분계획!G19+배분계획!G20+배분계획!G11</f>
        <v>54089</v>
      </c>
      <c r="AE15" s="204"/>
      <c r="AF15" s="201"/>
      <c r="AH15" s="115" t="s">
        <v>233</v>
      </c>
      <c r="AI15" s="237">
        <f>배분계획!G7</f>
        <v>1285</v>
      </c>
      <c r="AJ15" s="204"/>
      <c r="AK15" s="201"/>
    </row>
    <row r="16" spans="1:40" ht="23.1" customHeight="1">
      <c r="I16" s="117"/>
      <c r="J16" s="132"/>
      <c r="K16" s="117"/>
      <c r="L16" s="117"/>
      <c r="N16" s="117"/>
      <c r="O16" s="132"/>
      <c r="P16" s="117"/>
      <c r="Q16" s="117"/>
      <c r="S16" s="117"/>
      <c r="T16" s="133"/>
      <c r="U16" s="117"/>
      <c r="V16" s="117"/>
      <c r="X16" s="117"/>
      <c r="Y16" s="133"/>
      <c r="Z16" s="117"/>
      <c r="AA16" s="117"/>
      <c r="AC16" s="117"/>
      <c r="AD16" s="132"/>
      <c r="AE16" s="117"/>
      <c r="AF16" s="117"/>
      <c r="AH16" s="117"/>
      <c r="AI16" s="132"/>
      <c r="AJ16" s="117"/>
      <c r="AK16" s="117"/>
    </row>
    <row r="18" spans="1:42" ht="23.1" customHeight="1">
      <c r="A18" s="179" t="s">
        <v>179</v>
      </c>
      <c r="B18" s="179"/>
      <c r="C18" s="179" t="s">
        <v>180</v>
      </c>
      <c r="D18" s="179"/>
      <c r="E18" s="179"/>
      <c r="F18" s="179"/>
      <c r="G18" s="179"/>
      <c r="H18" s="179"/>
      <c r="I18" s="179"/>
      <c r="J18" s="181" t="s">
        <v>195</v>
      </c>
      <c r="K18" s="179"/>
      <c r="L18" s="179" t="s">
        <v>181</v>
      </c>
      <c r="M18" s="179"/>
      <c r="N18" s="179"/>
      <c r="O18" s="179"/>
      <c r="P18" s="181" t="s">
        <v>189</v>
      </c>
      <c r="Q18" s="179"/>
      <c r="R18" s="181" t="s">
        <v>190</v>
      </c>
      <c r="S18" s="179"/>
      <c r="T18" s="181" t="s">
        <v>191</v>
      </c>
      <c r="U18" s="179"/>
      <c r="V18" s="181" t="s">
        <v>193</v>
      </c>
      <c r="W18" s="179"/>
      <c r="X18" s="181" t="s">
        <v>194</v>
      </c>
      <c r="Y18" s="179"/>
      <c r="Z18" s="179" t="s">
        <v>196</v>
      </c>
      <c r="AA18" s="179"/>
      <c r="AB18" s="179"/>
      <c r="AC18" s="179"/>
      <c r="AD18" s="179" t="s">
        <v>184</v>
      </c>
      <c r="AE18" s="179"/>
      <c r="AF18" s="179"/>
      <c r="AG18" s="179"/>
      <c r="AH18" s="179" t="s">
        <v>187</v>
      </c>
      <c r="AI18" s="179"/>
      <c r="AJ18" s="179"/>
      <c r="AK18" s="179"/>
      <c r="AL18" s="179"/>
      <c r="AM18" s="179"/>
      <c r="AN18" s="179"/>
      <c r="AO18" s="179"/>
      <c r="AP18" s="116"/>
    </row>
    <row r="19" spans="1:42" ht="23.1" customHeight="1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 t="s">
        <v>197</v>
      </c>
      <c r="M19" s="179"/>
      <c r="N19" s="179" t="s">
        <v>188</v>
      </c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 t="s">
        <v>182</v>
      </c>
      <c r="AA19" s="179"/>
      <c r="AB19" s="179" t="s">
        <v>183</v>
      </c>
      <c r="AC19" s="179"/>
      <c r="AD19" s="179" t="s">
        <v>185</v>
      </c>
      <c r="AE19" s="179"/>
      <c r="AF19" s="179" t="s">
        <v>186</v>
      </c>
      <c r="AG19" s="179"/>
      <c r="AH19" s="179"/>
      <c r="AI19" s="179"/>
      <c r="AJ19" s="179"/>
      <c r="AK19" s="179"/>
      <c r="AL19" s="179"/>
      <c r="AM19" s="179"/>
      <c r="AN19" s="179"/>
      <c r="AO19" s="179"/>
      <c r="AP19" s="116"/>
    </row>
    <row r="20" spans="1:42" ht="23.1" customHeight="1">
      <c r="A20" s="180" t="s">
        <v>198</v>
      </c>
      <c r="B20" s="180"/>
      <c r="C20" s="179" t="s">
        <v>199</v>
      </c>
      <c r="D20" s="179"/>
      <c r="E20" s="182"/>
      <c r="F20" s="113" t="s">
        <v>200</v>
      </c>
      <c r="G20" s="183" t="s">
        <v>201</v>
      </c>
      <c r="H20" s="179"/>
      <c r="I20" s="179"/>
      <c r="J20" s="222">
        <v>7053</v>
      </c>
      <c r="K20" s="223"/>
      <c r="L20" s="222">
        <f>L21+J15</f>
        <v>69713</v>
      </c>
      <c r="M20" s="223"/>
      <c r="N20" s="230">
        <f>L20/24/60/60</f>
        <v>0.80686342592592597</v>
      </c>
      <c r="O20" s="231"/>
      <c r="P20" s="222">
        <v>1000</v>
      </c>
      <c r="Q20" s="223"/>
      <c r="R20" s="224">
        <f t="shared" ref="R20:R27" si="0">IF(P20&lt;=600,100,IF(P20&gt;=1000,120,110))</f>
        <v>120</v>
      </c>
      <c r="S20" s="225"/>
      <c r="T20" s="226">
        <f t="shared" ref="T20:T27" si="1">10.666*R20^(-1.85)*(P20/1000)^(-4.87)*N20^1.85</f>
        <v>1.0211659601816274E-3</v>
      </c>
      <c r="U20" s="227"/>
      <c r="V20" s="232">
        <f t="shared" ref="V20:V27" si="2">0.35464*R20*(P20/1000)^(0.63)*T20^(0.54)</f>
        <v>1.0324784178546753</v>
      </c>
      <c r="W20" s="233"/>
      <c r="X20" s="234">
        <f t="shared" ref="X20:X27" si="3">ROUND(T20*J20,2)</f>
        <v>7.2</v>
      </c>
      <c r="Y20" s="235"/>
      <c r="Z20" s="236">
        <f>AF20+AJ20</f>
        <v>68.599999999999994</v>
      </c>
      <c r="AA20" s="236"/>
      <c r="AB20" s="236">
        <f t="shared" ref="AB20:AB27" si="4">Z20-X20+AJ20</f>
        <v>61.399999999999991</v>
      </c>
      <c r="AC20" s="236"/>
      <c r="AD20" s="197"/>
      <c r="AE20" s="197"/>
      <c r="AF20" s="196">
        <v>68.599999999999994</v>
      </c>
      <c r="AG20" s="196"/>
      <c r="AH20" s="176" t="s">
        <v>212</v>
      </c>
      <c r="AI20" s="177"/>
      <c r="AJ20" s="183"/>
      <c r="AK20" s="179"/>
      <c r="AL20" s="176" t="s">
        <v>213</v>
      </c>
      <c r="AM20" s="177"/>
      <c r="AN20" s="178" t="str">
        <f t="shared" ref="AN20:AN27" si="5">IF(AD20="","",AB20-AD20)</f>
        <v/>
      </c>
      <c r="AO20" s="202"/>
    </row>
    <row r="21" spans="1:42" ht="23.1" customHeight="1">
      <c r="A21" s="180" t="s">
        <v>324</v>
      </c>
      <c r="B21" s="180"/>
      <c r="C21" s="179" t="s">
        <v>201</v>
      </c>
      <c r="D21" s="179"/>
      <c r="E21" s="182"/>
      <c r="F21" s="113" t="s">
        <v>200</v>
      </c>
      <c r="G21" s="183" t="s">
        <v>217</v>
      </c>
      <c r="H21" s="179"/>
      <c r="I21" s="179"/>
      <c r="J21" s="222">
        <v>2346</v>
      </c>
      <c r="K21" s="223"/>
      <c r="L21" s="222">
        <f>L22+O15</f>
        <v>68257</v>
      </c>
      <c r="M21" s="223"/>
      <c r="N21" s="230">
        <f t="shared" ref="N21:N27" si="6">L21/24/60/60</f>
        <v>0.79001157407407396</v>
      </c>
      <c r="O21" s="231"/>
      <c r="P21" s="222">
        <v>900</v>
      </c>
      <c r="Q21" s="223"/>
      <c r="R21" s="224">
        <f t="shared" si="0"/>
        <v>110</v>
      </c>
      <c r="S21" s="225"/>
      <c r="T21" s="226">
        <f t="shared" si="1"/>
        <v>1.9270189288170081E-3</v>
      </c>
      <c r="U21" s="227"/>
      <c r="V21" s="232">
        <f t="shared" si="2"/>
        <v>1.2479339905869491</v>
      </c>
      <c r="W21" s="233"/>
      <c r="X21" s="234">
        <f t="shared" si="3"/>
        <v>4.5199999999999996</v>
      </c>
      <c r="Y21" s="235"/>
      <c r="Z21" s="236">
        <f t="shared" ref="Z21:Z27" si="7">AB20</f>
        <v>61.399999999999991</v>
      </c>
      <c r="AA21" s="236"/>
      <c r="AB21" s="236">
        <f t="shared" si="4"/>
        <v>56.879999999999995</v>
      </c>
      <c r="AC21" s="236"/>
      <c r="AD21" s="197"/>
      <c r="AE21" s="197"/>
      <c r="AF21" s="197"/>
      <c r="AG21" s="197"/>
      <c r="AH21" s="176" t="s">
        <v>212</v>
      </c>
      <c r="AI21" s="177"/>
      <c r="AJ21" s="183"/>
      <c r="AK21" s="179"/>
      <c r="AL21" s="176" t="s">
        <v>213</v>
      </c>
      <c r="AM21" s="177"/>
      <c r="AN21" s="178" t="str">
        <f t="shared" si="5"/>
        <v/>
      </c>
      <c r="AO21" s="202"/>
    </row>
    <row r="22" spans="1:42" ht="23.1" customHeight="1">
      <c r="A22" s="180" t="s">
        <v>208</v>
      </c>
      <c r="B22" s="180"/>
      <c r="C22" s="179" t="s">
        <v>217</v>
      </c>
      <c r="D22" s="179"/>
      <c r="E22" s="182"/>
      <c r="F22" s="113" t="s">
        <v>200</v>
      </c>
      <c r="G22" s="183" t="s">
        <v>321</v>
      </c>
      <c r="H22" s="179"/>
      <c r="I22" s="179"/>
      <c r="J22" s="222">
        <v>3796</v>
      </c>
      <c r="K22" s="223"/>
      <c r="L22" s="222">
        <f>L23+T15</f>
        <v>67782</v>
      </c>
      <c r="M22" s="223"/>
      <c r="N22" s="230">
        <f t="shared" si="6"/>
        <v>0.78451388888888884</v>
      </c>
      <c r="O22" s="231"/>
      <c r="P22" s="222">
        <v>900</v>
      </c>
      <c r="Q22" s="223"/>
      <c r="R22" s="224">
        <f t="shared" si="0"/>
        <v>110</v>
      </c>
      <c r="S22" s="225"/>
      <c r="T22" s="226">
        <f t="shared" si="1"/>
        <v>1.902283621376855E-3</v>
      </c>
      <c r="U22" s="227"/>
      <c r="V22" s="232">
        <f t="shared" si="2"/>
        <v>1.2392582805182619</v>
      </c>
      <c r="W22" s="233"/>
      <c r="X22" s="234">
        <f t="shared" si="3"/>
        <v>7.22</v>
      </c>
      <c r="Y22" s="235"/>
      <c r="Z22" s="236">
        <f t="shared" si="7"/>
        <v>56.879999999999995</v>
      </c>
      <c r="AA22" s="236"/>
      <c r="AB22" s="236">
        <f t="shared" si="4"/>
        <v>49.66</v>
      </c>
      <c r="AC22" s="236"/>
      <c r="AD22" s="197"/>
      <c r="AE22" s="197"/>
      <c r="AF22" s="197"/>
      <c r="AG22" s="197"/>
      <c r="AH22" s="176" t="s">
        <v>212</v>
      </c>
      <c r="AI22" s="177"/>
      <c r="AJ22" s="183"/>
      <c r="AK22" s="179"/>
      <c r="AL22" s="176" t="s">
        <v>213</v>
      </c>
      <c r="AM22" s="177"/>
      <c r="AN22" s="178" t="str">
        <f t="shared" si="5"/>
        <v/>
      </c>
      <c r="AO22" s="202"/>
    </row>
    <row r="23" spans="1:42" ht="23.1" customHeight="1">
      <c r="A23" s="180" t="s">
        <v>209</v>
      </c>
      <c r="B23" s="180"/>
      <c r="C23" s="179" t="s">
        <v>321</v>
      </c>
      <c r="D23" s="179"/>
      <c r="E23" s="182"/>
      <c r="F23" s="113" t="s">
        <v>200</v>
      </c>
      <c r="G23" s="183" t="s">
        <v>275</v>
      </c>
      <c r="H23" s="179"/>
      <c r="I23" s="179"/>
      <c r="J23" s="222">
        <v>610</v>
      </c>
      <c r="K23" s="223"/>
      <c r="L23" s="222">
        <f>L24+Y15</f>
        <v>66664</v>
      </c>
      <c r="M23" s="223"/>
      <c r="N23" s="230">
        <f t="shared" si="6"/>
        <v>0.77157407407407408</v>
      </c>
      <c r="O23" s="231"/>
      <c r="P23" s="222">
        <v>900</v>
      </c>
      <c r="Q23" s="223"/>
      <c r="R23" s="224">
        <f t="shared" si="0"/>
        <v>110</v>
      </c>
      <c r="S23" s="225"/>
      <c r="T23" s="226">
        <f t="shared" si="1"/>
        <v>1.8446445775628334E-3</v>
      </c>
      <c r="U23" s="227"/>
      <c r="V23" s="232">
        <f t="shared" si="2"/>
        <v>1.2188381579936916</v>
      </c>
      <c r="W23" s="233"/>
      <c r="X23" s="234">
        <f t="shared" si="3"/>
        <v>1.1299999999999999</v>
      </c>
      <c r="Y23" s="235"/>
      <c r="Z23" s="236">
        <f t="shared" si="7"/>
        <v>49.66</v>
      </c>
      <c r="AA23" s="236"/>
      <c r="AB23" s="236">
        <f t="shared" si="4"/>
        <v>48.529999999999994</v>
      </c>
      <c r="AC23" s="236"/>
      <c r="AD23" s="197"/>
      <c r="AE23" s="197"/>
      <c r="AF23" s="197"/>
      <c r="AG23" s="197"/>
      <c r="AH23" s="176" t="s">
        <v>212</v>
      </c>
      <c r="AI23" s="177"/>
      <c r="AJ23" s="183"/>
      <c r="AK23" s="179"/>
      <c r="AL23" s="176" t="s">
        <v>213</v>
      </c>
      <c r="AM23" s="177"/>
      <c r="AN23" s="178" t="str">
        <f t="shared" si="5"/>
        <v/>
      </c>
      <c r="AO23" s="202"/>
    </row>
    <row r="24" spans="1:42" ht="23.1" customHeight="1">
      <c r="A24" s="180" t="s">
        <v>210</v>
      </c>
      <c r="B24" s="180"/>
      <c r="C24" s="179" t="s">
        <v>275</v>
      </c>
      <c r="D24" s="179"/>
      <c r="E24" s="182"/>
      <c r="F24" s="113" t="s">
        <v>200</v>
      </c>
      <c r="G24" s="183" t="s">
        <v>203</v>
      </c>
      <c r="H24" s="179"/>
      <c r="I24" s="179"/>
      <c r="J24" s="222">
        <v>2823</v>
      </c>
      <c r="K24" s="223"/>
      <c r="L24" s="222">
        <f>L25+AD15</f>
        <v>61437</v>
      </c>
      <c r="M24" s="223"/>
      <c r="N24" s="230">
        <f t="shared" si="6"/>
        <v>0.71107638888888891</v>
      </c>
      <c r="O24" s="231"/>
      <c r="P24" s="222">
        <v>900</v>
      </c>
      <c r="Q24" s="223"/>
      <c r="R24" s="224">
        <f t="shared" si="0"/>
        <v>110</v>
      </c>
      <c r="S24" s="225"/>
      <c r="T24" s="226">
        <f t="shared" si="1"/>
        <v>1.5860218589628784E-3</v>
      </c>
      <c r="U24" s="227"/>
      <c r="V24" s="232">
        <f t="shared" si="2"/>
        <v>1.1233630515566266</v>
      </c>
      <c r="W24" s="233"/>
      <c r="X24" s="234">
        <f t="shared" si="3"/>
        <v>4.4800000000000004</v>
      </c>
      <c r="Y24" s="235"/>
      <c r="Z24" s="236">
        <f t="shared" si="7"/>
        <v>48.529999999999994</v>
      </c>
      <c r="AA24" s="236"/>
      <c r="AB24" s="236">
        <f t="shared" si="4"/>
        <v>44.05</v>
      </c>
      <c r="AC24" s="236"/>
      <c r="AD24" s="197"/>
      <c r="AE24" s="197"/>
      <c r="AF24" s="197"/>
      <c r="AG24" s="197"/>
      <c r="AH24" s="176" t="s">
        <v>212</v>
      </c>
      <c r="AI24" s="177"/>
      <c r="AJ24" s="183"/>
      <c r="AK24" s="179"/>
      <c r="AL24" s="176" t="s">
        <v>213</v>
      </c>
      <c r="AM24" s="177"/>
      <c r="AN24" s="178" t="str">
        <f t="shared" si="5"/>
        <v/>
      </c>
      <c r="AO24" s="202"/>
    </row>
    <row r="25" spans="1:42" ht="23.1" customHeight="1">
      <c r="A25" s="180" t="s">
        <v>211</v>
      </c>
      <c r="B25" s="180"/>
      <c r="C25" s="179" t="s">
        <v>203</v>
      </c>
      <c r="D25" s="179"/>
      <c r="E25" s="182"/>
      <c r="F25" s="113" t="s">
        <v>200</v>
      </c>
      <c r="G25" s="183" t="s">
        <v>204</v>
      </c>
      <c r="H25" s="179"/>
      <c r="I25" s="179"/>
      <c r="J25" s="222">
        <v>1784</v>
      </c>
      <c r="K25" s="223"/>
      <c r="L25" s="222">
        <f>L26+AI15</f>
        <v>7348</v>
      </c>
      <c r="M25" s="223"/>
      <c r="N25" s="230">
        <f>L25/24/60/60</f>
        <v>8.50462962962963E-2</v>
      </c>
      <c r="O25" s="231"/>
      <c r="P25" s="222">
        <v>450</v>
      </c>
      <c r="Q25" s="223"/>
      <c r="R25" s="224">
        <f>IF(P25&lt;=600,100,IF(P25&gt;=1000,120,110))</f>
        <v>100</v>
      </c>
      <c r="S25" s="225"/>
      <c r="T25" s="226">
        <f>10.666*R25^(-1.85)*(P25/1000)^(-4.87)*N25^1.85</f>
        <v>1.0882260974684691E-3</v>
      </c>
      <c r="U25" s="227"/>
      <c r="V25" s="232">
        <f>0.35464*R25*(P25/1000)^(0.63)*T25^(0.54)</f>
        <v>0.53844324861800652</v>
      </c>
      <c r="W25" s="233"/>
      <c r="X25" s="234">
        <f>ROUND(T25*J25,2)</f>
        <v>1.94</v>
      </c>
      <c r="Y25" s="235"/>
      <c r="Z25" s="236">
        <f t="shared" si="7"/>
        <v>44.05</v>
      </c>
      <c r="AA25" s="236"/>
      <c r="AB25" s="236">
        <f>Z25-X25+AJ25</f>
        <v>42.11</v>
      </c>
      <c r="AC25" s="236"/>
      <c r="AD25" s="197"/>
      <c r="AE25" s="197"/>
      <c r="AF25" s="197"/>
      <c r="AG25" s="197"/>
      <c r="AH25" s="176" t="s">
        <v>212</v>
      </c>
      <c r="AI25" s="177"/>
      <c r="AJ25" s="183"/>
      <c r="AK25" s="179"/>
      <c r="AL25" s="176" t="s">
        <v>213</v>
      </c>
      <c r="AM25" s="177"/>
      <c r="AN25" s="178" t="str">
        <f>IF(AD25="","",AB25-AD25)</f>
        <v/>
      </c>
      <c r="AO25" s="202"/>
    </row>
    <row r="26" spans="1:42" ht="23.1" customHeight="1">
      <c r="A26" s="180" t="s">
        <v>216</v>
      </c>
      <c r="B26" s="180"/>
      <c r="C26" s="179" t="s">
        <v>204</v>
      </c>
      <c r="D26" s="179"/>
      <c r="E26" s="182"/>
      <c r="F26" s="113" t="s">
        <v>200</v>
      </c>
      <c r="G26" s="183" t="s">
        <v>205</v>
      </c>
      <c r="H26" s="179"/>
      <c r="I26" s="179"/>
      <c r="J26" s="222">
        <v>5675</v>
      </c>
      <c r="K26" s="223"/>
      <c r="L26" s="222">
        <f>L27</f>
        <v>6063</v>
      </c>
      <c r="M26" s="223"/>
      <c r="N26" s="230">
        <f>L26/24/60/60</f>
        <v>7.0173611111111103E-2</v>
      </c>
      <c r="O26" s="231"/>
      <c r="P26" s="222">
        <v>450</v>
      </c>
      <c r="Q26" s="223"/>
      <c r="R26" s="224">
        <f>IF(P26&lt;=600,100,IF(P26&gt;=1000,120,110))</f>
        <v>100</v>
      </c>
      <c r="S26" s="225"/>
      <c r="T26" s="226">
        <f>10.666*R26^(-1.85)*(P26/1000)^(-4.87)*N26^1.85</f>
        <v>7.6256736453663007E-4</v>
      </c>
      <c r="U26" s="227"/>
      <c r="V26" s="232">
        <f>0.35464*R26*(P26/1000)^(0.63)*T26^(0.54)</f>
        <v>0.44436703943367034</v>
      </c>
      <c r="W26" s="233"/>
      <c r="X26" s="234">
        <f>ROUND(T26*J26,2)</f>
        <v>4.33</v>
      </c>
      <c r="Y26" s="235"/>
      <c r="Z26" s="236">
        <f t="shared" si="7"/>
        <v>42.11</v>
      </c>
      <c r="AA26" s="236"/>
      <c r="AB26" s="236">
        <f>Z26-X26+AJ26</f>
        <v>37.78</v>
      </c>
      <c r="AC26" s="236"/>
      <c r="AD26" s="197"/>
      <c r="AE26" s="197"/>
      <c r="AF26" s="197"/>
      <c r="AG26" s="197"/>
      <c r="AH26" s="176" t="s">
        <v>212</v>
      </c>
      <c r="AI26" s="177"/>
      <c r="AJ26" s="183"/>
      <c r="AK26" s="179"/>
      <c r="AL26" s="176" t="s">
        <v>213</v>
      </c>
      <c r="AM26" s="177"/>
      <c r="AN26" s="178" t="str">
        <f>IF(AD26="","",AB26-AD26)</f>
        <v/>
      </c>
      <c r="AO26" s="202"/>
    </row>
    <row r="27" spans="1:42" ht="23.1" customHeight="1">
      <c r="A27" s="180" t="s">
        <v>325</v>
      </c>
      <c r="B27" s="180"/>
      <c r="C27" s="179" t="s">
        <v>205</v>
      </c>
      <c r="D27" s="179"/>
      <c r="E27" s="182"/>
      <c r="F27" s="113" t="s">
        <v>200</v>
      </c>
      <c r="G27" s="183" t="s">
        <v>207</v>
      </c>
      <c r="H27" s="179"/>
      <c r="I27" s="179"/>
      <c r="J27" s="222">
        <v>454</v>
      </c>
      <c r="K27" s="223"/>
      <c r="L27" s="222">
        <f>배분계획!G21</f>
        <v>6063</v>
      </c>
      <c r="M27" s="223"/>
      <c r="N27" s="230">
        <f t="shared" si="6"/>
        <v>7.0173611111111103E-2</v>
      </c>
      <c r="O27" s="231"/>
      <c r="P27" s="222">
        <v>250</v>
      </c>
      <c r="Q27" s="223"/>
      <c r="R27" s="224">
        <f t="shared" si="0"/>
        <v>100</v>
      </c>
      <c r="S27" s="225"/>
      <c r="T27" s="226">
        <f t="shared" si="1"/>
        <v>1.3349202304694573E-2</v>
      </c>
      <c r="U27" s="227"/>
      <c r="V27" s="232">
        <f t="shared" si="2"/>
        <v>1.4395799646361469</v>
      </c>
      <c r="W27" s="233"/>
      <c r="X27" s="234">
        <f t="shared" si="3"/>
        <v>6.06</v>
      </c>
      <c r="Y27" s="235"/>
      <c r="Z27" s="236">
        <f t="shared" si="7"/>
        <v>37.78</v>
      </c>
      <c r="AA27" s="236"/>
      <c r="AB27" s="236">
        <f t="shared" si="4"/>
        <v>61.72</v>
      </c>
      <c r="AC27" s="236"/>
      <c r="AD27" s="196">
        <v>46.5</v>
      </c>
      <c r="AE27" s="196"/>
      <c r="AF27" s="196">
        <v>43</v>
      </c>
      <c r="AG27" s="196"/>
      <c r="AH27" s="176" t="s">
        <v>212</v>
      </c>
      <c r="AI27" s="177"/>
      <c r="AJ27" s="192">
        <v>30</v>
      </c>
      <c r="AK27" s="193"/>
      <c r="AL27" s="176" t="s">
        <v>213</v>
      </c>
      <c r="AM27" s="177"/>
      <c r="AN27" s="178">
        <f t="shared" si="5"/>
        <v>15.219999999999999</v>
      </c>
      <c r="AO27" s="202"/>
    </row>
    <row r="28" spans="1:42" s="114" customFormat="1" ht="23.1" customHeight="1">
      <c r="A28" s="111" t="s">
        <v>381</v>
      </c>
    </row>
    <row r="30" spans="1:42" ht="23.1" customHeight="1"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6"/>
      <c r="AK30" s="119"/>
      <c r="AL30" s="119"/>
      <c r="AM30" s="119"/>
    </row>
    <row r="31" spans="1:42" ht="23.1" customHeight="1"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6"/>
      <c r="AK31" s="119"/>
      <c r="AL31" s="119"/>
      <c r="AM31" s="119"/>
    </row>
    <row r="32" spans="1:42" ht="23.1" customHeight="1"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6"/>
      <c r="AK32" s="116"/>
      <c r="AL32" s="116"/>
      <c r="AM32" s="116"/>
    </row>
    <row r="33" spans="1:42" ht="23.1" customHeight="1"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</row>
    <row r="34" spans="1:42" ht="23.1" customHeight="1"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6"/>
      <c r="AJ34" s="116"/>
      <c r="AK34" s="116"/>
      <c r="AL34" s="117"/>
      <c r="AM34" s="118"/>
      <c r="AN34" s="118"/>
    </row>
    <row r="35" spans="1:42" ht="23.1" customHeight="1"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8"/>
      <c r="AN35" s="118"/>
    </row>
    <row r="36" spans="1:42" ht="23.1" customHeight="1"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</row>
    <row r="37" spans="1:42" ht="23.1" customHeight="1">
      <c r="B37" s="198" t="s">
        <v>275</v>
      </c>
      <c r="C37" s="209"/>
      <c r="D37" s="209"/>
      <c r="E37" s="210"/>
      <c r="F37" s="112"/>
      <c r="G37" s="206" t="s">
        <v>235</v>
      </c>
      <c r="H37" s="206"/>
      <c r="I37" s="206"/>
      <c r="J37" s="117"/>
      <c r="K37" s="198" t="s">
        <v>264</v>
      </c>
      <c r="L37" s="203"/>
      <c r="M37" s="203"/>
      <c r="N37" s="199"/>
      <c r="O37" s="117"/>
      <c r="P37" s="206" t="s">
        <v>236</v>
      </c>
      <c r="Q37" s="206"/>
      <c r="R37" s="206"/>
      <c r="S37" s="116"/>
      <c r="T37" s="198" t="s">
        <v>218</v>
      </c>
      <c r="U37" s="209"/>
      <c r="V37" s="209"/>
      <c r="W37" s="210"/>
      <c r="X37" s="116"/>
      <c r="Y37" s="117"/>
      <c r="Z37" s="117"/>
      <c r="AA37" s="116"/>
      <c r="AB37" s="116"/>
      <c r="AC37" s="116"/>
      <c r="AD37" s="117"/>
      <c r="AE37" s="117"/>
      <c r="AF37" s="116"/>
      <c r="AG37" s="116"/>
      <c r="AH37" s="116"/>
      <c r="AI37" s="117"/>
      <c r="AJ37" s="116"/>
      <c r="AK37" s="116"/>
      <c r="AL37" s="116"/>
      <c r="AM37" s="116"/>
    </row>
    <row r="38" spans="1:42" ht="23.1" customHeight="1">
      <c r="B38" s="200" t="s">
        <v>234</v>
      </c>
      <c r="C38" s="204"/>
      <c r="D38" s="204"/>
      <c r="E38" s="201"/>
      <c r="G38" s="110" t="s">
        <v>231</v>
      </c>
      <c r="H38" s="207">
        <f>P47</f>
        <v>300</v>
      </c>
      <c r="I38" s="207"/>
      <c r="J38" s="117"/>
      <c r="K38" s="200" t="s">
        <v>222</v>
      </c>
      <c r="L38" s="204"/>
      <c r="M38" s="205">
        <f>AJ48</f>
        <v>0</v>
      </c>
      <c r="N38" s="220"/>
      <c r="O38" s="117"/>
      <c r="P38" s="110" t="s">
        <v>231</v>
      </c>
      <c r="Q38" s="207">
        <f>P48</f>
        <v>250</v>
      </c>
      <c r="R38" s="207"/>
      <c r="S38" s="118"/>
      <c r="T38" s="200" t="s">
        <v>223</v>
      </c>
      <c r="U38" s="204"/>
      <c r="V38" s="205">
        <v>29.9</v>
      </c>
      <c r="W38" s="201"/>
      <c r="X38" s="118"/>
      <c r="Y38" s="117"/>
      <c r="Z38" s="117"/>
      <c r="AA38" s="117"/>
      <c r="AB38" s="118"/>
      <c r="AC38" s="118"/>
      <c r="AD38" s="117"/>
      <c r="AE38" s="117"/>
      <c r="AF38" s="117"/>
      <c r="AG38" s="118"/>
      <c r="AH38" s="118"/>
      <c r="AI38" s="117"/>
      <c r="AJ38" s="116"/>
      <c r="AK38" s="116"/>
      <c r="AL38" s="116"/>
      <c r="AM38" s="116"/>
    </row>
    <row r="39" spans="1:42" ht="23.1" customHeight="1">
      <c r="G39" s="110" t="s">
        <v>232</v>
      </c>
      <c r="H39" s="221">
        <f>J47</f>
        <v>66</v>
      </c>
      <c r="I39" s="221"/>
      <c r="J39" s="117"/>
      <c r="K39" s="117"/>
      <c r="L39" s="117"/>
      <c r="M39" s="118"/>
      <c r="N39" s="118"/>
      <c r="O39" s="117"/>
      <c r="P39" s="110" t="s">
        <v>232</v>
      </c>
      <c r="Q39" s="221">
        <f>J48</f>
        <v>1576</v>
      </c>
      <c r="R39" s="221"/>
      <c r="S39" s="118"/>
      <c r="T39" s="117"/>
      <c r="U39" s="117"/>
      <c r="V39" s="117"/>
      <c r="W39" s="118"/>
      <c r="X39" s="118"/>
      <c r="Y39" s="117"/>
      <c r="Z39" s="117"/>
      <c r="AA39" s="117"/>
      <c r="AB39" s="118"/>
      <c r="AC39" s="118"/>
      <c r="AD39" s="117"/>
      <c r="AE39" s="117"/>
      <c r="AF39" s="117"/>
      <c r="AG39" s="118"/>
      <c r="AH39" s="118"/>
      <c r="AI39" s="117"/>
      <c r="AJ39" s="117"/>
      <c r="AK39" s="117"/>
      <c r="AL39" s="117"/>
      <c r="AM39" s="117"/>
    </row>
    <row r="40" spans="1:42" ht="23.1" customHeight="1"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</row>
    <row r="41" spans="1:42" ht="23.1" customHeight="1">
      <c r="I41" s="116"/>
      <c r="J41" s="116"/>
      <c r="K41" s="116"/>
      <c r="L41" s="116"/>
      <c r="M41" s="117"/>
      <c r="N41" s="116"/>
      <c r="O41" s="116"/>
      <c r="P41" s="116"/>
      <c r="Q41" s="116"/>
      <c r="R41" s="117"/>
      <c r="S41" s="116"/>
      <c r="T41" s="116"/>
      <c r="U41" s="116"/>
      <c r="V41" s="116"/>
      <c r="W41" s="117"/>
      <c r="X41" s="116"/>
      <c r="Y41" s="116"/>
      <c r="Z41" s="116"/>
      <c r="AA41" s="116"/>
      <c r="AB41" s="117"/>
      <c r="AC41" s="116"/>
      <c r="AD41" s="116"/>
      <c r="AE41" s="116"/>
      <c r="AF41" s="116"/>
      <c r="AG41" s="117"/>
      <c r="AH41" s="117"/>
      <c r="AI41" s="117"/>
      <c r="AJ41" s="117"/>
      <c r="AK41" s="117"/>
      <c r="AL41" s="117"/>
      <c r="AM41" s="117"/>
    </row>
    <row r="42" spans="1:42" ht="23.1" customHeight="1">
      <c r="I42" s="117"/>
      <c r="J42" s="116"/>
      <c r="K42" s="116"/>
      <c r="L42" s="116"/>
      <c r="M42" s="117"/>
      <c r="N42" s="117"/>
      <c r="O42" s="116"/>
      <c r="P42" s="116"/>
      <c r="Q42" s="116"/>
      <c r="R42" s="117"/>
      <c r="S42" s="117"/>
      <c r="T42" s="116"/>
      <c r="U42" s="116"/>
      <c r="V42" s="116"/>
      <c r="W42" s="117"/>
      <c r="X42" s="117"/>
      <c r="Y42" s="116"/>
      <c r="Z42" s="116"/>
      <c r="AA42" s="116"/>
      <c r="AB42" s="117"/>
      <c r="AC42" s="117"/>
      <c r="AD42" s="116"/>
      <c r="AE42" s="116"/>
      <c r="AF42" s="116"/>
      <c r="AG42" s="117"/>
      <c r="AH42" s="117"/>
      <c r="AI42" s="117"/>
      <c r="AJ42" s="117"/>
      <c r="AK42" s="117"/>
      <c r="AL42" s="117"/>
      <c r="AM42" s="117"/>
    </row>
    <row r="45" spans="1:42" ht="23.1" customHeight="1">
      <c r="A45" s="179" t="s">
        <v>179</v>
      </c>
      <c r="B45" s="179"/>
      <c r="C45" s="179" t="s">
        <v>180</v>
      </c>
      <c r="D45" s="179"/>
      <c r="E45" s="179"/>
      <c r="F45" s="179"/>
      <c r="G45" s="179"/>
      <c r="H45" s="179"/>
      <c r="I45" s="179"/>
      <c r="J45" s="181" t="s">
        <v>195</v>
      </c>
      <c r="K45" s="179"/>
      <c r="L45" s="179" t="s">
        <v>181</v>
      </c>
      <c r="M45" s="179"/>
      <c r="N45" s="179"/>
      <c r="O45" s="179"/>
      <c r="P45" s="181" t="s">
        <v>189</v>
      </c>
      <c r="Q45" s="179"/>
      <c r="R45" s="181" t="s">
        <v>190</v>
      </c>
      <c r="S45" s="179"/>
      <c r="T45" s="181" t="s">
        <v>191</v>
      </c>
      <c r="U45" s="179"/>
      <c r="V45" s="181" t="s">
        <v>193</v>
      </c>
      <c r="W45" s="179"/>
      <c r="X45" s="181" t="s">
        <v>194</v>
      </c>
      <c r="Y45" s="179"/>
      <c r="Z45" s="179" t="s">
        <v>196</v>
      </c>
      <c r="AA45" s="179"/>
      <c r="AB45" s="179"/>
      <c r="AC45" s="179"/>
      <c r="AD45" s="179" t="s">
        <v>184</v>
      </c>
      <c r="AE45" s="179"/>
      <c r="AF45" s="179"/>
      <c r="AG45" s="179"/>
      <c r="AH45" s="179" t="s">
        <v>187</v>
      </c>
      <c r="AI45" s="179"/>
      <c r="AJ45" s="179"/>
      <c r="AK45" s="179"/>
      <c r="AL45" s="179"/>
      <c r="AM45" s="179"/>
      <c r="AN45" s="179"/>
      <c r="AO45" s="179"/>
      <c r="AP45" s="116"/>
    </row>
    <row r="46" spans="1:42" ht="23.1" customHeigh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 t="s">
        <v>197</v>
      </c>
      <c r="M46" s="179"/>
      <c r="N46" s="179" t="s">
        <v>188</v>
      </c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 t="s">
        <v>182</v>
      </c>
      <c r="AA46" s="179"/>
      <c r="AB46" s="179" t="s">
        <v>183</v>
      </c>
      <c r="AC46" s="179"/>
      <c r="AD46" s="179" t="s">
        <v>185</v>
      </c>
      <c r="AE46" s="179"/>
      <c r="AF46" s="179" t="s">
        <v>186</v>
      </c>
      <c r="AG46" s="179"/>
      <c r="AH46" s="179"/>
      <c r="AI46" s="179"/>
      <c r="AJ46" s="179"/>
      <c r="AK46" s="179"/>
      <c r="AL46" s="179"/>
      <c r="AM46" s="179"/>
      <c r="AN46" s="179"/>
      <c r="AO46" s="179"/>
      <c r="AP46" s="116"/>
    </row>
    <row r="47" spans="1:42" ht="23.1" customHeight="1">
      <c r="A47" s="180" t="s">
        <v>237</v>
      </c>
      <c r="B47" s="180"/>
      <c r="C47" s="179" t="s">
        <v>275</v>
      </c>
      <c r="D47" s="179"/>
      <c r="E47" s="182"/>
      <c r="F47" s="113" t="s">
        <v>200</v>
      </c>
      <c r="G47" s="183" t="s">
        <v>265</v>
      </c>
      <c r="H47" s="179"/>
      <c r="I47" s="179"/>
      <c r="J47" s="222">
        <v>66</v>
      </c>
      <c r="K47" s="223"/>
      <c r="L47" s="222">
        <f>L48</f>
        <v>1601</v>
      </c>
      <c r="M47" s="223"/>
      <c r="N47" s="230">
        <f>L47/24/60/60</f>
        <v>1.8530092592592591E-2</v>
      </c>
      <c r="O47" s="231"/>
      <c r="P47" s="222">
        <v>300</v>
      </c>
      <c r="Q47" s="223"/>
      <c r="R47" s="224">
        <f>IF(P47&lt;=600,100,IF(P47&gt;=1000,120,110))</f>
        <v>100</v>
      </c>
      <c r="S47" s="225"/>
      <c r="T47" s="230">
        <f>10.666*R47^(-1.85)*(P47/1000)^(-4.87)*N47^1.85</f>
        <v>4.6772933556844554E-4</v>
      </c>
      <c r="U47" s="231"/>
      <c r="V47" s="232">
        <f>0.35464*R47*(P47/1000)^(0.63)*T47^(0.54)</f>
        <v>0.26434505935921937</v>
      </c>
      <c r="W47" s="233"/>
      <c r="X47" s="234">
        <f>ROUND(T47*J47,2)</f>
        <v>0.03</v>
      </c>
      <c r="Y47" s="235"/>
      <c r="Z47" s="236">
        <f>AB22</f>
        <v>49.66</v>
      </c>
      <c r="AA47" s="236"/>
      <c r="AB47" s="236">
        <f>Z47-X47+AJ47</f>
        <v>49.629999999999995</v>
      </c>
      <c r="AC47" s="236"/>
      <c r="AD47" s="197"/>
      <c r="AE47" s="197"/>
      <c r="AF47" s="197"/>
      <c r="AG47" s="197"/>
      <c r="AH47" s="176" t="s">
        <v>212</v>
      </c>
      <c r="AI47" s="177"/>
      <c r="AJ47" s="183"/>
      <c r="AK47" s="179"/>
      <c r="AL47" s="176" t="s">
        <v>213</v>
      </c>
      <c r="AM47" s="177"/>
      <c r="AN47" s="178" t="str">
        <f>IF(AD47="","",AB47-AD47)</f>
        <v/>
      </c>
      <c r="AO47" s="202"/>
    </row>
    <row r="48" spans="1:42" ht="23.1" customHeight="1">
      <c r="A48" s="180" t="s">
        <v>238</v>
      </c>
      <c r="B48" s="180"/>
      <c r="C48" s="182" t="s">
        <v>265</v>
      </c>
      <c r="D48" s="211"/>
      <c r="E48" s="211"/>
      <c r="F48" s="113" t="s">
        <v>200</v>
      </c>
      <c r="G48" s="183" t="s">
        <v>218</v>
      </c>
      <c r="H48" s="179"/>
      <c r="I48" s="179"/>
      <c r="J48" s="222">
        <v>1576</v>
      </c>
      <c r="K48" s="223"/>
      <c r="L48" s="222">
        <f>배분계획!G12-L49</f>
        <v>1601</v>
      </c>
      <c r="M48" s="223"/>
      <c r="N48" s="230">
        <f>L48/24/60/60</f>
        <v>1.8530092592592591E-2</v>
      </c>
      <c r="O48" s="231"/>
      <c r="P48" s="222">
        <v>250</v>
      </c>
      <c r="Q48" s="223"/>
      <c r="R48" s="224">
        <f>IF(P48&lt;=600,100,IF(P48&gt;=1000,120,110))</f>
        <v>100</v>
      </c>
      <c r="S48" s="225"/>
      <c r="T48" s="230">
        <f>10.666*R48^(-1.85)*(P48/1000)^(-4.87)*N48^1.85</f>
        <v>1.1365990208581768E-3</v>
      </c>
      <c r="U48" s="231"/>
      <c r="V48" s="232">
        <f>0.35464*R48*(P48/1000)^(0.63)*T48^(0.54)</f>
        <v>0.38064300533914924</v>
      </c>
      <c r="W48" s="233"/>
      <c r="X48" s="234">
        <f>ROUND(T48*J48,2)</f>
        <v>1.79</v>
      </c>
      <c r="Y48" s="235"/>
      <c r="Z48" s="236">
        <f>AB47</f>
        <v>49.629999999999995</v>
      </c>
      <c r="AA48" s="236"/>
      <c r="AB48" s="236">
        <f>Z48-X48+AJ48</f>
        <v>47.839999999999996</v>
      </c>
      <c r="AC48" s="236"/>
      <c r="AD48" s="196">
        <v>29.9</v>
      </c>
      <c r="AE48" s="196"/>
      <c r="AF48" s="196">
        <v>26.9</v>
      </c>
      <c r="AG48" s="196"/>
      <c r="AH48" s="176" t="s">
        <v>212</v>
      </c>
      <c r="AI48" s="177"/>
      <c r="AJ48" s="183">
        <v>0</v>
      </c>
      <c r="AK48" s="179"/>
      <c r="AL48" s="176" t="s">
        <v>213</v>
      </c>
      <c r="AM48" s="177"/>
      <c r="AN48" s="178">
        <f>IF(AD48="","",AB48-AD48)</f>
        <v>17.939999999999998</v>
      </c>
      <c r="AO48" s="202"/>
    </row>
    <row r="49" spans="1:41" ht="23.1" customHeight="1">
      <c r="A49" s="212" t="s">
        <v>300</v>
      </c>
      <c r="B49" s="253"/>
      <c r="C49" s="253"/>
      <c r="D49" s="253"/>
      <c r="E49" s="253"/>
      <c r="F49" s="253"/>
      <c r="G49" s="253"/>
      <c r="H49" s="253"/>
      <c r="I49" s="213"/>
      <c r="J49" s="184"/>
      <c r="K49" s="185"/>
      <c r="L49" s="188"/>
      <c r="M49" s="189"/>
      <c r="N49" s="186"/>
      <c r="O49" s="187"/>
      <c r="P49" s="184"/>
      <c r="Q49" s="185"/>
      <c r="R49" s="188"/>
      <c r="S49" s="189"/>
      <c r="T49" s="190"/>
      <c r="U49" s="191"/>
      <c r="V49" s="194"/>
      <c r="W49" s="195"/>
      <c r="X49" s="194"/>
      <c r="Y49" s="195"/>
      <c r="Z49" s="197"/>
      <c r="AA49" s="197"/>
      <c r="AB49" s="197"/>
      <c r="AC49" s="197"/>
      <c r="AD49" s="196"/>
      <c r="AE49" s="196"/>
      <c r="AF49" s="196"/>
      <c r="AG49" s="196"/>
      <c r="AH49" s="176"/>
      <c r="AI49" s="177"/>
      <c r="AJ49" s="183"/>
      <c r="AK49" s="179"/>
      <c r="AL49" s="176"/>
      <c r="AM49" s="177"/>
      <c r="AN49" s="178"/>
      <c r="AO49" s="202"/>
    </row>
    <row r="55" spans="1:41" s="114" customFormat="1" ht="23.1" customHeight="1">
      <c r="A55" s="111" t="s">
        <v>382</v>
      </c>
    </row>
    <row r="57" spans="1:41" ht="23.1" customHeight="1"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6"/>
      <c r="AK57" s="119"/>
      <c r="AL57" s="119"/>
      <c r="AM57" s="119"/>
    </row>
    <row r="58" spans="1:41" ht="23.1" customHeight="1"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98" t="s">
        <v>339</v>
      </c>
      <c r="V58" s="203"/>
      <c r="W58" s="203"/>
      <c r="X58" s="199"/>
      <c r="Y58" s="117"/>
      <c r="Z58" s="117"/>
      <c r="AA58" s="117"/>
      <c r="AB58" s="117"/>
      <c r="AC58" s="117"/>
      <c r="AD58" s="116"/>
      <c r="AE58" s="116"/>
      <c r="AF58" s="116"/>
      <c r="AG58" s="116"/>
      <c r="AH58" s="198" t="s">
        <v>274</v>
      </c>
      <c r="AI58" s="203"/>
      <c r="AJ58" s="203"/>
      <c r="AK58" s="199"/>
      <c r="AL58" s="119"/>
      <c r="AM58" s="119"/>
    </row>
    <row r="59" spans="1:41" ht="23.1" customHeight="1"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5" t="s">
        <v>233</v>
      </c>
      <c r="V59" s="229">
        <f>배분계획!G19+배분계획!G20+배분계획!G5+배분계획!G6+배분계획!G11</f>
        <v>8375</v>
      </c>
      <c r="W59" s="204"/>
      <c r="X59" s="201"/>
      <c r="Y59" s="117"/>
      <c r="Z59" s="117"/>
      <c r="AA59" s="117"/>
      <c r="AB59" s="117"/>
      <c r="AC59" s="117"/>
      <c r="AD59" s="116"/>
      <c r="AE59" s="116"/>
      <c r="AF59" s="128"/>
      <c r="AG59" s="128"/>
      <c r="AH59" s="200" t="s">
        <v>223</v>
      </c>
      <c r="AI59" s="204"/>
      <c r="AJ59" s="205">
        <f>AD78</f>
        <v>66.599999999999994</v>
      </c>
      <c r="AK59" s="220"/>
      <c r="AL59" s="116"/>
      <c r="AM59" s="116"/>
    </row>
    <row r="60" spans="1:41" ht="23.1" customHeight="1"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</row>
    <row r="61" spans="1:41" ht="23.1" customHeight="1"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206" t="s">
        <v>152</v>
      </c>
      <c r="AH61" s="206"/>
      <c r="AI61" s="206"/>
      <c r="AJ61" s="110" t="s">
        <v>231</v>
      </c>
      <c r="AK61" s="207">
        <f>P78</f>
        <v>200</v>
      </c>
      <c r="AL61" s="207"/>
      <c r="AM61" s="118"/>
      <c r="AN61" s="118"/>
    </row>
    <row r="62" spans="1:41" ht="23.1" customHeight="1">
      <c r="I62" s="198" t="s">
        <v>257</v>
      </c>
      <c r="J62" s="203"/>
      <c r="K62" s="203"/>
      <c r="L62" s="199"/>
      <c r="M62" s="117"/>
      <c r="N62" s="198" t="s">
        <v>250</v>
      </c>
      <c r="O62" s="203"/>
      <c r="P62" s="203"/>
      <c r="Q62" s="199"/>
      <c r="R62" s="117"/>
      <c r="S62" s="117"/>
      <c r="T62" s="117"/>
      <c r="U62" s="198" t="s">
        <v>269</v>
      </c>
      <c r="V62" s="203"/>
      <c r="W62" s="203"/>
      <c r="X62" s="199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0" t="s">
        <v>232</v>
      </c>
      <c r="AK62" s="221">
        <f>J78</f>
        <v>798</v>
      </c>
      <c r="AL62" s="221"/>
      <c r="AM62" s="118"/>
      <c r="AN62" s="118"/>
    </row>
    <row r="63" spans="1:41" ht="23.1" customHeight="1">
      <c r="I63" s="200" t="s">
        <v>234</v>
      </c>
      <c r="J63" s="204"/>
      <c r="K63" s="205">
        <f>AB74</f>
        <v>39.36</v>
      </c>
      <c r="L63" s="201"/>
      <c r="M63" s="117"/>
      <c r="N63" s="200" t="s">
        <v>234</v>
      </c>
      <c r="O63" s="204"/>
      <c r="P63" s="205">
        <f>AB75</f>
        <v>41.32</v>
      </c>
      <c r="Q63" s="201"/>
      <c r="R63" s="117"/>
      <c r="S63" s="117"/>
      <c r="T63" s="117"/>
      <c r="U63" s="200" t="s">
        <v>222</v>
      </c>
      <c r="V63" s="204"/>
      <c r="W63" s="205">
        <v>90</v>
      </c>
      <c r="X63" s="201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</row>
    <row r="64" spans="1:41" ht="23.1" customHeight="1">
      <c r="B64" s="198" t="s">
        <v>203</v>
      </c>
      <c r="C64" s="209"/>
      <c r="D64" s="209"/>
      <c r="E64" s="210"/>
      <c r="F64" s="112"/>
      <c r="G64" s="206" t="s">
        <v>241</v>
      </c>
      <c r="H64" s="206"/>
      <c r="I64" s="206"/>
      <c r="J64" s="117"/>
      <c r="K64" s="121"/>
      <c r="L64" s="206" t="s">
        <v>245</v>
      </c>
      <c r="M64" s="206"/>
      <c r="N64" s="206"/>
      <c r="O64" s="122"/>
      <c r="P64" s="116"/>
      <c r="Q64" s="206" t="s">
        <v>246</v>
      </c>
      <c r="R64" s="206"/>
      <c r="S64" s="206"/>
      <c r="T64" s="121"/>
      <c r="U64" s="198" t="s">
        <v>247</v>
      </c>
      <c r="V64" s="203"/>
      <c r="W64" s="203"/>
      <c r="X64" s="199"/>
      <c r="Y64" s="116"/>
      <c r="Z64" s="206" t="s">
        <v>337</v>
      </c>
      <c r="AA64" s="206"/>
      <c r="AB64" s="206"/>
      <c r="AC64" s="116"/>
      <c r="AD64" s="198" t="s">
        <v>219</v>
      </c>
      <c r="AE64" s="203"/>
      <c r="AF64" s="203"/>
      <c r="AG64" s="199"/>
      <c r="AH64" s="198" t="s">
        <v>338</v>
      </c>
      <c r="AI64" s="203"/>
      <c r="AJ64" s="203"/>
      <c r="AK64" s="199"/>
      <c r="AL64" s="119"/>
      <c r="AM64" s="116"/>
    </row>
    <row r="65" spans="1:47" ht="23.1" customHeight="1">
      <c r="B65" s="200" t="s">
        <v>234</v>
      </c>
      <c r="C65" s="204"/>
      <c r="D65" s="205">
        <f>Z74</f>
        <v>44.05</v>
      </c>
      <c r="E65" s="201"/>
      <c r="G65" s="110" t="s">
        <v>231</v>
      </c>
      <c r="H65" s="207">
        <f>P74</f>
        <v>700</v>
      </c>
      <c r="I65" s="207"/>
      <c r="J65" s="117"/>
      <c r="K65" s="121"/>
      <c r="L65" s="110" t="s">
        <v>231</v>
      </c>
      <c r="M65" s="207">
        <f>P75</f>
        <v>700</v>
      </c>
      <c r="N65" s="207"/>
      <c r="O65" s="122"/>
      <c r="P65" s="116"/>
      <c r="Q65" s="110" t="s">
        <v>231</v>
      </c>
      <c r="R65" s="207">
        <f>P76</f>
        <v>500</v>
      </c>
      <c r="S65" s="207"/>
      <c r="T65" s="121"/>
      <c r="U65" s="200" t="s">
        <v>222</v>
      </c>
      <c r="V65" s="204"/>
      <c r="W65" s="205">
        <f>AJ77</f>
        <v>50</v>
      </c>
      <c r="X65" s="201"/>
      <c r="Y65" s="116"/>
      <c r="Z65" s="110" t="s">
        <v>231</v>
      </c>
      <c r="AA65" s="207">
        <f>P77</f>
        <v>500</v>
      </c>
      <c r="AB65" s="207"/>
      <c r="AC65" s="116"/>
      <c r="AD65" s="200" t="s">
        <v>223</v>
      </c>
      <c r="AE65" s="204"/>
      <c r="AF65" s="205">
        <f>AD77</f>
        <v>44.3</v>
      </c>
      <c r="AG65" s="220"/>
      <c r="AH65" s="200" t="s">
        <v>222</v>
      </c>
      <c r="AI65" s="204"/>
      <c r="AJ65" s="205">
        <f>AJ78</f>
        <v>41</v>
      </c>
      <c r="AK65" s="220"/>
      <c r="AL65" s="116"/>
      <c r="AM65" s="116"/>
    </row>
    <row r="66" spans="1:47" ht="23.1" customHeight="1">
      <c r="G66" s="110" t="s">
        <v>232</v>
      </c>
      <c r="H66" s="221">
        <f>J74</f>
        <v>1100</v>
      </c>
      <c r="I66" s="221"/>
      <c r="J66" s="117"/>
      <c r="K66" s="122"/>
      <c r="L66" s="110" t="s">
        <v>232</v>
      </c>
      <c r="M66" s="221">
        <f>J75</f>
        <v>701</v>
      </c>
      <c r="N66" s="221"/>
      <c r="O66" s="122"/>
      <c r="P66" s="122"/>
      <c r="Q66" s="110" t="s">
        <v>232</v>
      </c>
      <c r="R66" s="221">
        <f>J76</f>
        <v>2685</v>
      </c>
      <c r="S66" s="221"/>
      <c r="T66" s="122"/>
      <c r="V66" s="221"/>
      <c r="W66" s="221"/>
      <c r="X66" s="118"/>
      <c r="Y66" s="122"/>
      <c r="Z66" s="110" t="s">
        <v>232</v>
      </c>
      <c r="AA66" s="221">
        <f>J77</f>
        <v>864</v>
      </c>
      <c r="AB66" s="221"/>
      <c r="AC66" s="123"/>
      <c r="AE66" s="130"/>
      <c r="AF66" s="130"/>
      <c r="AG66" s="118"/>
      <c r="AH66" s="118"/>
      <c r="AI66" s="117"/>
      <c r="AJ66" s="117"/>
      <c r="AK66" s="117"/>
      <c r="AL66" s="117"/>
      <c r="AM66" s="117"/>
    </row>
    <row r="67" spans="1:47" ht="23.1" customHeight="1"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S67" s="112"/>
      <c r="AT67" s="112"/>
      <c r="AU67" s="112"/>
    </row>
    <row r="68" spans="1:47" ht="23.1" customHeight="1">
      <c r="I68" s="198" t="s">
        <v>244</v>
      </c>
      <c r="J68" s="203"/>
      <c r="K68" s="203"/>
      <c r="L68" s="199"/>
      <c r="M68" s="117"/>
      <c r="N68" s="198" t="s">
        <v>340</v>
      </c>
      <c r="O68" s="203"/>
      <c r="P68" s="203"/>
      <c r="Q68" s="199"/>
      <c r="R68" s="117"/>
      <c r="S68" s="116"/>
      <c r="T68" s="116"/>
      <c r="U68" s="116"/>
      <c r="V68" s="116"/>
      <c r="W68" s="117"/>
      <c r="X68" s="116"/>
      <c r="Y68" s="116"/>
      <c r="Z68" s="116"/>
      <c r="AA68" s="116"/>
      <c r="AB68" s="117"/>
      <c r="AC68" s="116"/>
      <c r="AD68" s="116"/>
      <c r="AE68" s="116"/>
      <c r="AF68" s="116"/>
      <c r="AG68" s="117"/>
      <c r="AH68" s="117"/>
      <c r="AI68" s="117"/>
      <c r="AJ68" s="117"/>
      <c r="AK68" s="117"/>
      <c r="AL68" s="117"/>
      <c r="AM68" s="117"/>
    </row>
    <row r="69" spans="1:47" ht="23.1" customHeight="1">
      <c r="I69" s="115" t="s">
        <v>233</v>
      </c>
      <c r="J69" s="229">
        <f>배분계획!G13</f>
        <v>2578</v>
      </c>
      <c r="K69" s="204"/>
      <c r="L69" s="201"/>
      <c r="M69" s="117"/>
      <c r="N69" s="115" t="s">
        <v>233</v>
      </c>
      <c r="O69" s="229">
        <f>배분계획!G17+배분계획!G18+배분계획!G16</f>
        <v>15529</v>
      </c>
      <c r="P69" s="204"/>
      <c r="Q69" s="201"/>
      <c r="R69" s="117"/>
      <c r="S69" s="117"/>
      <c r="T69" s="116"/>
      <c r="U69" s="116"/>
      <c r="V69" s="116"/>
      <c r="W69" s="117"/>
      <c r="X69" s="117"/>
      <c r="Y69" s="116"/>
      <c r="Z69" s="116"/>
      <c r="AA69" s="116"/>
      <c r="AB69" s="117"/>
      <c r="AC69" s="117"/>
      <c r="AD69" s="116"/>
      <c r="AE69" s="116"/>
      <c r="AF69" s="116"/>
      <c r="AG69" s="117"/>
      <c r="AH69" s="117"/>
      <c r="AI69" s="117"/>
      <c r="AJ69" s="117"/>
      <c r="AK69" s="117"/>
      <c r="AL69" s="117"/>
      <c r="AM69" s="117"/>
    </row>
    <row r="72" spans="1:47" ht="23.1" customHeight="1">
      <c r="A72" s="179" t="s">
        <v>179</v>
      </c>
      <c r="B72" s="179"/>
      <c r="C72" s="179" t="s">
        <v>180</v>
      </c>
      <c r="D72" s="179"/>
      <c r="E72" s="179"/>
      <c r="F72" s="179"/>
      <c r="G72" s="179"/>
      <c r="H72" s="179"/>
      <c r="I72" s="179"/>
      <c r="J72" s="181" t="s">
        <v>195</v>
      </c>
      <c r="K72" s="179"/>
      <c r="L72" s="179" t="s">
        <v>181</v>
      </c>
      <c r="M72" s="179"/>
      <c r="N72" s="179"/>
      <c r="O72" s="179"/>
      <c r="P72" s="181" t="s">
        <v>189</v>
      </c>
      <c r="Q72" s="179"/>
      <c r="R72" s="181" t="s">
        <v>190</v>
      </c>
      <c r="S72" s="179"/>
      <c r="T72" s="181" t="s">
        <v>191</v>
      </c>
      <c r="U72" s="179"/>
      <c r="V72" s="181" t="s">
        <v>193</v>
      </c>
      <c r="W72" s="179"/>
      <c r="X72" s="181" t="s">
        <v>194</v>
      </c>
      <c r="Y72" s="179"/>
      <c r="Z72" s="179" t="s">
        <v>196</v>
      </c>
      <c r="AA72" s="179"/>
      <c r="AB72" s="179"/>
      <c r="AC72" s="179"/>
      <c r="AD72" s="179" t="s">
        <v>184</v>
      </c>
      <c r="AE72" s="179"/>
      <c r="AF72" s="179"/>
      <c r="AG72" s="179"/>
      <c r="AH72" s="179" t="s">
        <v>187</v>
      </c>
      <c r="AI72" s="179"/>
      <c r="AJ72" s="179"/>
      <c r="AK72" s="179"/>
      <c r="AL72" s="179"/>
      <c r="AM72" s="179"/>
      <c r="AN72" s="179"/>
      <c r="AO72" s="179"/>
      <c r="AP72" s="116"/>
    </row>
    <row r="73" spans="1:47" ht="23.1" customHeight="1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 t="s">
        <v>197</v>
      </c>
      <c r="M73" s="179"/>
      <c r="N73" s="179" t="s">
        <v>188</v>
      </c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 t="s">
        <v>182</v>
      </c>
      <c r="AA73" s="179"/>
      <c r="AB73" s="179" t="s">
        <v>183</v>
      </c>
      <c r="AC73" s="179"/>
      <c r="AD73" s="179" t="s">
        <v>185</v>
      </c>
      <c r="AE73" s="179"/>
      <c r="AF73" s="179" t="s">
        <v>186</v>
      </c>
      <c r="AG73" s="179"/>
      <c r="AH73" s="179"/>
      <c r="AI73" s="179"/>
      <c r="AJ73" s="179"/>
      <c r="AK73" s="179"/>
      <c r="AL73" s="179"/>
      <c r="AM73" s="179"/>
      <c r="AN73" s="179"/>
      <c r="AO73" s="179"/>
      <c r="AP73" s="116"/>
    </row>
    <row r="74" spans="1:47" ht="23.1" customHeight="1">
      <c r="A74" s="180" t="s">
        <v>248</v>
      </c>
      <c r="B74" s="180"/>
      <c r="C74" s="179" t="s">
        <v>203</v>
      </c>
      <c r="D74" s="179"/>
      <c r="E74" s="182"/>
      <c r="F74" s="113" t="s">
        <v>200</v>
      </c>
      <c r="G74" s="183" t="s">
        <v>257</v>
      </c>
      <c r="H74" s="179"/>
      <c r="I74" s="179"/>
      <c r="J74" s="222">
        <v>1100</v>
      </c>
      <c r="K74" s="223"/>
      <c r="L74" s="222">
        <f>L75+J69</f>
        <v>54089</v>
      </c>
      <c r="M74" s="223"/>
      <c r="N74" s="230">
        <f>L74/24/60/60</f>
        <v>0.62603009259259268</v>
      </c>
      <c r="O74" s="231"/>
      <c r="P74" s="222">
        <v>700</v>
      </c>
      <c r="Q74" s="223"/>
      <c r="R74" s="224">
        <f>IF(P74&lt;=600,100,IF(P74&gt;=1000,120,110))</f>
        <v>110</v>
      </c>
      <c r="S74" s="225"/>
      <c r="T74" s="230">
        <f>10.666*R74^(-1.85)*(P74/1000)^(-4.87)*N74^1.85</f>
        <v>4.2608750138025901E-3</v>
      </c>
      <c r="U74" s="231"/>
      <c r="V74" s="232">
        <f>0.35464*R74*(P74/1000)^(0.63)*T74^(0.54)</f>
        <v>1.6350141591135807</v>
      </c>
      <c r="W74" s="233"/>
      <c r="X74" s="234">
        <f>ROUND(T74*J74,2)</f>
        <v>4.6900000000000004</v>
      </c>
      <c r="Y74" s="235"/>
      <c r="Z74" s="236">
        <f>AB24</f>
        <v>44.05</v>
      </c>
      <c r="AA74" s="236"/>
      <c r="AB74" s="236">
        <f>Z74-X74+AJ74</f>
        <v>39.36</v>
      </c>
      <c r="AC74" s="236"/>
      <c r="AD74" s="197"/>
      <c r="AE74" s="197"/>
      <c r="AF74" s="197"/>
      <c r="AG74" s="197"/>
      <c r="AH74" s="176" t="s">
        <v>212</v>
      </c>
      <c r="AI74" s="177"/>
      <c r="AJ74" s="183"/>
      <c r="AK74" s="179"/>
      <c r="AL74" s="176" t="s">
        <v>213</v>
      </c>
      <c r="AM74" s="177"/>
      <c r="AN74" s="178" t="str">
        <f>IF(AD74="","",AB74-AD74)</f>
        <v/>
      </c>
      <c r="AO74" s="202"/>
    </row>
    <row r="75" spans="1:47" ht="23.1" customHeight="1">
      <c r="A75" s="180" t="s">
        <v>333</v>
      </c>
      <c r="B75" s="180"/>
      <c r="C75" s="179" t="s">
        <v>257</v>
      </c>
      <c r="D75" s="179"/>
      <c r="E75" s="182"/>
      <c r="F75" s="113" t="s">
        <v>200</v>
      </c>
      <c r="G75" s="183" t="s">
        <v>250</v>
      </c>
      <c r="H75" s="179"/>
      <c r="I75" s="179"/>
      <c r="J75" s="222">
        <v>701</v>
      </c>
      <c r="K75" s="223"/>
      <c r="L75" s="222">
        <f>L76+O69</f>
        <v>51511</v>
      </c>
      <c r="M75" s="223"/>
      <c r="N75" s="230">
        <f>L75/24/60/60</f>
        <v>0.59619212962962964</v>
      </c>
      <c r="O75" s="231"/>
      <c r="P75" s="222">
        <v>700</v>
      </c>
      <c r="Q75" s="223"/>
      <c r="R75" s="224">
        <f>IF(P75&lt;=600,100,IF(P75&gt;=1000,120,110))</f>
        <v>110</v>
      </c>
      <c r="S75" s="225"/>
      <c r="T75" s="230">
        <f>10.666*R75^(-1.85)*(P75/1000)^(-4.87)*N75^1.85</f>
        <v>3.8928009566812118E-3</v>
      </c>
      <c r="U75" s="231"/>
      <c r="V75" s="232">
        <f>0.35464*R75*(P75/1000)^(0.63)*T75^(0.54)</f>
        <v>1.5571618523609656</v>
      </c>
      <c r="W75" s="233"/>
      <c r="X75" s="234">
        <f>ROUND(T75*J75,2)</f>
        <v>2.73</v>
      </c>
      <c r="Y75" s="235"/>
      <c r="Z75" s="236">
        <f>AB24</f>
        <v>44.05</v>
      </c>
      <c r="AA75" s="236"/>
      <c r="AB75" s="236">
        <f>Z75-X75+AJ75</f>
        <v>41.32</v>
      </c>
      <c r="AC75" s="236"/>
      <c r="AD75" s="197"/>
      <c r="AE75" s="197"/>
      <c r="AF75" s="197"/>
      <c r="AG75" s="197"/>
      <c r="AH75" s="176" t="s">
        <v>212</v>
      </c>
      <c r="AI75" s="177"/>
      <c r="AJ75" s="183"/>
      <c r="AK75" s="179"/>
      <c r="AL75" s="176" t="s">
        <v>213</v>
      </c>
      <c r="AM75" s="177"/>
      <c r="AN75" s="178" t="str">
        <f>IF(AD75="","",AB75-AD75)</f>
        <v/>
      </c>
      <c r="AO75" s="202"/>
    </row>
    <row r="76" spans="1:47" ht="23.1" customHeight="1">
      <c r="A76" s="180" t="s">
        <v>334</v>
      </c>
      <c r="B76" s="180"/>
      <c r="C76" s="182" t="s">
        <v>250</v>
      </c>
      <c r="D76" s="211"/>
      <c r="E76" s="211"/>
      <c r="F76" s="113" t="s">
        <v>200</v>
      </c>
      <c r="G76" s="246" t="s">
        <v>267</v>
      </c>
      <c r="H76" s="179"/>
      <c r="I76" s="179"/>
      <c r="J76" s="222">
        <v>2685</v>
      </c>
      <c r="K76" s="223"/>
      <c r="L76" s="222">
        <f>L77+V59</f>
        <v>35982</v>
      </c>
      <c r="M76" s="223"/>
      <c r="N76" s="230">
        <f>L76/24/60/60</f>
        <v>0.41645833333333332</v>
      </c>
      <c r="O76" s="231"/>
      <c r="P76" s="222">
        <v>500</v>
      </c>
      <c r="Q76" s="223"/>
      <c r="R76" s="224">
        <f>IF(P76&lt;=600,100,IF(P76&gt;=1000,120,110))</f>
        <v>100</v>
      </c>
      <c r="S76" s="225"/>
      <c r="T76" s="230">
        <f>10.666*R76^(-1.85)*(P76/1000)^(-4.87)*N76^1.85</f>
        <v>1.2309064238986422E-2</v>
      </c>
      <c r="U76" s="231"/>
      <c r="V76" s="232">
        <f>0.35464*R76*(P76/1000)^(0.63)*T76^(0.54)</f>
        <v>2.1323590890213846</v>
      </c>
      <c r="W76" s="233"/>
      <c r="X76" s="234">
        <f>ROUND(T76*J76,2)</f>
        <v>33.049999999999997</v>
      </c>
      <c r="Y76" s="235"/>
      <c r="Z76" s="236">
        <f>AB74</f>
        <v>39.36</v>
      </c>
      <c r="AA76" s="236"/>
      <c r="AB76" s="236">
        <f>Z76-X76+AJ76</f>
        <v>6.3100000000000023</v>
      </c>
      <c r="AC76" s="236"/>
      <c r="AD76" s="197"/>
      <c r="AE76" s="197"/>
      <c r="AF76" s="197"/>
      <c r="AG76" s="197"/>
      <c r="AH76" s="176" t="s">
        <v>212</v>
      </c>
      <c r="AI76" s="177"/>
      <c r="AJ76" s="183"/>
      <c r="AK76" s="179"/>
      <c r="AL76" s="176" t="s">
        <v>213</v>
      </c>
      <c r="AM76" s="177"/>
      <c r="AN76" s="178" t="str">
        <f>IF(AD76="","",AB76-AD76)</f>
        <v/>
      </c>
      <c r="AO76" s="202"/>
    </row>
    <row r="77" spans="1:47" ht="23.1" customHeight="1">
      <c r="A77" s="180" t="s">
        <v>335</v>
      </c>
      <c r="B77" s="180"/>
      <c r="C77" s="181" t="s">
        <v>267</v>
      </c>
      <c r="D77" s="179"/>
      <c r="E77" s="182"/>
      <c r="F77" s="113" t="s">
        <v>200</v>
      </c>
      <c r="G77" s="183" t="s">
        <v>219</v>
      </c>
      <c r="H77" s="179"/>
      <c r="I77" s="179"/>
      <c r="J77" s="222">
        <v>864</v>
      </c>
      <c r="K77" s="223"/>
      <c r="L77" s="222">
        <f>배분계획!G14</f>
        <v>27607</v>
      </c>
      <c r="M77" s="223"/>
      <c r="N77" s="230">
        <f>L77/24/60/60</f>
        <v>0.31952546296296297</v>
      </c>
      <c r="O77" s="231"/>
      <c r="P77" s="222">
        <v>500</v>
      </c>
      <c r="Q77" s="223"/>
      <c r="R77" s="224">
        <f>IF(P77&lt;=600,100,IF(P77&gt;=1000,120,110))</f>
        <v>100</v>
      </c>
      <c r="S77" s="225"/>
      <c r="T77" s="230">
        <f>10.666*R77^(-1.85)*(P77/1000)^(-4.87)*N77^1.85</f>
        <v>7.5396777253243508E-3</v>
      </c>
      <c r="U77" s="231"/>
      <c r="V77" s="232">
        <f>0.35464*R77*(P77/1000)^(0.63)*T77^(0.54)</f>
        <v>1.6364748066009449</v>
      </c>
      <c r="W77" s="233"/>
      <c r="X77" s="234">
        <f>ROUND(T77*J77,2)</f>
        <v>6.51</v>
      </c>
      <c r="Y77" s="235"/>
      <c r="Z77" s="236">
        <f>AB76</f>
        <v>6.3100000000000023</v>
      </c>
      <c r="AA77" s="236"/>
      <c r="AB77" s="236">
        <f>Z77-X77+AJ77</f>
        <v>49.800000000000004</v>
      </c>
      <c r="AC77" s="236"/>
      <c r="AD77" s="196">
        <v>44.3</v>
      </c>
      <c r="AE77" s="196"/>
      <c r="AF77" s="196">
        <v>41</v>
      </c>
      <c r="AG77" s="196"/>
      <c r="AH77" s="176" t="s">
        <v>212</v>
      </c>
      <c r="AI77" s="177"/>
      <c r="AJ77" s="256">
        <v>50</v>
      </c>
      <c r="AK77" s="257"/>
      <c r="AL77" s="176" t="s">
        <v>213</v>
      </c>
      <c r="AM77" s="177"/>
      <c r="AN77" s="178">
        <f>IF(AD77="","",AB77-AD77)</f>
        <v>5.5000000000000071</v>
      </c>
      <c r="AO77" s="202"/>
    </row>
    <row r="78" spans="1:47" ht="23.1" customHeight="1">
      <c r="A78" s="180" t="s">
        <v>336</v>
      </c>
      <c r="B78" s="180"/>
      <c r="C78" s="181" t="s">
        <v>331</v>
      </c>
      <c r="D78" s="179"/>
      <c r="E78" s="182"/>
      <c r="F78" s="113" t="s">
        <v>200</v>
      </c>
      <c r="G78" s="183" t="s">
        <v>274</v>
      </c>
      <c r="H78" s="179"/>
      <c r="I78" s="179"/>
      <c r="J78" s="222">
        <v>798</v>
      </c>
      <c r="K78" s="223"/>
      <c r="L78" s="222">
        <f>배분계획!G15</f>
        <v>3765</v>
      </c>
      <c r="M78" s="223"/>
      <c r="N78" s="230">
        <f>L78/24/60/60</f>
        <v>4.3576388888888894E-2</v>
      </c>
      <c r="O78" s="231"/>
      <c r="P78" s="222">
        <v>200</v>
      </c>
      <c r="Q78" s="223"/>
      <c r="R78" s="224">
        <f>IF(P78&lt;=600,100,IF(P78&gt;=1000,120,110))</f>
        <v>100</v>
      </c>
      <c r="S78" s="225"/>
      <c r="T78" s="230">
        <f>10.666*R78^(-1.85)*(P78/1000)^(-4.87)*N78^1.85</f>
        <v>1.6390805276024843E-2</v>
      </c>
      <c r="U78" s="231"/>
      <c r="V78" s="232">
        <f>0.35464*R78*(P78/1000)^(0.63)*T78^(0.54)</f>
        <v>1.3974001084702374</v>
      </c>
      <c r="W78" s="233"/>
      <c r="X78" s="234">
        <f>ROUND(T78*J78,2)</f>
        <v>13.08</v>
      </c>
      <c r="Y78" s="235"/>
      <c r="Z78" s="236">
        <f>AF77</f>
        <v>41</v>
      </c>
      <c r="AA78" s="236"/>
      <c r="AB78" s="236">
        <f>Z78-X78+AJ78</f>
        <v>68.92</v>
      </c>
      <c r="AC78" s="236"/>
      <c r="AD78" s="196">
        <v>66.599999999999994</v>
      </c>
      <c r="AE78" s="196"/>
      <c r="AF78" s="196">
        <v>61.6</v>
      </c>
      <c r="AG78" s="196"/>
      <c r="AH78" s="176" t="s">
        <v>212</v>
      </c>
      <c r="AI78" s="177"/>
      <c r="AJ78" s="192">
        <v>41</v>
      </c>
      <c r="AK78" s="193"/>
      <c r="AL78" s="176" t="s">
        <v>213</v>
      </c>
      <c r="AM78" s="177"/>
      <c r="AN78" s="178">
        <f>IF(AD78="","",AB78-AD78)</f>
        <v>2.3200000000000074</v>
      </c>
      <c r="AO78" s="202"/>
    </row>
    <row r="82" spans="1:40" s="114" customFormat="1" ht="23.1" hidden="1" customHeight="1">
      <c r="A82" s="111" t="s">
        <v>309</v>
      </c>
    </row>
    <row r="83" spans="1:40" ht="23.1" hidden="1" customHeight="1"/>
    <row r="84" spans="1:40" ht="23.1" hidden="1" customHeight="1"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6"/>
      <c r="AK84" s="119"/>
      <c r="AL84" s="119"/>
      <c r="AM84" s="119"/>
    </row>
    <row r="85" spans="1:40" ht="23.1" hidden="1" customHeight="1"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6"/>
      <c r="AK85" s="119"/>
      <c r="AL85" s="119"/>
      <c r="AM85" s="119"/>
    </row>
    <row r="86" spans="1:40" ht="23.1" hidden="1" customHeight="1"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6"/>
      <c r="AK86" s="116"/>
      <c r="AL86" s="116"/>
      <c r="AM86" s="116"/>
    </row>
    <row r="87" spans="1:40" ht="23.1" hidden="1" customHeight="1"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</row>
    <row r="88" spans="1:40" ht="23.1" hidden="1" customHeight="1"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6"/>
      <c r="AJ88" s="116"/>
      <c r="AK88" s="116"/>
      <c r="AL88" s="117"/>
      <c r="AM88" s="118"/>
      <c r="AN88" s="118"/>
    </row>
    <row r="89" spans="1:40" ht="23.1" hidden="1" customHeight="1"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8"/>
      <c r="AN89" s="118"/>
    </row>
    <row r="90" spans="1:40" ht="23.1" hidden="1" customHeight="1"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</row>
    <row r="91" spans="1:40" ht="23.1" hidden="1" customHeight="1">
      <c r="B91" s="198" t="s">
        <v>250</v>
      </c>
      <c r="C91" s="203"/>
      <c r="D91" s="203"/>
      <c r="E91" s="199"/>
      <c r="F91" s="112"/>
      <c r="G91" s="206" t="s">
        <v>251</v>
      </c>
      <c r="H91" s="206"/>
      <c r="I91" s="206"/>
      <c r="J91" s="117"/>
      <c r="K91" s="198" t="s">
        <v>243</v>
      </c>
      <c r="L91" s="203"/>
      <c r="M91" s="203"/>
      <c r="N91" s="199"/>
      <c r="O91" s="117"/>
      <c r="P91" s="116"/>
      <c r="Q91" s="116"/>
      <c r="R91" s="116"/>
      <c r="S91" s="116"/>
      <c r="T91" s="116"/>
      <c r="U91" s="119"/>
      <c r="V91" s="119"/>
      <c r="W91" s="119"/>
      <c r="X91" s="116"/>
      <c r="Y91" s="117"/>
      <c r="Z91" s="117"/>
      <c r="AA91" s="116"/>
      <c r="AB91" s="116"/>
      <c r="AC91" s="116"/>
      <c r="AD91" s="117"/>
      <c r="AE91" s="117"/>
      <c r="AF91" s="116"/>
      <c r="AG91" s="116"/>
      <c r="AH91" s="116"/>
      <c r="AI91" s="117"/>
      <c r="AJ91" s="116"/>
      <c r="AK91" s="116"/>
      <c r="AL91" s="116"/>
      <c r="AM91" s="116"/>
    </row>
    <row r="92" spans="1:40" ht="23.1" hidden="1" customHeight="1">
      <c r="B92" s="200" t="s">
        <v>234</v>
      </c>
      <c r="C92" s="204"/>
      <c r="D92" s="205">
        <f>AB75</f>
        <v>41.32</v>
      </c>
      <c r="E92" s="220"/>
      <c r="G92" s="110" t="s">
        <v>231</v>
      </c>
      <c r="H92" s="207">
        <f>P101</f>
        <v>300</v>
      </c>
      <c r="I92" s="207"/>
      <c r="J92" s="117"/>
      <c r="K92" s="200" t="s">
        <v>223</v>
      </c>
      <c r="L92" s="204"/>
      <c r="M92" s="205">
        <f>AD101</f>
        <v>25.35</v>
      </c>
      <c r="N92" s="220"/>
      <c r="O92" s="117"/>
      <c r="P92" s="117"/>
      <c r="Q92" s="118"/>
      <c r="R92" s="118"/>
      <c r="S92" s="118"/>
      <c r="T92" s="116"/>
      <c r="U92" s="116"/>
      <c r="V92" s="116"/>
      <c r="W92" s="116"/>
      <c r="X92" s="118"/>
      <c r="Y92" s="117"/>
      <c r="Z92" s="117"/>
      <c r="AA92" s="117"/>
      <c r="AB92" s="118"/>
      <c r="AC92" s="118"/>
      <c r="AD92" s="117"/>
      <c r="AE92" s="117"/>
      <c r="AF92" s="117"/>
      <c r="AG92" s="118"/>
      <c r="AH92" s="118"/>
      <c r="AI92" s="117"/>
      <c r="AJ92" s="116"/>
      <c r="AK92" s="116"/>
      <c r="AL92" s="116"/>
      <c r="AM92" s="116"/>
    </row>
    <row r="93" spans="1:40" ht="23.1" hidden="1" customHeight="1">
      <c r="G93" s="110" t="s">
        <v>232</v>
      </c>
      <c r="H93" s="221">
        <f>J101</f>
        <v>3131</v>
      </c>
      <c r="I93" s="221"/>
      <c r="J93" s="117"/>
      <c r="K93" s="117"/>
      <c r="L93" s="117"/>
      <c r="M93" s="118"/>
      <c r="N93" s="118"/>
      <c r="O93" s="117"/>
      <c r="P93" s="117"/>
      <c r="Q93" s="118"/>
      <c r="R93" s="118"/>
      <c r="S93" s="118"/>
      <c r="T93" s="117"/>
      <c r="U93" s="117"/>
      <c r="V93" s="117"/>
      <c r="W93" s="118"/>
      <c r="X93" s="118"/>
      <c r="Y93" s="117"/>
      <c r="Z93" s="117"/>
      <c r="AA93" s="117"/>
      <c r="AB93" s="118"/>
      <c r="AC93" s="118"/>
      <c r="AD93" s="117"/>
      <c r="AE93" s="117"/>
      <c r="AF93" s="117"/>
      <c r="AG93" s="118"/>
      <c r="AH93" s="118"/>
      <c r="AI93" s="117"/>
      <c r="AJ93" s="117"/>
      <c r="AK93" s="117"/>
      <c r="AL93" s="117"/>
      <c r="AM93" s="117"/>
    </row>
    <row r="94" spans="1:40" ht="23.1" hidden="1" customHeight="1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</row>
    <row r="95" spans="1:40" ht="23.1" hidden="1" customHeight="1">
      <c r="B95" s="117"/>
      <c r="C95" s="117"/>
      <c r="D95" s="117"/>
      <c r="E95" s="117"/>
      <c r="F95" s="117"/>
      <c r="G95" s="117"/>
      <c r="H95" s="117"/>
      <c r="I95" s="116"/>
      <c r="J95" s="116"/>
      <c r="K95" s="116"/>
      <c r="L95" s="116"/>
      <c r="M95" s="117"/>
      <c r="N95" s="116"/>
      <c r="O95" s="116"/>
      <c r="P95" s="116"/>
      <c r="Q95" s="116"/>
      <c r="R95" s="117"/>
      <c r="S95" s="116"/>
      <c r="T95" s="116"/>
      <c r="U95" s="116"/>
      <c r="V95" s="116"/>
      <c r="W95" s="117"/>
      <c r="X95" s="116"/>
      <c r="Y95" s="116"/>
      <c r="Z95" s="116"/>
      <c r="AA95" s="116"/>
      <c r="AB95" s="117"/>
      <c r="AC95" s="116"/>
      <c r="AD95" s="116"/>
      <c r="AE95" s="116"/>
      <c r="AF95" s="116"/>
      <c r="AG95" s="117"/>
      <c r="AH95" s="117"/>
      <c r="AI95" s="117"/>
      <c r="AJ95" s="117"/>
      <c r="AK95" s="117"/>
      <c r="AL95" s="117"/>
      <c r="AM95" s="117"/>
    </row>
    <row r="96" spans="1:40" ht="23.1" hidden="1" customHeight="1">
      <c r="B96" s="117"/>
      <c r="C96" s="117"/>
      <c r="D96" s="117"/>
      <c r="E96" s="117"/>
      <c r="F96" s="117"/>
      <c r="G96" s="117"/>
      <c r="H96" s="117"/>
      <c r="I96" s="117"/>
      <c r="J96" s="116"/>
      <c r="K96" s="116"/>
      <c r="L96" s="116"/>
      <c r="M96" s="117"/>
      <c r="N96" s="117"/>
      <c r="O96" s="116"/>
      <c r="P96" s="116"/>
      <c r="Q96" s="116"/>
      <c r="R96" s="117"/>
      <c r="S96" s="117"/>
      <c r="T96" s="116"/>
      <c r="U96" s="116"/>
      <c r="V96" s="116"/>
      <c r="W96" s="117"/>
      <c r="X96" s="117"/>
      <c r="Y96" s="116"/>
      <c r="Z96" s="116"/>
      <c r="AA96" s="116"/>
      <c r="AB96" s="117"/>
      <c r="AC96" s="117"/>
      <c r="AD96" s="116"/>
      <c r="AE96" s="116"/>
      <c r="AF96" s="116"/>
      <c r="AG96" s="117"/>
      <c r="AH96" s="117"/>
      <c r="AI96" s="117"/>
      <c r="AJ96" s="117"/>
      <c r="AK96" s="117"/>
      <c r="AL96" s="117"/>
      <c r="AM96" s="117"/>
    </row>
    <row r="97" spans="1:42" ht="23.1" hidden="1" customHeight="1"/>
    <row r="98" spans="1:42" ht="23.1" hidden="1" customHeight="1"/>
    <row r="99" spans="1:42" ht="23.1" hidden="1" customHeight="1">
      <c r="A99" s="198" t="s">
        <v>179</v>
      </c>
      <c r="B99" s="199"/>
      <c r="C99" s="198" t="s">
        <v>180</v>
      </c>
      <c r="D99" s="203"/>
      <c r="E99" s="203"/>
      <c r="F99" s="203"/>
      <c r="G99" s="203"/>
      <c r="H99" s="203"/>
      <c r="I99" s="199"/>
      <c r="J99" s="249" t="s">
        <v>195</v>
      </c>
      <c r="K99" s="250"/>
      <c r="L99" s="182" t="s">
        <v>181</v>
      </c>
      <c r="M99" s="211"/>
      <c r="N99" s="211"/>
      <c r="O99" s="183"/>
      <c r="P99" s="249" t="s">
        <v>189</v>
      </c>
      <c r="Q99" s="250"/>
      <c r="R99" s="249" t="s">
        <v>190</v>
      </c>
      <c r="S99" s="250"/>
      <c r="T99" s="249" t="s">
        <v>191</v>
      </c>
      <c r="U99" s="250"/>
      <c r="V99" s="249" t="s">
        <v>193</v>
      </c>
      <c r="W99" s="250"/>
      <c r="X99" s="249" t="s">
        <v>194</v>
      </c>
      <c r="Y99" s="250"/>
      <c r="Z99" s="182" t="s">
        <v>196</v>
      </c>
      <c r="AA99" s="211"/>
      <c r="AB99" s="211"/>
      <c r="AC99" s="183"/>
      <c r="AD99" s="182" t="s">
        <v>184</v>
      </c>
      <c r="AE99" s="211"/>
      <c r="AF99" s="211"/>
      <c r="AG99" s="183"/>
      <c r="AH99" s="198" t="s">
        <v>187</v>
      </c>
      <c r="AI99" s="203"/>
      <c r="AJ99" s="203"/>
      <c r="AK99" s="203"/>
      <c r="AL99" s="203"/>
      <c r="AM99" s="203"/>
      <c r="AN99" s="203"/>
      <c r="AO99" s="199"/>
      <c r="AP99" s="116"/>
    </row>
    <row r="100" spans="1:42" ht="23.1" hidden="1" customHeight="1">
      <c r="A100" s="200"/>
      <c r="B100" s="201"/>
      <c r="C100" s="200"/>
      <c r="D100" s="204"/>
      <c r="E100" s="204"/>
      <c r="F100" s="204"/>
      <c r="G100" s="204"/>
      <c r="H100" s="204"/>
      <c r="I100" s="201"/>
      <c r="J100" s="251"/>
      <c r="K100" s="252"/>
      <c r="L100" s="182" t="s">
        <v>197</v>
      </c>
      <c r="M100" s="183"/>
      <c r="N100" s="182" t="s">
        <v>188</v>
      </c>
      <c r="O100" s="183"/>
      <c r="P100" s="251"/>
      <c r="Q100" s="252"/>
      <c r="R100" s="251"/>
      <c r="S100" s="252"/>
      <c r="T100" s="251"/>
      <c r="U100" s="252"/>
      <c r="V100" s="251"/>
      <c r="W100" s="252"/>
      <c r="X100" s="251"/>
      <c r="Y100" s="252"/>
      <c r="Z100" s="182" t="s">
        <v>182</v>
      </c>
      <c r="AA100" s="183"/>
      <c r="AB100" s="182" t="s">
        <v>183</v>
      </c>
      <c r="AC100" s="183"/>
      <c r="AD100" s="182" t="s">
        <v>185</v>
      </c>
      <c r="AE100" s="183"/>
      <c r="AF100" s="182" t="s">
        <v>186</v>
      </c>
      <c r="AG100" s="183"/>
      <c r="AH100" s="200"/>
      <c r="AI100" s="204"/>
      <c r="AJ100" s="204"/>
      <c r="AK100" s="204"/>
      <c r="AL100" s="204"/>
      <c r="AM100" s="204"/>
      <c r="AN100" s="204"/>
      <c r="AO100" s="201"/>
      <c r="AP100" s="116"/>
    </row>
    <row r="101" spans="1:42" ht="23.1" hidden="1" customHeight="1">
      <c r="A101" s="212" t="s">
        <v>252</v>
      </c>
      <c r="B101" s="213"/>
      <c r="C101" s="182" t="s">
        <v>249</v>
      </c>
      <c r="D101" s="211"/>
      <c r="E101" s="211"/>
      <c r="F101" s="113" t="s">
        <v>200</v>
      </c>
      <c r="G101" s="211" t="s">
        <v>243</v>
      </c>
      <c r="H101" s="211"/>
      <c r="I101" s="183"/>
      <c r="J101" s="184">
        <v>3131</v>
      </c>
      <c r="K101" s="185"/>
      <c r="L101" s="184">
        <f>배분계획!C20</f>
        <v>0</v>
      </c>
      <c r="M101" s="185"/>
      <c r="N101" s="186">
        <f>L101/24/60/60</f>
        <v>0</v>
      </c>
      <c r="O101" s="187"/>
      <c r="P101" s="184">
        <v>300</v>
      </c>
      <c r="Q101" s="185"/>
      <c r="R101" s="188">
        <f>IF(P101&lt;=600,100,IF(P101&gt;=1000,120,110))</f>
        <v>100</v>
      </c>
      <c r="S101" s="189"/>
      <c r="T101" s="190">
        <f>10.666*R101^(-1.85)*(P101/1000)^(-4.87)*N101^1.85</f>
        <v>0</v>
      </c>
      <c r="U101" s="191"/>
      <c r="V101" s="194">
        <f>0.35464*R101*(P101/1000)^(0.63)*T101^(0.54)</f>
        <v>0</v>
      </c>
      <c r="W101" s="195"/>
      <c r="X101" s="194">
        <f>ROUND(T101*J101,2)</f>
        <v>0</v>
      </c>
      <c r="Y101" s="195"/>
      <c r="Z101" s="194">
        <v>57.96</v>
      </c>
      <c r="AA101" s="195"/>
      <c r="AB101" s="194">
        <f>Z101-X101+AJ101</f>
        <v>57.96</v>
      </c>
      <c r="AC101" s="195"/>
      <c r="AD101" s="194">
        <v>25.35</v>
      </c>
      <c r="AE101" s="195"/>
      <c r="AF101" s="194">
        <v>23.85</v>
      </c>
      <c r="AG101" s="195"/>
      <c r="AH101" s="177" t="s">
        <v>212</v>
      </c>
      <c r="AI101" s="228"/>
      <c r="AJ101" s="211"/>
      <c r="AK101" s="183"/>
      <c r="AL101" s="177" t="s">
        <v>213</v>
      </c>
      <c r="AM101" s="228"/>
      <c r="AN101" s="245">
        <f>IF(AD101="","",AB101-AD101)</f>
        <v>32.61</v>
      </c>
      <c r="AO101" s="178"/>
    </row>
    <row r="102" spans="1:42" ht="23.1" hidden="1" customHeight="1"/>
    <row r="103" spans="1:42" ht="23.1" hidden="1" customHeight="1"/>
    <row r="104" spans="1:42" ht="23.1" hidden="1" customHeight="1"/>
    <row r="105" spans="1:42" ht="23.1" hidden="1" customHeight="1"/>
    <row r="106" spans="1:42" ht="23.1" hidden="1" customHeight="1"/>
    <row r="107" spans="1:42" ht="23.1" hidden="1" customHeight="1"/>
    <row r="108" spans="1:42" ht="23.1" hidden="1" customHeight="1"/>
    <row r="109" spans="1:42" s="114" customFormat="1" ht="23.1" customHeight="1">
      <c r="A109" s="111" t="s">
        <v>383</v>
      </c>
    </row>
    <row r="111" spans="1:42" ht="23.1" customHeight="1"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6"/>
      <c r="AK111" s="119"/>
      <c r="AL111" s="119"/>
      <c r="AM111" s="119"/>
    </row>
    <row r="112" spans="1:42" ht="23.1" customHeight="1">
      <c r="E112" s="206" t="s">
        <v>363</v>
      </c>
      <c r="F112" s="206"/>
      <c r="G112" s="206"/>
      <c r="I112" s="198" t="s">
        <v>243</v>
      </c>
      <c r="J112" s="209"/>
      <c r="K112" s="209"/>
      <c r="L112" s="210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6"/>
      <c r="AK112" s="119"/>
      <c r="AL112" s="119"/>
      <c r="AM112" s="119"/>
    </row>
    <row r="113" spans="1:42" ht="23.1" customHeight="1">
      <c r="E113" s="110" t="s">
        <v>231</v>
      </c>
      <c r="F113" s="207">
        <f>P134</f>
        <v>300</v>
      </c>
      <c r="G113" s="207"/>
      <c r="I113" s="200" t="s">
        <v>223</v>
      </c>
      <c r="J113" s="214"/>
      <c r="K113" s="205">
        <f>AD134</f>
        <v>25.35</v>
      </c>
      <c r="L113" s="2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6"/>
      <c r="AK113" s="116"/>
      <c r="AL113" s="116"/>
      <c r="AM113" s="116"/>
    </row>
    <row r="114" spans="1:42" ht="23.1" customHeight="1">
      <c r="B114" s="117"/>
      <c r="C114" s="117"/>
      <c r="D114" s="117"/>
      <c r="E114" s="110" t="s">
        <v>232</v>
      </c>
      <c r="F114" s="208">
        <f>J134</f>
        <v>3131</v>
      </c>
      <c r="G114" s="208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</row>
    <row r="115" spans="1:42" ht="23.1" customHeight="1"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6"/>
      <c r="AB115" s="119"/>
      <c r="AC115" s="119"/>
      <c r="AD115" s="119"/>
      <c r="AE115" s="117"/>
      <c r="AF115" s="117"/>
      <c r="AG115" s="117"/>
      <c r="AH115" s="117"/>
      <c r="AI115" s="116"/>
      <c r="AJ115" s="116"/>
      <c r="AK115" s="116"/>
      <c r="AL115" s="117"/>
      <c r="AM115" s="118"/>
      <c r="AN115" s="118"/>
    </row>
    <row r="116" spans="1:42" ht="23.1" customHeight="1">
      <c r="B116" s="117"/>
      <c r="C116" s="117"/>
      <c r="D116" s="117"/>
      <c r="E116" s="117"/>
      <c r="F116" s="117"/>
      <c r="G116" s="117"/>
      <c r="H116" s="117"/>
      <c r="I116" s="198" t="s">
        <v>342</v>
      </c>
      <c r="J116" s="203"/>
      <c r="K116" s="203"/>
      <c r="L116" s="199"/>
      <c r="M116" s="117"/>
      <c r="N116" s="116"/>
      <c r="O116" s="116"/>
      <c r="P116" s="116"/>
      <c r="Q116" s="116"/>
      <c r="R116" s="117"/>
      <c r="S116" s="116"/>
      <c r="T116" s="116"/>
      <c r="U116" s="116"/>
      <c r="V116" s="116"/>
      <c r="W116" s="198" t="s">
        <v>343</v>
      </c>
      <c r="X116" s="203"/>
      <c r="Y116" s="203"/>
      <c r="Z116" s="199"/>
      <c r="AA116" s="116"/>
      <c r="AB116" s="119"/>
      <c r="AC116" s="128"/>
      <c r="AD116" s="119"/>
      <c r="AE116" s="117"/>
      <c r="AF116" s="117"/>
      <c r="AG116" s="117"/>
      <c r="AH116" s="117"/>
      <c r="AI116" s="117"/>
      <c r="AJ116" s="117"/>
      <c r="AK116" s="117"/>
      <c r="AL116" s="117"/>
      <c r="AM116" s="118"/>
      <c r="AN116" s="118"/>
    </row>
    <row r="117" spans="1:42" ht="23.1" customHeight="1">
      <c r="B117" s="117"/>
      <c r="C117" s="117"/>
      <c r="D117" s="117"/>
      <c r="E117" s="117"/>
      <c r="F117" s="117"/>
      <c r="G117" s="117"/>
      <c r="H117" s="117"/>
      <c r="I117" s="200"/>
      <c r="J117" s="204"/>
      <c r="K117" s="204"/>
      <c r="L117" s="201"/>
      <c r="M117" s="117"/>
      <c r="N117" s="116"/>
      <c r="O117" s="116"/>
      <c r="P117" s="128"/>
      <c r="Q117" s="116"/>
      <c r="R117" s="117"/>
      <c r="S117" s="116"/>
      <c r="T117" s="116"/>
      <c r="U117" s="116"/>
      <c r="V117" s="116"/>
      <c r="W117" s="200" t="s">
        <v>234</v>
      </c>
      <c r="X117" s="204"/>
      <c r="Y117" s="205">
        <f>AB130</f>
        <v>91.98</v>
      </c>
      <c r="Z117" s="201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</row>
    <row r="118" spans="1:42" ht="23.1" customHeight="1">
      <c r="B118" s="198" t="s">
        <v>250</v>
      </c>
      <c r="C118" s="209"/>
      <c r="D118" s="209"/>
      <c r="E118" s="210"/>
      <c r="F118" s="112"/>
      <c r="G118" s="206" t="s">
        <v>251</v>
      </c>
      <c r="H118" s="206"/>
      <c r="I118" s="206"/>
      <c r="J118" s="117"/>
      <c r="K118" s="116"/>
      <c r="L118" s="206" t="s">
        <v>345</v>
      </c>
      <c r="M118" s="206"/>
      <c r="N118" s="206"/>
      <c r="O118" s="117"/>
      <c r="P118" s="198" t="s">
        <v>258</v>
      </c>
      <c r="Q118" s="203"/>
      <c r="R118" s="203"/>
      <c r="S118" s="199"/>
      <c r="T118" s="116"/>
      <c r="U118" s="206" t="s">
        <v>346</v>
      </c>
      <c r="V118" s="206"/>
      <c r="W118" s="206"/>
      <c r="X118" s="112"/>
      <c r="Y118" s="116"/>
      <c r="Z118" s="206" t="s">
        <v>347</v>
      </c>
      <c r="AA118" s="206"/>
      <c r="AB118" s="206"/>
      <c r="AC118" s="116"/>
      <c r="AD118" s="198" t="s">
        <v>242</v>
      </c>
      <c r="AE118" s="209"/>
      <c r="AF118" s="209"/>
      <c r="AG118" s="210"/>
      <c r="AH118" s="116"/>
      <c r="AI118" s="116"/>
      <c r="AJ118" s="119"/>
      <c r="AK118" s="119"/>
      <c r="AL118" s="119"/>
      <c r="AM118" s="116"/>
    </row>
    <row r="119" spans="1:42" ht="23.1" customHeight="1">
      <c r="B119" s="200" t="s">
        <v>234</v>
      </c>
      <c r="C119" s="204"/>
      <c r="D119" s="205">
        <f>Z128</f>
        <v>41.32</v>
      </c>
      <c r="E119" s="201"/>
      <c r="G119" s="110" t="s">
        <v>231</v>
      </c>
      <c r="H119" s="207">
        <f>P128</f>
        <v>500</v>
      </c>
      <c r="I119" s="207"/>
      <c r="J119" s="117"/>
      <c r="K119" s="116"/>
      <c r="L119" s="110" t="s">
        <v>231</v>
      </c>
      <c r="M119" s="207">
        <f>P129</f>
        <v>400</v>
      </c>
      <c r="N119" s="207"/>
      <c r="O119" s="117"/>
      <c r="P119" s="200" t="s">
        <v>222</v>
      </c>
      <c r="Q119" s="204"/>
      <c r="R119" s="204">
        <f>AJ130</f>
        <v>80</v>
      </c>
      <c r="S119" s="201"/>
      <c r="T119" s="116"/>
      <c r="U119" s="110" t="s">
        <v>231</v>
      </c>
      <c r="V119" s="207">
        <f>P130</f>
        <v>400</v>
      </c>
      <c r="W119" s="207"/>
      <c r="X119" s="129"/>
      <c r="Y119" s="116"/>
      <c r="Z119" s="110" t="s">
        <v>231</v>
      </c>
      <c r="AA119" s="207">
        <f>P131</f>
        <v>400</v>
      </c>
      <c r="AB119" s="207"/>
      <c r="AC119" s="116"/>
      <c r="AD119" s="200" t="s">
        <v>223</v>
      </c>
      <c r="AE119" s="214"/>
      <c r="AF119" s="205">
        <f>AD131</f>
        <v>80.28</v>
      </c>
      <c r="AG119" s="217"/>
      <c r="AH119" s="118"/>
      <c r="AI119" s="116"/>
      <c r="AJ119" s="116"/>
      <c r="AK119" s="128"/>
      <c r="AL119" s="116"/>
      <c r="AM119" s="116"/>
    </row>
    <row r="120" spans="1:42" ht="23.1" customHeight="1">
      <c r="G120" s="110" t="s">
        <v>232</v>
      </c>
      <c r="H120" s="221">
        <f>J128</f>
        <v>4783</v>
      </c>
      <c r="I120" s="221"/>
      <c r="J120" s="117"/>
      <c r="K120" s="117"/>
      <c r="L120" s="110" t="s">
        <v>232</v>
      </c>
      <c r="M120" s="208">
        <f>J129</f>
        <v>2438</v>
      </c>
      <c r="N120" s="208"/>
      <c r="O120" s="117"/>
      <c r="P120" s="117"/>
      <c r="R120" s="134"/>
      <c r="S120" s="134"/>
      <c r="T120" s="117"/>
      <c r="U120" s="110" t="s">
        <v>232</v>
      </c>
      <c r="V120" s="208">
        <f>J130</f>
        <v>2382</v>
      </c>
      <c r="W120" s="208"/>
      <c r="X120" s="134"/>
      <c r="Y120" s="117"/>
      <c r="Z120" s="110" t="s">
        <v>232</v>
      </c>
      <c r="AA120" s="208">
        <f>J131</f>
        <v>184</v>
      </c>
      <c r="AB120" s="208"/>
      <c r="AC120" s="118"/>
      <c r="AD120" s="117"/>
      <c r="AE120" s="117"/>
      <c r="AF120" s="134"/>
      <c r="AG120" s="134"/>
      <c r="AH120" s="118"/>
      <c r="AI120" s="117"/>
      <c r="AJ120" s="117"/>
      <c r="AK120" s="117"/>
      <c r="AL120" s="117"/>
      <c r="AM120" s="117"/>
    </row>
    <row r="121" spans="1:42" ht="23.1" customHeight="1"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6"/>
      <c r="X121" s="116"/>
      <c r="Y121" s="116"/>
      <c r="Z121" s="116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</row>
    <row r="122" spans="1:42" ht="23.1" customHeight="1">
      <c r="B122" s="117"/>
      <c r="C122" s="117"/>
      <c r="D122" s="117"/>
      <c r="E122" s="117"/>
      <c r="F122" s="117"/>
      <c r="G122" s="117"/>
      <c r="H122" s="117"/>
      <c r="I122" s="116"/>
      <c r="J122" s="116"/>
      <c r="K122" s="116"/>
      <c r="L122" s="116"/>
      <c r="M122" s="117"/>
      <c r="N122" s="116"/>
      <c r="O122" s="116"/>
      <c r="P122" s="116"/>
      <c r="Q122" s="116"/>
      <c r="R122" s="117"/>
      <c r="S122" s="116"/>
      <c r="T122" s="116"/>
      <c r="U122" s="116"/>
      <c r="V122" s="116"/>
      <c r="W122" s="116"/>
      <c r="X122" s="116"/>
      <c r="Y122" s="206" t="s">
        <v>348</v>
      </c>
      <c r="Z122" s="206"/>
      <c r="AA122" s="206"/>
      <c r="AB122" s="198" t="s">
        <v>361</v>
      </c>
      <c r="AC122" s="203"/>
      <c r="AD122" s="203"/>
      <c r="AE122" s="199"/>
      <c r="AF122" s="117"/>
      <c r="AG122" s="206" t="s">
        <v>344</v>
      </c>
      <c r="AH122" s="206"/>
      <c r="AI122" s="206"/>
      <c r="AJ122" s="117"/>
      <c r="AK122" s="198" t="s">
        <v>317</v>
      </c>
      <c r="AL122" s="209"/>
      <c r="AM122" s="209"/>
      <c r="AN122" s="210"/>
    </row>
    <row r="123" spans="1:42" ht="23.1" customHeight="1">
      <c r="B123" s="117"/>
      <c r="C123" s="117"/>
      <c r="D123" s="117"/>
      <c r="E123" s="117"/>
      <c r="F123" s="117"/>
      <c r="G123" s="117"/>
      <c r="H123" s="117"/>
      <c r="I123" s="117"/>
      <c r="J123" s="135"/>
      <c r="K123" s="116"/>
      <c r="L123" s="116"/>
      <c r="M123" s="117"/>
      <c r="N123" s="117"/>
      <c r="O123" s="135"/>
      <c r="P123" s="116"/>
      <c r="Q123" s="116"/>
      <c r="R123" s="117"/>
      <c r="S123" s="117"/>
      <c r="T123" s="116"/>
      <c r="U123" s="116"/>
      <c r="V123" s="116"/>
      <c r="W123" s="117"/>
      <c r="X123" s="117"/>
      <c r="Y123" s="110" t="s">
        <v>231</v>
      </c>
      <c r="Z123" s="207">
        <f>P132</f>
        <v>150</v>
      </c>
      <c r="AA123" s="207"/>
      <c r="AB123" s="200" t="s">
        <v>222</v>
      </c>
      <c r="AC123" s="204"/>
      <c r="AD123" s="204">
        <f>AJ133</f>
        <v>46</v>
      </c>
      <c r="AE123" s="201"/>
      <c r="AF123" s="119"/>
      <c r="AG123" s="110" t="s">
        <v>231</v>
      </c>
      <c r="AH123" s="207">
        <f>P133</f>
        <v>200</v>
      </c>
      <c r="AI123" s="207"/>
      <c r="AJ123" s="117"/>
      <c r="AK123" s="200" t="s">
        <v>223</v>
      </c>
      <c r="AL123" s="214"/>
      <c r="AM123" s="205">
        <f>AD133</f>
        <v>84.1</v>
      </c>
      <c r="AN123" s="217"/>
    </row>
    <row r="124" spans="1:42" ht="23.1" customHeight="1">
      <c r="W124" s="119"/>
      <c r="X124" s="117"/>
      <c r="Y124" s="110" t="s">
        <v>232</v>
      </c>
      <c r="Z124" s="208">
        <f>J132</f>
        <v>3980</v>
      </c>
      <c r="AA124" s="208"/>
      <c r="AB124" s="117"/>
      <c r="AG124" s="110" t="s">
        <v>232</v>
      </c>
      <c r="AH124" s="208">
        <f>J133</f>
        <v>341</v>
      </c>
      <c r="AI124" s="208"/>
    </row>
    <row r="126" spans="1:42" ht="23.1" customHeight="1">
      <c r="A126" s="179" t="s">
        <v>179</v>
      </c>
      <c r="B126" s="179"/>
      <c r="C126" s="179" t="s">
        <v>180</v>
      </c>
      <c r="D126" s="179"/>
      <c r="E126" s="179"/>
      <c r="F126" s="179"/>
      <c r="G126" s="179"/>
      <c r="H126" s="179"/>
      <c r="I126" s="179"/>
      <c r="J126" s="181" t="s">
        <v>195</v>
      </c>
      <c r="K126" s="179"/>
      <c r="L126" s="179" t="s">
        <v>181</v>
      </c>
      <c r="M126" s="179"/>
      <c r="N126" s="179"/>
      <c r="O126" s="179"/>
      <c r="P126" s="181" t="s">
        <v>189</v>
      </c>
      <c r="Q126" s="179"/>
      <c r="R126" s="181" t="s">
        <v>190</v>
      </c>
      <c r="S126" s="179"/>
      <c r="T126" s="181" t="s">
        <v>191</v>
      </c>
      <c r="U126" s="179"/>
      <c r="V126" s="181" t="s">
        <v>193</v>
      </c>
      <c r="W126" s="179"/>
      <c r="X126" s="181" t="s">
        <v>194</v>
      </c>
      <c r="Y126" s="179"/>
      <c r="Z126" s="179" t="s">
        <v>196</v>
      </c>
      <c r="AA126" s="179"/>
      <c r="AB126" s="179"/>
      <c r="AC126" s="179"/>
      <c r="AD126" s="179" t="s">
        <v>184</v>
      </c>
      <c r="AE126" s="179"/>
      <c r="AF126" s="179"/>
      <c r="AG126" s="179"/>
      <c r="AH126" s="179" t="s">
        <v>187</v>
      </c>
      <c r="AI126" s="179"/>
      <c r="AJ126" s="179"/>
      <c r="AK126" s="179"/>
      <c r="AL126" s="179"/>
      <c r="AM126" s="179"/>
      <c r="AN126" s="179"/>
      <c r="AO126" s="179"/>
      <c r="AP126" s="116"/>
    </row>
    <row r="127" spans="1:42" ht="23.1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 t="s">
        <v>197</v>
      </c>
      <c r="M127" s="179"/>
      <c r="N127" s="179" t="s">
        <v>188</v>
      </c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 t="s">
        <v>182</v>
      </c>
      <c r="AA127" s="179"/>
      <c r="AB127" s="179" t="s">
        <v>183</v>
      </c>
      <c r="AC127" s="179"/>
      <c r="AD127" s="179" t="s">
        <v>185</v>
      </c>
      <c r="AE127" s="179"/>
      <c r="AF127" s="179" t="s">
        <v>186</v>
      </c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16"/>
    </row>
    <row r="128" spans="1:42" ht="23.1" customHeight="1">
      <c r="A128" s="180" t="s">
        <v>252</v>
      </c>
      <c r="B128" s="180"/>
      <c r="C128" s="179" t="s">
        <v>250</v>
      </c>
      <c r="D128" s="179"/>
      <c r="E128" s="182"/>
      <c r="F128" s="113" t="s">
        <v>200</v>
      </c>
      <c r="G128" s="183" t="s">
        <v>349</v>
      </c>
      <c r="H128" s="179"/>
      <c r="I128" s="179"/>
      <c r="J128" s="222">
        <v>4783</v>
      </c>
      <c r="K128" s="223"/>
      <c r="L128" s="222">
        <f>L129</f>
        <v>11690</v>
      </c>
      <c r="M128" s="223"/>
      <c r="N128" s="230">
        <f t="shared" ref="N128:N134" si="8">L128/24/60/60</f>
        <v>0.13530092592592594</v>
      </c>
      <c r="O128" s="231"/>
      <c r="P128" s="222">
        <v>500</v>
      </c>
      <c r="Q128" s="223"/>
      <c r="R128" s="224">
        <f t="shared" ref="R128:R134" si="9">IF(P128&lt;=600,100,IF(P128&gt;=1000,120,110))</f>
        <v>100</v>
      </c>
      <c r="S128" s="225"/>
      <c r="T128" s="226">
        <f t="shared" ref="T128:T134" si="10">10.666*R128^(-1.85)*(P128/1000)^(-4.87)*N128^1.85</f>
        <v>1.5378857765555719E-3</v>
      </c>
      <c r="U128" s="227"/>
      <c r="V128" s="232">
        <f t="shared" ref="V128:V134" si="11">0.35464*R128*(P128/1000)^(0.63)*T128^(0.54)</f>
        <v>0.69355007715598505</v>
      </c>
      <c r="W128" s="233"/>
      <c r="X128" s="232">
        <f t="shared" ref="X128:X134" si="12">ROUND(T128*J128,2)</f>
        <v>7.36</v>
      </c>
      <c r="Y128" s="233"/>
      <c r="Z128" s="236">
        <f>AB75</f>
        <v>41.32</v>
      </c>
      <c r="AA128" s="236"/>
      <c r="AB128" s="236">
        <f t="shared" ref="AB128:AB134" si="13">Z128-X128+AJ128</f>
        <v>33.96</v>
      </c>
      <c r="AC128" s="236"/>
      <c r="AD128" s="197"/>
      <c r="AE128" s="197"/>
      <c r="AF128" s="197"/>
      <c r="AG128" s="197"/>
      <c r="AH128" s="176" t="s">
        <v>212</v>
      </c>
      <c r="AI128" s="177"/>
      <c r="AJ128" s="183"/>
      <c r="AK128" s="179"/>
      <c r="AL128" s="176" t="s">
        <v>213</v>
      </c>
      <c r="AM128" s="177"/>
      <c r="AN128" s="178" t="str">
        <f t="shared" ref="AN128:AN134" si="14">IF(AD128="","",AB128-AD128)</f>
        <v/>
      </c>
      <c r="AO128" s="202"/>
    </row>
    <row r="129" spans="1:41" ht="23.1" customHeight="1">
      <c r="A129" s="180" t="s">
        <v>355</v>
      </c>
      <c r="B129" s="180"/>
      <c r="C129" s="179" t="s">
        <v>388</v>
      </c>
      <c r="D129" s="179"/>
      <c r="E129" s="182"/>
      <c r="F129" s="113" t="s">
        <v>200</v>
      </c>
      <c r="G129" s="183" t="s">
        <v>351</v>
      </c>
      <c r="H129" s="179"/>
      <c r="I129" s="179"/>
      <c r="J129" s="222">
        <v>2438</v>
      </c>
      <c r="K129" s="223"/>
      <c r="L129" s="222">
        <f>L130</f>
        <v>11690</v>
      </c>
      <c r="M129" s="223"/>
      <c r="N129" s="230">
        <f t="shared" si="8"/>
        <v>0.13530092592592594</v>
      </c>
      <c r="O129" s="231"/>
      <c r="P129" s="222">
        <v>400</v>
      </c>
      <c r="Q129" s="223"/>
      <c r="R129" s="224">
        <f t="shared" si="9"/>
        <v>100</v>
      </c>
      <c r="S129" s="225"/>
      <c r="T129" s="226">
        <f t="shared" si="10"/>
        <v>4.5590656248849643E-3</v>
      </c>
      <c r="U129" s="227"/>
      <c r="V129" s="232">
        <f t="shared" si="11"/>
        <v>1.083623633751887</v>
      </c>
      <c r="W129" s="233"/>
      <c r="X129" s="232">
        <f t="shared" si="12"/>
        <v>11.12</v>
      </c>
      <c r="Y129" s="233"/>
      <c r="Z129" s="236">
        <f>AB128</f>
        <v>33.96</v>
      </c>
      <c r="AA129" s="236"/>
      <c r="AB129" s="236">
        <f t="shared" si="13"/>
        <v>22.840000000000003</v>
      </c>
      <c r="AC129" s="236"/>
      <c r="AD129" s="197"/>
      <c r="AE129" s="197"/>
      <c r="AF129" s="197"/>
      <c r="AG129" s="197"/>
      <c r="AH129" s="176" t="s">
        <v>212</v>
      </c>
      <c r="AI129" s="177"/>
      <c r="AJ129" s="183"/>
      <c r="AK129" s="179"/>
      <c r="AL129" s="176" t="s">
        <v>213</v>
      </c>
      <c r="AM129" s="177"/>
      <c r="AN129" s="178" t="str">
        <f t="shared" si="14"/>
        <v/>
      </c>
      <c r="AO129" s="202"/>
    </row>
    <row r="130" spans="1:41" ht="23.1" customHeight="1">
      <c r="A130" s="180" t="s">
        <v>356</v>
      </c>
      <c r="B130" s="180"/>
      <c r="C130" s="179" t="s">
        <v>351</v>
      </c>
      <c r="D130" s="179"/>
      <c r="E130" s="182"/>
      <c r="F130" s="113" t="s">
        <v>200</v>
      </c>
      <c r="G130" s="183" t="s">
        <v>343</v>
      </c>
      <c r="H130" s="179"/>
      <c r="I130" s="179"/>
      <c r="J130" s="222">
        <v>2382</v>
      </c>
      <c r="K130" s="223"/>
      <c r="L130" s="222">
        <f>L131</f>
        <v>11690</v>
      </c>
      <c r="M130" s="223"/>
      <c r="N130" s="230">
        <f t="shared" si="8"/>
        <v>0.13530092592592594</v>
      </c>
      <c r="O130" s="231"/>
      <c r="P130" s="222">
        <v>400</v>
      </c>
      <c r="Q130" s="223"/>
      <c r="R130" s="224">
        <f t="shared" si="9"/>
        <v>100</v>
      </c>
      <c r="S130" s="225"/>
      <c r="T130" s="226">
        <f t="shared" si="10"/>
        <v>4.5590656248849643E-3</v>
      </c>
      <c r="U130" s="227"/>
      <c r="V130" s="232">
        <f t="shared" si="11"/>
        <v>1.083623633751887</v>
      </c>
      <c r="W130" s="233"/>
      <c r="X130" s="232">
        <f t="shared" si="12"/>
        <v>10.86</v>
      </c>
      <c r="Y130" s="233"/>
      <c r="Z130" s="236">
        <f>AB129</f>
        <v>22.840000000000003</v>
      </c>
      <c r="AA130" s="236"/>
      <c r="AB130" s="236">
        <f t="shared" si="13"/>
        <v>91.98</v>
      </c>
      <c r="AC130" s="236"/>
      <c r="AD130" s="197"/>
      <c r="AE130" s="197"/>
      <c r="AF130" s="197"/>
      <c r="AG130" s="197"/>
      <c r="AH130" s="176" t="s">
        <v>212</v>
      </c>
      <c r="AI130" s="177"/>
      <c r="AJ130" s="256">
        <v>80</v>
      </c>
      <c r="AK130" s="257"/>
      <c r="AL130" s="176" t="s">
        <v>213</v>
      </c>
      <c r="AM130" s="177"/>
      <c r="AN130" s="178" t="str">
        <f t="shared" si="14"/>
        <v/>
      </c>
      <c r="AO130" s="202"/>
    </row>
    <row r="131" spans="1:41" ht="23.1" customHeight="1">
      <c r="A131" s="180" t="s">
        <v>357</v>
      </c>
      <c r="B131" s="180"/>
      <c r="C131" s="182" t="s">
        <v>343</v>
      </c>
      <c r="D131" s="211"/>
      <c r="E131" s="211"/>
      <c r="F131" s="113" t="s">
        <v>200</v>
      </c>
      <c r="G131" s="183" t="s">
        <v>242</v>
      </c>
      <c r="H131" s="179"/>
      <c r="I131" s="179"/>
      <c r="J131" s="222">
        <v>184</v>
      </c>
      <c r="K131" s="223"/>
      <c r="L131" s="222">
        <f>배분계획!G17</f>
        <v>11690</v>
      </c>
      <c r="M131" s="223"/>
      <c r="N131" s="230">
        <f t="shared" si="8"/>
        <v>0.13530092592592594</v>
      </c>
      <c r="O131" s="231"/>
      <c r="P131" s="222">
        <v>400</v>
      </c>
      <c r="Q131" s="223"/>
      <c r="R131" s="224">
        <f t="shared" si="9"/>
        <v>100</v>
      </c>
      <c r="S131" s="225"/>
      <c r="T131" s="226">
        <f t="shared" si="10"/>
        <v>4.5590656248849643E-3</v>
      </c>
      <c r="U131" s="227"/>
      <c r="V131" s="232">
        <f t="shared" si="11"/>
        <v>1.083623633751887</v>
      </c>
      <c r="W131" s="233"/>
      <c r="X131" s="232">
        <f t="shared" si="12"/>
        <v>0.84</v>
      </c>
      <c r="Y131" s="233"/>
      <c r="Z131" s="236">
        <f>AB130</f>
        <v>91.98</v>
      </c>
      <c r="AA131" s="236"/>
      <c r="AB131" s="236">
        <f t="shared" si="13"/>
        <v>91.14</v>
      </c>
      <c r="AC131" s="236"/>
      <c r="AD131" s="196">
        <v>80.28</v>
      </c>
      <c r="AE131" s="196"/>
      <c r="AF131" s="196">
        <v>77.28</v>
      </c>
      <c r="AG131" s="196"/>
      <c r="AH131" s="176" t="s">
        <v>212</v>
      </c>
      <c r="AI131" s="177"/>
      <c r="AJ131" s="192"/>
      <c r="AK131" s="193"/>
      <c r="AL131" s="176" t="s">
        <v>213</v>
      </c>
      <c r="AM131" s="177"/>
      <c r="AN131" s="178">
        <f t="shared" si="14"/>
        <v>10.86</v>
      </c>
      <c r="AO131" s="202"/>
    </row>
    <row r="132" spans="1:41" ht="23.1" customHeight="1">
      <c r="A132" s="180" t="s">
        <v>358</v>
      </c>
      <c r="B132" s="180"/>
      <c r="C132" s="182" t="s">
        <v>343</v>
      </c>
      <c r="D132" s="211"/>
      <c r="E132" s="211"/>
      <c r="F132" s="113" t="s">
        <v>200</v>
      </c>
      <c r="G132" s="183" t="s">
        <v>362</v>
      </c>
      <c r="H132" s="179"/>
      <c r="I132" s="179"/>
      <c r="J132" s="222">
        <v>3980</v>
      </c>
      <c r="K132" s="223"/>
      <c r="L132" s="222">
        <f>L133</f>
        <v>0</v>
      </c>
      <c r="M132" s="223"/>
      <c r="N132" s="230">
        <f t="shared" si="8"/>
        <v>0</v>
      </c>
      <c r="O132" s="231"/>
      <c r="P132" s="222">
        <v>150</v>
      </c>
      <c r="Q132" s="223"/>
      <c r="R132" s="224">
        <f t="shared" si="9"/>
        <v>100</v>
      </c>
      <c r="S132" s="225"/>
      <c r="T132" s="226">
        <f t="shared" si="10"/>
        <v>0</v>
      </c>
      <c r="U132" s="227"/>
      <c r="V132" s="232">
        <f t="shared" si="11"/>
        <v>0</v>
      </c>
      <c r="W132" s="233"/>
      <c r="X132" s="232">
        <f t="shared" si="12"/>
        <v>0</v>
      </c>
      <c r="Y132" s="233"/>
      <c r="Z132" s="236">
        <f>AB130</f>
        <v>91.98</v>
      </c>
      <c r="AA132" s="236"/>
      <c r="AB132" s="236">
        <f t="shared" si="13"/>
        <v>91.98</v>
      </c>
      <c r="AC132" s="236"/>
      <c r="AD132" s="196"/>
      <c r="AE132" s="196"/>
      <c r="AF132" s="196"/>
      <c r="AG132" s="196"/>
      <c r="AH132" s="176" t="s">
        <v>212</v>
      </c>
      <c r="AI132" s="177"/>
      <c r="AJ132" s="192"/>
      <c r="AK132" s="193"/>
      <c r="AL132" s="176" t="s">
        <v>213</v>
      </c>
      <c r="AM132" s="177"/>
      <c r="AN132" s="178" t="str">
        <f t="shared" si="14"/>
        <v/>
      </c>
      <c r="AO132" s="202"/>
    </row>
    <row r="133" spans="1:41" ht="23.1" customHeight="1">
      <c r="A133" s="180" t="s">
        <v>359</v>
      </c>
      <c r="B133" s="180"/>
      <c r="C133" s="182" t="s">
        <v>362</v>
      </c>
      <c r="D133" s="211"/>
      <c r="E133" s="211"/>
      <c r="F133" s="113" t="s">
        <v>200</v>
      </c>
      <c r="G133" s="183" t="s">
        <v>317</v>
      </c>
      <c r="H133" s="179"/>
      <c r="I133" s="179"/>
      <c r="J133" s="222">
        <v>341</v>
      </c>
      <c r="K133" s="223"/>
      <c r="L133" s="222">
        <f>배분계획!G18</f>
        <v>0</v>
      </c>
      <c r="M133" s="223"/>
      <c r="N133" s="230">
        <f t="shared" si="8"/>
        <v>0</v>
      </c>
      <c r="O133" s="231"/>
      <c r="P133" s="222">
        <v>200</v>
      </c>
      <c r="Q133" s="223"/>
      <c r="R133" s="224">
        <f t="shared" si="9"/>
        <v>100</v>
      </c>
      <c r="S133" s="225"/>
      <c r="T133" s="226">
        <f t="shared" si="10"/>
        <v>0</v>
      </c>
      <c r="U133" s="227"/>
      <c r="V133" s="232">
        <f t="shared" si="11"/>
        <v>0</v>
      </c>
      <c r="W133" s="233"/>
      <c r="X133" s="232">
        <f t="shared" si="12"/>
        <v>0</v>
      </c>
      <c r="Y133" s="233"/>
      <c r="Z133" s="236">
        <f>AB132</f>
        <v>91.98</v>
      </c>
      <c r="AA133" s="236"/>
      <c r="AB133" s="236">
        <f t="shared" si="13"/>
        <v>137.98000000000002</v>
      </c>
      <c r="AC133" s="236"/>
      <c r="AD133" s="196">
        <v>84.1</v>
      </c>
      <c r="AE133" s="196"/>
      <c r="AF133" s="196">
        <v>81.099999999999994</v>
      </c>
      <c r="AG133" s="196"/>
      <c r="AH133" s="176" t="s">
        <v>212</v>
      </c>
      <c r="AI133" s="177"/>
      <c r="AJ133" s="192">
        <v>46</v>
      </c>
      <c r="AK133" s="193"/>
      <c r="AL133" s="176" t="s">
        <v>213</v>
      </c>
      <c r="AM133" s="177"/>
      <c r="AN133" s="178">
        <f t="shared" si="14"/>
        <v>53.880000000000024</v>
      </c>
      <c r="AO133" s="202"/>
    </row>
    <row r="134" spans="1:41" ht="23.1" customHeight="1">
      <c r="A134" s="180" t="s">
        <v>364</v>
      </c>
      <c r="B134" s="180"/>
      <c r="C134" s="182" t="s">
        <v>250</v>
      </c>
      <c r="D134" s="211"/>
      <c r="E134" s="211"/>
      <c r="F134" s="113" t="s">
        <v>200</v>
      </c>
      <c r="G134" s="183" t="s">
        <v>243</v>
      </c>
      <c r="H134" s="179"/>
      <c r="I134" s="179"/>
      <c r="J134" s="222">
        <v>3131</v>
      </c>
      <c r="K134" s="223"/>
      <c r="L134" s="222">
        <f>배분계획!G16</f>
        <v>3839</v>
      </c>
      <c r="M134" s="223"/>
      <c r="N134" s="230">
        <f t="shared" si="8"/>
        <v>4.4432870370370373E-2</v>
      </c>
      <c r="O134" s="231"/>
      <c r="P134" s="222">
        <v>300</v>
      </c>
      <c r="Q134" s="223"/>
      <c r="R134" s="224">
        <f t="shared" si="9"/>
        <v>100</v>
      </c>
      <c r="S134" s="225"/>
      <c r="T134" s="226">
        <f t="shared" si="10"/>
        <v>2.3587078514842644E-3</v>
      </c>
      <c r="U134" s="227"/>
      <c r="V134" s="232">
        <f t="shared" si="11"/>
        <v>0.63331263302732932</v>
      </c>
      <c r="W134" s="233"/>
      <c r="X134" s="232">
        <f t="shared" si="12"/>
        <v>7.39</v>
      </c>
      <c r="Y134" s="233"/>
      <c r="Z134" s="236">
        <f>Z128</f>
        <v>41.32</v>
      </c>
      <c r="AA134" s="236"/>
      <c r="AB134" s="236">
        <f t="shared" si="13"/>
        <v>33.93</v>
      </c>
      <c r="AC134" s="236"/>
      <c r="AD134" s="196">
        <v>25.35</v>
      </c>
      <c r="AE134" s="196"/>
      <c r="AF134" s="196">
        <v>23.85</v>
      </c>
      <c r="AG134" s="196"/>
      <c r="AH134" s="176" t="s">
        <v>212</v>
      </c>
      <c r="AI134" s="177"/>
      <c r="AJ134" s="192"/>
      <c r="AK134" s="193"/>
      <c r="AL134" s="176" t="s">
        <v>213</v>
      </c>
      <c r="AM134" s="177"/>
      <c r="AN134" s="178">
        <f t="shared" si="14"/>
        <v>8.5799999999999983</v>
      </c>
      <c r="AO134" s="202"/>
    </row>
    <row r="136" spans="1:41" s="114" customFormat="1" ht="23.1" customHeight="1">
      <c r="A136" s="111" t="s">
        <v>384</v>
      </c>
    </row>
    <row r="138" spans="1:41" ht="23.1" customHeight="1"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6"/>
      <c r="AK138" s="119"/>
      <c r="AL138" s="119"/>
      <c r="AM138" s="119"/>
    </row>
    <row r="139" spans="1:41" ht="23.1" customHeight="1"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6"/>
      <c r="AK139" s="116"/>
      <c r="AL139" s="116"/>
      <c r="AM139" s="116"/>
    </row>
    <row r="140" spans="1:41" ht="23.1" customHeight="1"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</row>
    <row r="141" spans="1:41" ht="23.1" customHeight="1">
      <c r="B141" s="117"/>
      <c r="C141" s="117"/>
      <c r="D141" s="117"/>
      <c r="E141" s="117"/>
      <c r="F141" s="117"/>
      <c r="G141" s="117"/>
      <c r="H141" s="117"/>
      <c r="I141" s="116"/>
      <c r="J141" s="116"/>
      <c r="K141" s="116"/>
      <c r="L141" s="116"/>
      <c r="M141" s="117"/>
      <c r="N141" s="116"/>
      <c r="O141" s="116"/>
      <c r="P141" s="116"/>
      <c r="Q141" s="116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8"/>
      <c r="AN141" s="118"/>
    </row>
    <row r="142" spans="1:41" ht="23.1" customHeight="1">
      <c r="B142" s="117"/>
      <c r="C142" s="117"/>
      <c r="D142" s="117"/>
      <c r="E142" s="117"/>
      <c r="F142" s="117"/>
      <c r="G142" s="117"/>
      <c r="H142" s="117"/>
      <c r="I142" s="116"/>
      <c r="J142" s="116"/>
      <c r="K142" s="116"/>
      <c r="L142" s="116"/>
      <c r="M142" s="117"/>
      <c r="N142" s="116"/>
      <c r="O142" s="116"/>
      <c r="P142" s="116"/>
      <c r="Q142" s="116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8"/>
      <c r="AN142" s="118"/>
    </row>
    <row r="143" spans="1:41" ht="23.1" customHeight="1">
      <c r="B143" s="117"/>
      <c r="C143" s="117"/>
      <c r="D143" s="117"/>
      <c r="E143" s="117"/>
      <c r="F143" s="117"/>
      <c r="G143" s="117"/>
      <c r="H143" s="117"/>
      <c r="I143" s="116"/>
      <c r="J143" s="116"/>
      <c r="K143" s="116"/>
      <c r="L143" s="116"/>
      <c r="M143" s="117"/>
      <c r="N143" s="116"/>
      <c r="O143" s="116"/>
      <c r="P143" s="116"/>
      <c r="Q143" s="116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</row>
    <row r="144" spans="1:41" ht="23.1" customHeight="1">
      <c r="B144" s="116"/>
      <c r="C144" s="119"/>
      <c r="D144" s="119"/>
      <c r="E144" s="119"/>
      <c r="F144" s="116"/>
      <c r="G144" s="116"/>
      <c r="H144" s="116"/>
      <c r="I144" s="116"/>
      <c r="J144" s="117"/>
      <c r="K144" s="116"/>
      <c r="L144" s="116"/>
      <c r="M144" s="116"/>
      <c r="N144" s="116"/>
      <c r="O144" s="117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9"/>
      <c r="AF144" s="119"/>
      <c r="AG144" s="119"/>
      <c r="AH144" s="116"/>
      <c r="AI144" s="117"/>
      <c r="AJ144" s="116"/>
      <c r="AK144" s="116"/>
      <c r="AL144" s="116"/>
      <c r="AM144" s="116"/>
    </row>
    <row r="145" spans="1:42" ht="23.1" customHeight="1">
      <c r="B145" s="198" t="s">
        <v>257</v>
      </c>
      <c r="C145" s="209"/>
      <c r="D145" s="209"/>
      <c r="E145" s="210"/>
      <c r="F145" s="112"/>
      <c r="G145" s="206" t="s">
        <v>253</v>
      </c>
      <c r="H145" s="206"/>
      <c r="I145" s="206"/>
      <c r="J145" s="117"/>
      <c r="K145" s="198" t="s">
        <v>261</v>
      </c>
      <c r="L145" s="203"/>
      <c r="M145" s="203"/>
      <c r="N145" s="199"/>
      <c r="O145" s="117"/>
      <c r="P145" s="206" t="s">
        <v>254</v>
      </c>
      <c r="Q145" s="206"/>
      <c r="R145" s="206"/>
      <c r="S145" s="116"/>
      <c r="T145" s="198" t="s">
        <v>244</v>
      </c>
      <c r="U145" s="209"/>
      <c r="V145" s="209"/>
      <c r="W145" s="210"/>
      <c r="X145" s="116"/>
      <c r="Y145" s="117"/>
      <c r="Z145" s="117"/>
      <c r="AA145" s="116"/>
      <c r="AB145" s="116"/>
      <c r="AC145" s="116"/>
      <c r="AD145" s="117"/>
      <c r="AE145" s="117"/>
      <c r="AF145" s="116"/>
      <c r="AG145" s="116"/>
      <c r="AH145" s="116"/>
      <c r="AI145" s="117"/>
      <c r="AJ145" s="116"/>
      <c r="AK145" s="116"/>
      <c r="AL145" s="116"/>
      <c r="AM145" s="116"/>
    </row>
    <row r="146" spans="1:42" ht="23.1" customHeight="1">
      <c r="B146" s="200" t="s">
        <v>234</v>
      </c>
      <c r="C146" s="204"/>
      <c r="D146" s="205">
        <f>Z155</f>
        <v>39.36</v>
      </c>
      <c r="E146" s="201"/>
      <c r="G146" s="110" t="s">
        <v>231</v>
      </c>
      <c r="H146" s="207">
        <f>P155</f>
        <v>250</v>
      </c>
      <c r="I146" s="207"/>
      <c r="J146" s="117"/>
      <c r="K146" s="200" t="s">
        <v>222</v>
      </c>
      <c r="L146" s="204"/>
      <c r="M146" s="205">
        <f>AJ156</f>
        <v>28</v>
      </c>
      <c r="N146" s="220"/>
      <c r="O146" s="117"/>
      <c r="P146" s="110" t="s">
        <v>231</v>
      </c>
      <c r="Q146" s="207">
        <f>P156</f>
        <v>250</v>
      </c>
      <c r="R146" s="207"/>
      <c r="S146" s="118"/>
      <c r="T146" s="200" t="s">
        <v>223</v>
      </c>
      <c r="U146" s="204"/>
      <c r="V146" s="205">
        <f>AF156</f>
        <v>46</v>
      </c>
      <c r="W146" s="201"/>
      <c r="X146" s="118"/>
      <c r="Y146" s="117"/>
      <c r="Z146" s="117"/>
      <c r="AA146" s="117"/>
      <c r="AB146" s="118"/>
      <c r="AC146" s="118"/>
      <c r="AD146" s="117"/>
      <c r="AE146" s="117"/>
      <c r="AF146" s="117"/>
      <c r="AG146" s="118"/>
      <c r="AH146" s="118"/>
      <c r="AI146" s="117"/>
      <c r="AJ146" s="116"/>
      <c r="AK146" s="116"/>
      <c r="AL146" s="116"/>
      <c r="AM146" s="116"/>
    </row>
    <row r="147" spans="1:42" ht="23.1" customHeight="1">
      <c r="G147" s="110" t="s">
        <v>232</v>
      </c>
      <c r="H147" s="208">
        <f>J155</f>
        <v>167</v>
      </c>
      <c r="I147" s="208"/>
      <c r="J147" s="117"/>
      <c r="K147" s="117"/>
      <c r="M147" s="124"/>
      <c r="N147" s="124"/>
      <c r="O147" s="117"/>
      <c r="P147" s="110" t="s">
        <v>232</v>
      </c>
      <c r="Q147" s="208">
        <f>J156</f>
        <v>311</v>
      </c>
      <c r="R147" s="208"/>
      <c r="S147" s="118"/>
      <c r="T147" s="117"/>
      <c r="U147" s="117"/>
      <c r="V147" s="118"/>
      <c r="W147" s="118"/>
      <c r="X147" s="118"/>
      <c r="Y147" s="117"/>
      <c r="AA147" s="118"/>
      <c r="AB147" s="118"/>
      <c r="AC147" s="118"/>
      <c r="AD147" s="117"/>
      <c r="AE147" s="117"/>
      <c r="AF147" s="117"/>
      <c r="AG147" s="118"/>
      <c r="AH147" s="118"/>
      <c r="AI147" s="117"/>
      <c r="AJ147" s="117"/>
      <c r="AK147" s="117"/>
      <c r="AL147" s="117"/>
      <c r="AM147" s="117"/>
    </row>
    <row r="148" spans="1:42" ht="23.1" customHeight="1">
      <c r="B148" s="117"/>
      <c r="C148" s="117"/>
      <c r="D148" s="117"/>
      <c r="E148" s="117"/>
      <c r="F148" s="117"/>
      <c r="G148" s="117"/>
      <c r="H148" s="117"/>
      <c r="I148" s="116"/>
      <c r="J148" s="116"/>
      <c r="K148" s="116"/>
      <c r="L148" s="116"/>
      <c r="M148" s="117"/>
      <c r="N148" s="116"/>
      <c r="O148" s="116"/>
      <c r="P148" s="116"/>
      <c r="Q148" s="116"/>
      <c r="R148" s="117"/>
      <c r="S148" s="116"/>
      <c r="T148" s="116"/>
      <c r="U148" s="116"/>
      <c r="V148" s="116"/>
      <c r="W148" s="117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7"/>
      <c r="AH148" s="117"/>
      <c r="AI148" s="117"/>
      <c r="AJ148" s="117"/>
      <c r="AK148" s="117"/>
      <c r="AL148" s="117"/>
      <c r="AM148" s="117"/>
    </row>
    <row r="149" spans="1:42" ht="23.1" customHeight="1">
      <c r="B149" s="117"/>
      <c r="C149" s="117"/>
      <c r="D149" s="117"/>
      <c r="E149" s="117"/>
      <c r="F149" s="117"/>
      <c r="G149" s="117"/>
      <c r="H149" s="117"/>
      <c r="I149" s="116"/>
      <c r="J149" s="116"/>
      <c r="K149" s="116"/>
      <c r="L149" s="116"/>
      <c r="M149" s="117"/>
      <c r="N149" s="116"/>
      <c r="O149" s="116"/>
      <c r="P149" s="116"/>
      <c r="Q149" s="116"/>
      <c r="R149" s="117"/>
      <c r="S149" s="116"/>
      <c r="T149" s="116"/>
      <c r="U149" s="116"/>
      <c r="V149" s="116"/>
      <c r="W149" s="117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7"/>
      <c r="AH149" s="117"/>
      <c r="AI149" s="117"/>
      <c r="AJ149" s="117"/>
      <c r="AK149" s="117"/>
      <c r="AL149" s="117"/>
      <c r="AM149" s="117"/>
    </row>
    <row r="150" spans="1:42" ht="23.1" customHeight="1">
      <c r="B150" s="117"/>
      <c r="C150" s="117"/>
      <c r="D150" s="117"/>
      <c r="E150" s="117"/>
      <c r="F150" s="117"/>
      <c r="G150" s="117"/>
      <c r="H150" s="117"/>
      <c r="I150" s="117"/>
      <c r="J150" s="116"/>
      <c r="K150" s="116"/>
      <c r="L150" s="116"/>
      <c r="M150" s="117"/>
      <c r="N150" s="117"/>
      <c r="O150" s="116"/>
      <c r="P150" s="116"/>
      <c r="Q150" s="116"/>
      <c r="R150" s="117"/>
      <c r="S150" s="117"/>
      <c r="T150" s="116"/>
      <c r="U150" s="116"/>
      <c r="V150" s="116"/>
      <c r="W150" s="117"/>
      <c r="X150" s="117"/>
      <c r="Y150" s="116"/>
      <c r="Z150" s="116"/>
      <c r="AA150" s="116"/>
      <c r="AB150" s="117"/>
      <c r="AC150" s="117"/>
      <c r="AD150" s="116"/>
      <c r="AE150" s="116"/>
      <c r="AF150" s="116"/>
      <c r="AG150" s="117"/>
      <c r="AH150" s="117"/>
      <c r="AI150" s="117"/>
      <c r="AJ150" s="117"/>
      <c r="AK150" s="117"/>
      <c r="AL150" s="117"/>
      <c r="AM150" s="117"/>
    </row>
    <row r="153" spans="1:42" ht="23.1" customHeight="1">
      <c r="A153" s="179" t="s">
        <v>179</v>
      </c>
      <c r="B153" s="179"/>
      <c r="C153" s="179" t="s">
        <v>180</v>
      </c>
      <c r="D153" s="179"/>
      <c r="E153" s="179"/>
      <c r="F153" s="179"/>
      <c r="G153" s="179"/>
      <c r="H153" s="179"/>
      <c r="I153" s="179"/>
      <c r="J153" s="181" t="s">
        <v>195</v>
      </c>
      <c r="K153" s="179"/>
      <c r="L153" s="179" t="s">
        <v>181</v>
      </c>
      <c r="M153" s="179"/>
      <c r="N153" s="179"/>
      <c r="O153" s="179"/>
      <c r="P153" s="181" t="s">
        <v>189</v>
      </c>
      <c r="Q153" s="179"/>
      <c r="R153" s="181" t="s">
        <v>190</v>
      </c>
      <c r="S153" s="179"/>
      <c r="T153" s="181" t="s">
        <v>191</v>
      </c>
      <c r="U153" s="179"/>
      <c r="V153" s="181" t="s">
        <v>193</v>
      </c>
      <c r="W153" s="179"/>
      <c r="X153" s="181" t="s">
        <v>194</v>
      </c>
      <c r="Y153" s="179"/>
      <c r="Z153" s="179" t="s">
        <v>196</v>
      </c>
      <c r="AA153" s="179"/>
      <c r="AB153" s="179"/>
      <c r="AC153" s="179"/>
      <c r="AD153" s="179" t="s">
        <v>184</v>
      </c>
      <c r="AE153" s="179"/>
      <c r="AF153" s="179"/>
      <c r="AG153" s="179"/>
      <c r="AH153" s="179" t="s">
        <v>187</v>
      </c>
      <c r="AI153" s="179"/>
      <c r="AJ153" s="179"/>
      <c r="AK153" s="179"/>
      <c r="AL153" s="179"/>
      <c r="AM153" s="179"/>
      <c r="AN153" s="179"/>
      <c r="AO153" s="179"/>
      <c r="AP153" s="116"/>
    </row>
    <row r="154" spans="1:42" ht="23.1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 t="s">
        <v>197</v>
      </c>
      <c r="M154" s="179"/>
      <c r="N154" s="179" t="s">
        <v>188</v>
      </c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 t="s">
        <v>182</v>
      </c>
      <c r="AA154" s="179"/>
      <c r="AB154" s="179" t="s">
        <v>183</v>
      </c>
      <c r="AC154" s="179"/>
      <c r="AD154" s="179" t="s">
        <v>185</v>
      </c>
      <c r="AE154" s="179"/>
      <c r="AF154" s="179" t="s">
        <v>186</v>
      </c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16"/>
    </row>
    <row r="155" spans="1:42" ht="23.1" customHeight="1">
      <c r="A155" s="180" t="s">
        <v>255</v>
      </c>
      <c r="B155" s="180"/>
      <c r="C155" s="179" t="s">
        <v>257</v>
      </c>
      <c r="D155" s="179"/>
      <c r="E155" s="182"/>
      <c r="F155" s="113" t="s">
        <v>200</v>
      </c>
      <c r="G155" s="183" t="s">
        <v>261</v>
      </c>
      <c r="H155" s="179"/>
      <c r="I155" s="179"/>
      <c r="J155" s="222">
        <v>167</v>
      </c>
      <c r="K155" s="223"/>
      <c r="L155" s="222">
        <f>L156</f>
        <v>2578</v>
      </c>
      <c r="M155" s="223"/>
      <c r="N155" s="230">
        <f>L155/24/60/60</f>
        <v>2.9837962962962965E-2</v>
      </c>
      <c r="O155" s="231"/>
      <c r="P155" s="222">
        <v>250</v>
      </c>
      <c r="Q155" s="223"/>
      <c r="R155" s="224">
        <f>IF(P155&lt;=600,100,IF(P155&gt;=1000,120,110))</f>
        <v>100</v>
      </c>
      <c r="S155" s="225"/>
      <c r="T155" s="226">
        <f>10.666*R155^(-1.85)*(P155/1000)^(-4.87)*N155^1.85</f>
        <v>2.7438268562659501E-3</v>
      </c>
      <c r="U155" s="227"/>
      <c r="V155" s="232">
        <f>0.35464*R155*(P155/1000)^(0.63)*T155^(0.54)</f>
        <v>0.61263604193932675</v>
      </c>
      <c r="W155" s="233"/>
      <c r="X155" s="232">
        <f>ROUND(T155*J155,2)</f>
        <v>0.46</v>
      </c>
      <c r="Y155" s="233"/>
      <c r="Z155" s="236">
        <f>AB74</f>
        <v>39.36</v>
      </c>
      <c r="AA155" s="236"/>
      <c r="AB155" s="236">
        <f>Z155-X155+AJ155</f>
        <v>38.9</v>
      </c>
      <c r="AC155" s="236"/>
      <c r="AD155" s="197"/>
      <c r="AE155" s="197"/>
      <c r="AF155" s="197"/>
      <c r="AG155" s="197"/>
      <c r="AH155" s="176" t="s">
        <v>212</v>
      </c>
      <c r="AI155" s="177"/>
      <c r="AJ155" s="183"/>
      <c r="AK155" s="179"/>
      <c r="AL155" s="176" t="s">
        <v>213</v>
      </c>
      <c r="AM155" s="177"/>
      <c r="AN155" s="178" t="str">
        <f>IF(AD155="","",AB155-AD155)</f>
        <v/>
      </c>
      <c r="AO155" s="202"/>
    </row>
    <row r="156" spans="1:42" ht="23.1" customHeight="1">
      <c r="A156" s="180" t="s">
        <v>256</v>
      </c>
      <c r="B156" s="180"/>
      <c r="C156" s="179" t="s">
        <v>261</v>
      </c>
      <c r="D156" s="179"/>
      <c r="E156" s="182"/>
      <c r="F156" s="113" t="s">
        <v>200</v>
      </c>
      <c r="G156" s="183" t="s">
        <v>244</v>
      </c>
      <c r="H156" s="179"/>
      <c r="I156" s="179"/>
      <c r="J156" s="222">
        <v>311</v>
      </c>
      <c r="K156" s="223"/>
      <c r="L156" s="222">
        <f>배분계획!G13</f>
        <v>2578</v>
      </c>
      <c r="M156" s="223"/>
      <c r="N156" s="230">
        <f>L156/24/60/60</f>
        <v>2.9837962962962965E-2</v>
      </c>
      <c r="O156" s="231"/>
      <c r="P156" s="222">
        <v>250</v>
      </c>
      <c r="Q156" s="223"/>
      <c r="R156" s="224">
        <f>IF(P156&lt;=600,100,IF(P156&gt;=1000,120,110))</f>
        <v>100</v>
      </c>
      <c r="S156" s="225"/>
      <c r="T156" s="226">
        <f>10.666*R156^(-1.85)*(P156/1000)^(-4.87)*N156^1.85</f>
        <v>2.7438268562659501E-3</v>
      </c>
      <c r="U156" s="227"/>
      <c r="V156" s="232">
        <f>0.35464*R156*(P156/1000)^(0.63)*T156^(0.54)</f>
        <v>0.61263604193932675</v>
      </c>
      <c r="W156" s="233"/>
      <c r="X156" s="232">
        <f>ROUND(T156*J156,2)</f>
        <v>0.85</v>
      </c>
      <c r="Y156" s="233"/>
      <c r="Z156" s="236">
        <f>AB155</f>
        <v>38.9</v>
      </c>
      <c r="AA156" s="236"/>
      <c r="AB156" s="236">
        <f>Z156-X156+AJ156</f>
        <v>66.05</v>
      </c>
      <c r="AC156" s="236"/>
      <c r="AD156" s="196">
        <v>49.5</v>
      </c>
      <c r="AE156" s="196"/>
      <c r="AF156" s="196">
        <v>46</v>
      </c>
      <c r="AG156" s="196"/>
      <c r="AH156" s="176" t="s">
        <v>212</v>
      </c>
      <c r="AI156" s="177"/>
      <c r="AJ156" s="192">
        <v>28</v>
      </c>
      <c r="AK156" s="193"/>
      <c r="AL156" s="176" t="s">
        <v>213</v>
      </c>
      <c r="AM156" s="177"/>
      <c r="AN156" s="178">
        <f>IF(AD156="","",AB156-AD156)</f>
        <v>16.549999999999997</v>
      </c>
      <c r="AO156" s="202"/>
    </row>
    <row r="163" spans="1:40" s="114" customFormat="1" ht="23.1" customHeight="1">
      <c r="A163" s="111" t="s">
        <v>385</v>
      </c>
    </row>
    <row r="165" spans="1:40" ht="23.1" customHeight="1"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6"/>
      <c r="AK165" s="119"/>
      <c r="AL165" s="119"/>
      <c r="AM165" s="119"/>
    </row>
    <row r="166" spans="1:40" ht="23.1" customHeight="1"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6"/>
      <c r="AK166" s="119"/>
      <c r="AL166" s="119"/>
      <c r="AM166" s="119"/>
    </row>
    <row r="167" spans="1:40" ht="23.1" customHeight="1"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98" t="s">
        <v>471</v>
      </c>
      <c r="AD167" s="203"/>
      <c r="AE167" s="203"/>
      <c r="AF167" s="199"/>
      <c r="AG167" s="117"/>
      <c r="AH167" s="117"/>
      <c r="AI167" s="117"/>
      <c r="AJ167" s="116"/>
      <c r="AK167" s="116"/>
      <c r="AL167" s="116"/>
      <c r="AM167" s="116"/>
    </row>
    <row r="168" spans="1:40" ht="23.1" customHeight="1"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200" t="s">
        <v>222</v>
      </c>
      <c r="AD168" s="204"/>
      <c r="AE168" s="205">
        <f>AJ187</f>
        <v>40</v>
      </c>
      <c r="AF168" s="220"/>
      <c r="AG168" s="117"/>
      <c r="AH168" s="117"/>
      <c r="AI168" s="117"/>
      <c r="AJ168" s="117"/>
      <c r="AK168" s="117"/>
      <c r="AL168" s="117"/>
      <c r="AM168" s="117"/>
    </row>
    <row r="169" spans="1:40" ht="23.1" customHeight="1"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6"/>
      <c r="AJ169" s="116"/>
      <c r="AK169" s="116"/>
      <c r="AL169" s="117"/>
      <c r="AM169" s="118"/>
      <c r="AN169" s="118"/>
    </row>
    <row r="170" spans="1:40" ht="23.1" customHeight="1">
      <c r="B170" s="117"/>
      <c r="C170" s="117"/>
      <c r="D170" s="117"/>
      <c r="E170" s="117"/>
      <c r="F170" s="117"/>
      <c r="G170" s="117"/>
      <c r="H170" s="117"/>
      <c r="I170" s="198" t="s">
        <v>285</v>
      </c>
      <c r="J170" s="203"/>
      <c r="K170" s="203"/>
      <c r="L170" s="199"/>
      <c r="M170" s="117"/>
      <c r="N170" s="198" t="s">
        <v>469</v>
      </c>
      <c r="O170" s="203"/>
      <c r="P170" s="203"/>
      <c r="Q170" s="199"/>
      <c r="R170" s="117"/>
      <c r="S170" s="198" t="s">
        <v>287</v>
      </c>
      <c r="T170" s="203"/>
      <c r="U170" s="203"/>
      <c r="V170" s="199"/>
      <c r="W170" s="117"/>
      <c r="X170" s="198" t="s">
        <v>468</v>
      </c>
      <c r="Y170" s="203"/>
      <c r="Z170" s="203"/>
      <c r="AA170" s="199"/>
      <c r="AB170" s="117"/>
      <c r="AC170" s="198" t="s">
        <v>366</v>
      </c>
      <c r="AD170" s="203"/>
      <c r="AE170" s="203"/>
      <c r="AF170" s="199"/>
      <c r="AG170" s="117"/>
      <c r="AH170" s="117"/>
      <c r="AI170" s="117"/>
      <c r="AJ170" s="117"/>
      <c r="AK170" s="117"/>
      <c r="AL170" s="117"/>
      <c r="AM170" s="118"/>
      <c r="AN170" s="118"/>
    </row>
    <row r="171" spans="1:40" ht="23.1" customHeight="1">
      <c r="B171" s="117"/>
      <c r="C171" s="117"/>
      <c r="D171" s="117"/>
      <c r="E171" s="117"/>
      <c r="F171" s="117"/>
      <c r="G171" s="117"/>
      <c r="H171" s="117"/>
      <c r="I171" s="200" t="s">
        <v>234</v>
      </c>
      <c r="J171" s="204"/>
      <c r="K171" s="205">
        <f>AB182</f>
        <v>47.53</v>
      </c>
      <c r="L171" s="201"/>
      <c r="M171" s="117"/>
      <c r="N171" s="200" t="s">
        <v>222</v>
      </c>
      <c r="O171" s="204"/>
      <c r="P171" s="205">
        <f>AJ184</f>
        <v>80</v>
      </c>
      <c r="Q171" s="220"/>
      <c r="R171" s="117"/>
      <c r="S171" s="200" t="s">
        <v>234</v>
      </c>
      <c r="T171" s="204"/>
      <c r="U171" s="205">
        <f>AB183</f>
        <v>35.730000000000004</v>
      </c>
      <c r="V171" s="201"/>
      <c r="W171" s="117"/>
      <c r="X171" s="200"/>
      <c r="Y171" s="204"/>
      <c r="Z171" s="204"/>
      <c r="AA171" s="201"/>
      <c r="AB171" s="117"/>
      <c r="AC171" s="200" t="s">
        <v>234</v>
      </c>
      <c r="AD171" s="204"/>
      <c r="AE171" s="205">
        <f>AB186</f>
        <v>57.160000000000018</v>
      </c>
      <c r="AF171" s="201"/>
      <c r="AG171" s="117"/>
      <c r="AH171" s="117"/>
      <c r="AI171" s="117"/>
      <c r="AJ171" s="117"/>
      <c r="AK171" s="117"/>
      <c r="AL171" s="117"/>
      <c r="AM171" s="117"/>
    </row>
    <row r="172" spans="1:40" ht="23.1" customHeight="1">
      <c r="B172" s="198" t="s">
        <v>269</v>
      </c>
      <c r="C172" s="203"/>
      <c r="D172" s="203"/>
      <c r="E172" s="199"/>
      <c r="F172" s="112"/>
      <c r="G172" s="206" t="s">
        <v>259</v>
      </c>
      <c r="H172" s="206"/>
      <c r="I172" s="206"/>
      <c r="J172" s="117"/>
      <c r="K172" s="116"/>
      <c r="L172" s="206" t="s">
        <v>260</v>
      </c>
      <c r="M172" s="206"/>
      <c r="N172" s="206"/>
      <c r="O172" s="117"/>
      <c r="P172" s="116"/>
      <c r="Q172" s="206" t="s">
        <v>372</v>
      </c>
      <c r="R172" s="206"/>
      <c r="S172" s="206"/>
      <c r="T172" s="116"/>
      <c r="U172" s="116"/>
      <c r="V172" s="206" t="s">
        <v>373</v>
      </c>
      <c r="W172" s="206"/>
      <c r="X172" s="206"/>
      <c r="Y172" s="116"/>
      <c r="Z172" s="117"/>
      <c r="AA172" s="206" t="s">
        <v>374</v>
      </c>
      <c r="AB172" s="206"/>
      <c r="AC172" s="206"/>
      <c r="AD172" s="116"/>
      <c r="AE172" s="116"/>
      <c r="AF172" s="206" t="s">
        <v>467</v>
      </c>
      <c r="AG172" s="206"/>
      <c r="AH172" s="206"/>
      <c r="AI172" s="117"/>
      <c r="AJ172" s="198" t="s">
        <v>271</v>
      </c>
      <c r="AK172" s="209"/>
      <c r="AL172" s="209"/>
      <c r="AM172" s="210"/>
    </row>
    <row r="173" spans="1:40" ht="23.1" customHeight="1">
      <c r="B173" s="200" t="s">
        <v>222</v>
      </c>
      <c r="C173" s="204"/>
      <c r="D173" s="205">
        <f>AJ182</f>
        <v>76</v>
      </c>
      <c r="E173" s="220"/>
      <c r="G173" s="110" t="s">
        <v>231</v>
      </c>
      <c r="H173" s="207">
        <f>P182</f>
        <v>300</v>
      </c>
      <c r="I173" s="207"/>
      <c r="J173" s="117"/>
      <c r="K173" s="116"/>
      <c r="L173" s="110" t="s">
        <v>231</v>
      </c>
      <c r="M173" s="207">
        <f>P183</f>
        <v>300</v>
      </c>
      <c r="N173" s="207"/>
      <c r="O173" s="117"/>
      <c r="P173" s="116"/>
      <c r="Q173" s="110" t="s">
        <v>231</v>
      </c>
      <c r="R173" s="207">
        <f>P184</f>
        <v>300</v>
      </c>
      <c r="S173" s="207"/>
      <c r="T173" s="116"/>
      <c r="U173" s="116"/>
      <c r="V173" s="110" t="s">
        <v>231</v>
      </c>
      <c r="W173" s="207">
        <f>P185</f>
        <v>300</v>
      </c>
      <c r="X173" s="207"/>
      <c r="Y173" s="116"/>
      <c r="Z173" s="117"/>
      <c r="AA173" s="110" t="s">
        <v>231</v>
      </c>
      <c r="AB173" s="207">
        <f>P186</f>
        <v>300</v>
      </c>
      <c r="AC173" s="207"/>
      <c r="AD173" s="116"/>
      <c r="AE173" s="116"/>
      <c r="AF173" s="165" t="s">
        <v>231</v>
      </c>
      <c r="AG173" s="207">
        <f>P187</f>
        <v>300</v>
      </c>
      <c r="AH173" s="207"/>
      <c r="AI173" s="117"/>
      <c r="AJ173" s="200" t="s">
        <v>223</v>
      </c>
      <c r="AK173" s="204"/>
      <c r="AL173" s="205">
        <f>AD187</f>
        <v>87.8</v>
      </c>
      <c r="AM173" s="201"/>
    </row>
    <row r="174" spans="1:40" ht="23.1" customHeight="1">
      <c r="G174" s="110" t="s">
        <v>232</v>
      </c>
      <c r="H174" s="208">
        <f>J182</f>
        <v>3483</v>
      </c>
      <c r="I174" s="208"/>
      <c r="J174" s="117"/>
      <c r="K174" s="117"/>
      <c r="L174" s="110" t="s">
        <v>232</v>
      </c>
      <c r="M174" s="208">
        <f>J183</f>
        <v>1500</v>
      </c>
      <c r="N174" s="208"/>
      <c r="O174" s="117"/>
      <c r="P174" s="117"/>
      <c r="Q174" s="110" t="s">
        <v>232</v>
      </c>
      <c r="R174" s="208">
        <f>J184</f>
        <v>1859</v>
      </c>
      <c r="S174" s="208"/>
      <c r="T174" s="117"/>
      <c r="U174" s="117"/>
      <c r="V174" s="110" t="s">
        <v>232</v>
      </c>
      <c r="W174" s="208">
        <f>J185</f>
        <v>4636</v>
      </c>
      <c r="X174" s="208"/>
      <c r="Y174" s="117"/>
      <c r="Z174" s="117"/>
      <c r="AA174" s="110" t="s">
        <v>232</v>
      </c>
      <c r="AB174" s="208">
        <f>J186</f>
        <v>1258</v>
      </c>
      <c r="AC174" s="208"/>
      <c r="AD174" s="117"/>
      <c r="AE174" s="117"/>
      <c r="AF174" s="165" t="s">
        <v>232</v>
      </c>
      <c r="AG174" s="208">
        <f>J187</f>
        <v>236</v>
      </c>
      <c r="AH174" s="208"/>
      <c r="AI174" s="117"/>
      <c r="AJ174" s="117"/>
      <c r="AK174" s="117"/>
      <c r="AL174" s="117"/>
      <c r="AM174" s="117"/>
    </row>
    <row r="175" spans="1:40" ht="23.1" customHeight="1"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</row>
    <row r="176" spans="1:40" ht="23.1" customHeight="1">
      <c r="B176" s="117"/>
      <c r="C176" s="117"/>
      <c r="D176" s="117"/>
      <c r="E176" s="117"/>
      <c r="F176" s="117"/>
      <c r="G176" s="117"/>
      <c r="H176" s="117"/>
      <c r="I176" s="198" t="s">
        <v>288</v>
      </c>
      <c r="J176" s="203"/>
      <c r="K176" s="203"/>
      <c r="L176" s="199"/>
      <c r="M176" s="117"/>
      <c r="N176" s="116"/>
      <c r="O176" s="119"/>
      <c r="P176" s="119"/>
      <c r="Q176" s="119"/>
      <c r="R176" s="117"/>
      <c r="S176" s="198" t="s">
        <v>289</v>
      </c>
      <c r="T176" s="203"/>
      <c r="U176" s="203"/>
      <c r="V176" s="199"/>
      <c r="W176" s="117"/>
      <c r="X176" s="116"/>
      <c r="Y176" s="116"/>
      <c r="Z176" s="116"/>
      <c r="AA176" s="116"/>
      <c r="AB176" s="117"/>
      <c r="AC176" s="198" t="s">
        <v>318</v>
      </c>
      <c r="AD176" s="203"/>
      <c r="AE176" s="203"/>
      <c r="AF176" s="199"/>
      <c r="AG176" s="117"/>
      <c r="AH176" s="117"/>
      <c r="AI176" s="117"/>
      <c r="AJ176" s="117"/>
      <c r="AK176" s="117"/>
      <c r="AL176" s="117"/>
      <c r="AM176" s="117"/>
    </row>
    <row r="177" spans="1:42" ht="23.1" customHeight="1">
      <c r="B177" s="117"/>
      <c r="C177" s="117"/>
      <c r="D177" s="117"/>
      <c r="E177" s="117"/>
      <c r="F177" s="117"/>
      <c r="G177" s="117"/>
      <c r="H177" s="117"/>
      <c r="I177" s="115" t="s">
        <v>233</v>
      </c>
      <c r="J177" s="237">
        <f>배분계획!G5</f>
        <v>1013</v>
      </c>
      <c r="K177" s="204"/>
      <c r="L177" s="201"/>
      <c r="M177" s="117"/>
      <c r="N177" s="117"/>
      <c r="O177" s="135"/>
      <c r="P177" s="119"/>
      <c r="Q177" s="119"/>
      <c r="R177" s="117"/>
      <c r="S177" s="164" t="s">
        <v>233</v>
      </c>
      <c r="T177" s="237">
        <f>배분계획!G6</f>
        <v>210</v>
      </c>
      <c r="U177" s="204"/>
      <c r="V177" s="201"/>
      <c r="W177" s="117"/>
      <c r="X177" s="117"/>
      <c r="Y177" s="135"/>
      <c r="Z177" s="116"/>
      <c r="AA177" s="116"/>
      <c r="AB177" s="117"/>
      <c r="AC177" s="164" t="s">
        <v>233</v>
      </c>
      <c r="AD177" s="237">
        <f>배분계획!G20+배분계획!G11</f>
        <v>2405</v>
      </c>
      <c r="AE177" s="204"/>
      <c r="AF177" s="201"/>
      <c r="AG177" s="117"/>
      <c r="AH177" s="117"/>
      <c r="AI177" s="117"/>
      <c r="AJ177" s="117"/>
      <c r="AK177" s="117"/>
      <c r="AL177" s="117"/>
      <c r="AM177" s="117"/>
    </row>
    <row r="180" spans="1:42" ht="23.1" customHeight="1">
      <c r="A180" s="179" t="s">
        <v>179</v>
      </c>
      <c r="B180" s="179"/>
      <c r="C180" s="179" t="s">
        <v>180</v>
      </c>
      <c r="D180" s="179"/>
      <c r="E180" s="179"/>
      <c r="F180" s="179"/>
      <c r="G180" s="179"/>
      <c r="H180" s="179"/>
      <c r="I180" s="179"/>
      <c r="J180" s="181" t="s">
        <v>195</v>
      </c>
      <c r="K180" s="179"/>
      <c r="L180" s="179" t="s">
        <v>181</v>
      </c>
      <c r="M180" s="179"/>
      <c r="N180" s="179"/>
      <c r="O180" s="179"/>
      <c r="P180" s="181" t="s">
        <v>189</v>
      </c>
      <c r="Q180" s="179"/>
      <c r="R180" s="181" t="s">
        <v>190</v>
      </c>
      <c r="S180" s="179"/>
      <c r="T180" s="181" t="s">
        <v>191</v>
      </c>
      <c r="U180" s="179"/>
      <c r="V180" s="181" t="s">
        <v>193</v>
      </c>
      <c r="W180" s="179"/>
      <c r="X180" s="181" t="s">
        <v>194</v>
      </c>
      <c r="Y180" s="179"/>
      <c r="Z180" s="179" t="s">
        <v>196</v>
      </c>
      <c r="AA180" s="179"/>
      <c r="AB180" s="179"/>
      <c r="AC180" s="179"/>
      <c r="AD180" s="179" t="s">
        <v>184</v>
      </c>
      <c r="AE180" s="179"/>
      <c r="AF180" s="179"/>
      <c r="AG180" s="179"/>
      <c r="AH180" s="179" t="s">
        <v>187</v>
      </c>
      <c r="AI180" s="179"/>
      <c r="AJ180" s="179"/>
      <c r="AK180" s="179"/>
      <c r="AL180" s="179"/>
      <c r="AM180" s="179"/>
      <c r="AN180" s="179"/>
      <c r="AO180" s="179"/>
      <c r="AP180" s="116"/>
    </row>
    <row r="181" spans="1:42" ht="23.1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 t="s">
        <v>197</v>
      </c>
      <c r="M181" s="179"/>
      <c r="N181" s="179" t="s">
        <v>188</v>
      </c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 t="s">
        <v>182</v>
      </c>
      <c r="AA181" s="179"/>
      <c r="AB181" s="179" t="s">
        <v>183</v>
      </c>
      <c r="AC181" s="179"/>
      <c r="AD181" s="179" t="s">
        <v>185</v>
      </c>
      <c r="AE181" s="179"/>
      <c r="AF181" s="179" t="s">
        <v>186</v>
      </c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16"/>
    </row>
    <row r="182" spans="1:42" ht="23.1" customHeight="1">
      <c r="A182" s="180" t="s">
        <v>263</v>
      </c>
      <c r="B182" s="180"/>
      <c r="C182" s="181" t="s">
        <v>273</v>
      </c>
      <c r="D182" s="179"/>
      <c r="E182" s="182"/>
      <c r="F182" s="113" t="s">
        <v>200</v>
      </c>
      <c r="G182" s="183" t="s">
        <v>285</v>
      </c>
      <c r="H182" s="179"/>
      <c r="I182" s="179"/>
      <c r="J182" s="222">
        <v>3483</v>
      </c>
      <c r="K182" s="223"/>
      <c r="L182" s="222">
        <f>L183+J177</f>
        <v>8375</v>
      </c>
      <c r="M182" s="223"/>
      <c r="N182" s="230">
        <f t="shared" ref="N182:N187" si="15">L182/24/60/60</f>
        <v>9.6932870370370378E-2</v>
      </c>
      <c r="O182" s="231"/>
      <c r="P182" s="222">
        <v>300</v>
      </c>
      <c r="Q182" s="223"/>
      <c r="R182" s="224">
        <f t="shared" ref="R182:R187" si="16">IF(P182&lt;=600,100,IF(P182&gt;=1000,120,110))</f>
        <v>100</v>
      </c>
      <c r="S182" s="225"/>
      <c r="T182" s="226">
        <f t="shared" ref="T182:T187" si="17">10.666*R182^(-1.85)*(P182/1000)^(-4.87)*N182^1.85</f>
        <v>9.9860228239132404E-3</v>
      </c>
      <c r="U182" s="227"/>
      <c r="V182" s="232">
        <f t="shared" ref="V182:V187" si="18">0.35464*R182*(P182/1000)^(0.63)*T182^(0.54)</f>
        <v>1.380530761222343</v>
      </c>
      <c r="W182" s="233"/>
      <c r="X182" s="232">
        <f t="shared" ref="X182:X187" si="19">ROUND(T182*J182,2)</f>
        <v>34.78</v>
      </c>
      <c r="Y182" s="233"/>
      <c r="Z182" s="236">
        <f>AB76</f>
        <v>6.3100000000000023</v>
      </c>
      <c r="AA182" s="236"/>
      <c r="AB182" s="236">
        <f t="shared" ref="AB182:AB187" si="20">Z182-X182+AJ182</f>
        <v>47.53</v>
      </c>
      <c r="AC182" s="236"/>
      <c r="AD182" s="197"/>
      <c r="AE182" s="197"/>
      <c r="AF182" s="197"/>
      <c r="AG182" s="197"/>
      <c r="AH182" s="176" t="s">
        <v>212</v>
      </c>
      <c r="AI182" s="177"/>
      <c r="AJ182" s="192">
        <v>76</v>
      </c>
      <c r="AK182" s="193"/>
      <c r="AL182" s="176" t="s">
        <v>213</v>
      </c>
      <c r="AM182" s="177"/>
      <c r="AN182" s="178" t="str">
        <f t="shared" ref="AN182:AN187" si="21">IF(AD182="","",AB182-AD182)</f>
        <v/>
      </c>
      <c r="AO182" s="202"/>
    </row>
    <row r="183" spans="1:42" ht="23.1" customHeight="1">
      <c r="A183" s="180" t="s">
        <v>368</v>
      </c>
      <c r="B183" s="180"/>
      <c r="C183" s="181" t="s">
        <v>285</v>
      </c>
      <c r="D183" s="179"/>
      <c r="E183" s="182"/>
      <c r="F183" s="113" t="s">
        <v>200</v>
      </c>
      <c r="G183" s="183" t="s">
        <v>470</v>
      </c>
      <c r="H183" s="179"/>
      <c r="I183" s="179"/>
      <c r="J183" s="222">
        <v>1500</v>
      </c>
      <c r="K183" s="223"/>
      <c r="L183" s="222">
        <f>L184</f>
        <v>7362</v>
      </c>
      <c r="M183" s="223"/>
      <c r="N183" s="230">
        <f t="shared" si="15"/>
        <v>8.520833333333333E-2</v>
      </c>
      <c r="O183" s="231"/>
      <c r="P183" s="222">
        <v>300</v>
      </c>
      <c r="Q183" s="223"/>
      <c r="R183" s="224">
        <f t="shared" si="16"/>
        <v>100</v>
      </c>
      <c r="S183" s="225"/>
      <c r="T183" s="226">
        <f t="shared" si="17"/>
        <v>7.8670679178694941E-3</v>
      </c>
      <c r="U183" s="227"/>
      <c r="V183" s="232">
        <f t="shared" si="18"/>
        <v>1.2137048139873428</v>
      </c>
      <c r="W183" s="233"/>
      <c r="X183" s="232">
        <f t="shared" si="19"/>
        <v>11.8</v>
      </c>
      <c r="Y183" s="233"/>
      <c r="Z183" s="236">
        <f>AB182</f>
        <v>47.53</v>
      </c>
      <c r="AA183" s="236"/>
      <c r="AB183" s="236">
        <f t="shared" si="20"/>
        <v>35.730000000000004</v>
      </c>
      <c r="AC183" s="236"/>
      <c r="AD183" s="197"/>
      <c r="AE183" s="197"/>
      <c r="AF183" s="197"/>
      <c r="AG183" s="197"/>
      <c r="AH183" s="176" t="s">
        <v>212</v>
      </c>
      <c r="AI183" s="177"/>
      <c r="AJ183" s="183"/>
      <c r="AK183" s="179"/>
      <c r="AL183" s="176" t="s">
        <v>213</v>
      </c>
      <c r="AM183" s="177"/>
      <c r="AN183" s="178" t="str">
        <f t="shared" si="21"/>
        <v/>
      </c>
      <c r="AO183" s="202"/>
    </row>
    <row r="184" spans="1:42" s="165" customFormat="1" ht="23.1" customHeight="1">
      <c r="A184" s="212" t="s">
        <v>369</v>
      </c>
      <c r="B184" s="213"/>
      <c r="C184" s="182" t="s">
        <v>470</v>
      </c>
      <c r="D184" s="211"/>
      <c r="E184" s="211"/>
      <c r="F184" s="166" t="s">
        <v>200</v>
      </c>
      <c r="G184" s="211" t="s">
        <v>287</v>
      </c>
      <c r="H184" s="211"/>
      <c r="I184" s="183"/>
      <c r="J184" s="222">
        <f>3359-J183</f>
        <v>1859</v>
      </c>
      <c r="K184" s="223"/>
      <c r="L184" s="222">
        <f>L185+T177</f>
        <v>7362</v>
      </c>
      <c r="M184" s="223"/>
      <c r="N184" s="230">
        <f t="shared" si="15"/>
        <v>8.520833333333333E-2</v>
      </c>
      <c r="O184" s="231"/>
      <c r="P184" s="222">
        <v>300</v>
      </c>
      <c r="Q184" s="223"/>
      <c r="R184" s="224">
        <f t="shared" si="16"/>
        <v>100</v>
      </c>
      <c r="S184" s="225"/>
      <c r="T184" s="226">
        <f t="shared" si="17"/>
        <v>7.8670679178694941E-3</v>
      </c>
      <c r="U184" s="227"/>
      <c r="V184" s="232">
        <f t="shared" si="18"/>
        <v>1.2137048139873428</v>
      </c>
      <c r="W184" s="233"/>
      <c r="X184" s="232">
        <f t="shared" si="19"/>
        <v>14.62</v>
      </c>
      <c r="Y184" s="233"/>
      <c r="Z184" s="232">
        <f>AB183</f>
        <v>35.730000000000004</v>
      </c>
      <c r="AA184" s="233"/>
      <c r="AB184" s="232">
        <f t="shared" si="20"/>
        <v>101.11000000000001</v>
      </c>
      <c r="AC184" s="233"/>
      <c r="AD184" s="194"/>
      <c r="AE184" s="195"/>
      <c r="AF184" s="194"/>
      <c r="AG184" s="195"/>
      <c r="AH184" s="177" t="s">
        <v>212</v>
      </c>
      <c r="AI184" s="228"/>
      <c r="AJ184" s="258">
        <v>80</v>
      </c>
      <c r="AK184" s="256"/>
      <c r="AL184" s="177" t="s">
        <v>213</v>
      </c>
      <c r="AM184" s="228"/>
      <c r="AN184" s="245" t="str">
        <f t="shared" si="21"/>
        <v/>
      </c>
      <c r="AO184" s="178"/>
    </row>
    <row r="185" spans="1:42" s="165" customFormat="1" ht="23.1" customHeight="1">
      <c r="A185" s="212" t="s">
        <v>472</v>
      </c>
      <c r="B185" s="213"/>
      <c r="C185" s="182" t="s">
        <v>287</v>
      </c>
      <c r="D185" s="211"/>
      <c r="E185" s="211"/>
      <c r="F185" s="166" t="s">
        <v>200</v>
      </c>
      <c r="G185" s="211" t="s">
        <v>292</v>
      </c>
      <c r="H185" s="211"/>
      <c r="I185" s="183"/>
      <c r="J185" s="222">
        <v>4636</v>
      </c>
      <c r="K185" s="223"/>
      <c r="L185" s="222">
        <f>L186</f>
        <v>7152</v>
      </c>
      <c r="M185" s="223"/>
      <c r="N185" s="230">
        <f t="shared" si="15"/>
        <v>8.2777777777777783E-2</v>
      </c>
      <c r="O185" s="231"/>
      <c r="P185" s="222">
        <v>300</v>
      </c>
      <c r="Q185" s="223"/>
      <c r="R185" s="224">
        <f t="shared" si="16"/>
        <v>100</v>
      </c>
      <c r="S185" s="225"/>
      <c r="T185" s="226">
        <f t="shared" si="17"/>
        <v>7.4569551492735218E-3</v>
      </c>
      <c r="U185" s="227"/>
      <c r="V185" s="232">
        <f t="shared" si="18"/>
        <v>1.179118179983432</v>
      </c>
      <c r="W185" s="233"/>
      <c r="X185" s="232">
        <f t="shared" si="19"/>
        <v>34.57</v>
      </c>
      <c r="Y185" s="233"/>
      <c r="Z185" s="232">
        <f>AB184</f>
        <v>101.11000000000001</v>
      </c>
      <c r="AA185" s="233"/>
      <c r="AB185" s="232">
        <f t="shared" si="20"/>
        <v>66.54000000000002</v>
      </c>
      <c r="AC185" s="233"/>
      <c r="AD185" s="194"/>
      <c r="AE185" s="195"/>
      <c r="AF185" s="194"/>
      <c r="AG185" s="195"/>
      <c r="AH185" s="177" t="s">
        <v>212</v>
      </c>
      <c r="AI185" s="228"/>
      <c r="AJ185" s="211"/>
      <c r="AK185" s="183"/>
      <c r="AL185" s="177" t="s">
        <v>213</v>
      </c>
      <c r="AM185" s="228"/>
      <c r="AN185" s="245" t="str">
        <f t="shared" si="21"/>
        <v/>
      </c>
      <c r="AO185" s="178"/>
    </row>
    <row r="186" spans="1:42" ht="23.1" customHeight="1">
      <c r="A186" s="212" t="s">
        <v>473</v>
      </c>
      <c r="B186" s="213"/>
      <c r="C186" s="182" t="s">
        <v>292</v>
      </c>
      <c r="D186" s="211"/>
      <c r="E186" s="211"/>
      <c r="F186" s="166" t="s">
        <v>200</v>
      </c>
      <c r="G186" s="211" t="s">
        <v>366</v>
      </c>
      <c r="H186" s="211"/>
      <c r="I186" s="183"/>
      <c r="J186" s="222">
        <v>1258</v>
      </c>
      <c r="K186" s="223"/>
      <c r="L186" s="222">
        <f>L187+AD177</f>
        <v>7152</v>
      </c>
      <c r="M186" s="223"/>
      <c r="N186" s="230">
        <f t="shared" si="15"/>
        <v>8.2777777777777783E-2</v>
      </c>
      <c r="O186" s="231"/>
      <c r="P186" s="222">
        <v>300</v>
      </c>
      <c r="Q186" s="223"/>
      <c r="R186" s="224">
        <f t="shared" si="16"/>
        <v>100</v>
      </c>
      <c r="S186" s="225"/>
      <c r="T186" s="226">
        <f t="shared" si="17"/>
        <v>7.4569551492735218E-3</v>
      </c>
      <c r="U186" s="227"/>
      <c r="V186" s="232">
        <f t="shared" si="18"/>
        <v>1.179118179983432</v>
      </c>
      <c r="W186" s="233"/>
      <c r="X186" s="232">
        <f t="shared" si="19"/>
        <v>9.3800000000000008</v>
      </c>
      <c r="Y186" s="233"/>
      <c r="Z186" s="232">
        <f>AB185</f>
        <v>66.54000000000002</v>
      </c>
      <c r="AA186" s="233"/>
      <c r="AB186" s="232">
        <f t="shared" si="20"/>
        <v>57.160000000000018</v>
      </c>
      <c r="AC186" s="233"/>
      <c r="AD186" s="259"/>
      <c r="AE186" s="260"/>
      <c r="AF186" s="259"/>
      <c r="AG186" s="260"/>
      <c r="AH186" s="177" t="s">
        <v>212</v>
      </c>
      <c r="AI186" s="228"/>
      <c r="AJ186" s="211"/>
      <c r="AK186" s="183"/>
      <c r="AL186" s="177" t="s">
        <v>213</v>
      </c>
      <c r="AM186" s="228"/>
      <c r="AN186" s="245" t="str">
        <f t="shared" si="21"/>
        <v/>
      </c>
      <c r="AO186" s="178"/>
    </row>
    <row r="187" spans="1:42" ht="23.1" customHeight="1">
      <c r="A187" s="212" t="s">
        <v>474</v>
      </c>
      <c r="B187" s="213"/>
      <c r="C187" s="182" t="s">
        <v>366</v>
      </c>
      <c r="D187" s="211"/>
      <c r="E187" s="211"/>
      <c r="F187" s="166" t="s">
        <v>200</v>
      </c>
      <c r="G187" s="211" t="s">
        <v>271</v>
      </c>
      <c r="H187" s="211"/>
      <c r="I187" s="183"/>
      <c r="J187" s="222">
        <v>236</v>
      </c>
      <c r="K187" s="223"/>
      <c r="L187" s="222">
        <f>배분계획!G19</f>
        <v>4747</v>
      </c>
      <c r="M187" s="223"/>
      <c r="N187" s="230">
        <f t="shared" si="15"/>
        <v>5.4942129629629625E-2</v>
      </c>
      <c r="O187" s="231"/>
      <c r="P187" s="222">
        <v>300</v>
      </c>
      <c r="Q187" s="223"/>
      <c r="R187" s="224">
        <f t="shared" si="16"/>
        <v>100</v>
      </c>
      <c r="S187" s="225"/>
      <c r="T187" s="226">
        <f t="shared" si="17"/>
        <v>3.4933831726548072E-3</v>
      </c>
      <c r="U187" s="227"/>
      <c r="V187" s="232">
        <f t="shared" si="18"/>
        <v>0.78293745480973731</v>
      </c>
      <c r="W187" s="233"/>
      <c r="X187" s="232">
        <f t="shared" si="19"/>
        <v>0.82</v>
      </c>
      <c r="Y187" s="233"/>
      <c r="Z187" s="232">
        <f>AB186</f>
        <v>57.160000000000018</v>
      </c>
      <c r="AA187" s="233"/>
      <c r="AB187" s="232">
        <f t="shared" si="20"/>
        <v>96.340000000000018</v>
      </c>
      <c r="AC187" s="233"/>
      <c r="AD187" s="259">
        <v>87.8</v>
      </c>
      <c r="AE187" s="260"/>
      <c r="AF187" s="259">
        <v>86.3</v>
      </c>
      <c r="AG187" s="260"/>
      <c r="AH187" s="177" t="s">
        <v>212</v>
      </c>
      <c r="AI187" s="228"/>
      <c r="AJ187" s="258">
        <v>40</v>
      </c>
      <c r="AK187" s="256"/>
      <c r="AL187" s="177" t="s">
        <v>213</v>
      </c>
      <c r="AM187" s="228"/>
      <c r="AN187" s="245">
        <f t="shared" si="21"/>
        <v>8.5400000000000205</v>
      </c>
      <c r="AO187" s="178"/>
    </row>
    <row r="190" spans="1:42" s="114" customFormat="1" ht="23.1" customHeight="1">
      <c r="A190" s="111" t="s">
        <v>386</v>
      </c>
    </row>
    <row r="192" spans="1:42" ht="23.1" customHeight="1">
      <c r="B192" s="198" t="s">
        <v>478</v>
      </c>
      <c r="C192" s="203"/>
      <c r="D192" s="203"/>
      <c r="E192" s="199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6"/>
      <c r="AK192" s="119"/>
      <c r="AL192" s="119"/>
      <c r="AM192" s="119"/>
    </row>
    <row r="193" spans="1:42" ht="23.1" customHeight="1">
      <c r="B193" s="164" t="s">
        <v>233</v>
      </c>
      <c r="C193" s="237">
        <f>배분계획!G11</f>
        <v>1624</v>
      </c>
      <c r="D193" s="204"/>
      <c r="E193" s="201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6"/>
      <c r="AK193" s="116"/>
      <c r="AL193" s="116"/>
      <c r="AM193" s="116"/>
    </row>
    <row r="194" spans="1:42" ht="23.1" customHeight="1">
      <c r="B194" s="116"/>
      <c r="C194" s="116"/>
      <c r="D194" s="128"/>
      <c r="E194" s="116"/>
      <c r="I194" s="206" t="s">
        <v>270</v>
      </c>
      <c r="J194" s="206"/>
      <c r="K194" s="206"/>
      <c r="L194" s="116"/>
      <c r="M194" s="117"/>
      <c r="N194" s="198" t="s">
        <v>366</v>
      </c>
      <c r="O194" s="203"/>
      <c r="P194" s="203"/>
      <c r="Q194" s="199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6"/>
      <c r="AK194" s="116"/>
      <c r="AL194" s="116"/>
      <c r="AM194" s="116"/>
    </row>
    <row r="195" spans="1:42" ht="23.1" customHeight="1">
      <c r="B195" s="117"/>
      <c r="C195" s="117"/>
      <c r="D195" s="117"/>
      <c r="E195" s="117"/>
      <c r="F195" s="117"/>
      <c r="G195" s="117"/>
      <c r="H195" s="117"/>
      <c r="I195" s="165" t="s">
        <v>231</v>
      </c>
      <c r="J195" s="207">
        <f>P209</f>
        <v>300</v>
      </c>
      <c r="K195" s="207"/>
      <c r="L195" s="116"/>
      <c r="M195" s="117"/>
      <c r="N195" s="200" t="s">
        <v>234</v>
      </c>
      <c r="O195" s="204"/>
      <c r="P195" s="205">
        <f>AB186</f>
        <v>57.160000000000018</v>
      </c>
      <c r="Q195" s="201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</row>
    <row r="196" spans="1:42" ht="23.1" customHeight="1">
      <c r="A196" s="206" t="s">
        <v>480</v>
      </c>
      <c r="B196" s="206"/>
      <c r="C196" s="206"/>
      <c r="D196" s="165" t="s">
        <v>231</v>
      </c>
      <c r="E196" s="207">
        <f>P210</f>
        <v>300</v>
      </c>
      <c r="F196" s="207"/>
      <c r="G196" s="117"/>
      <c r="H196" s="117"/>
      <c r="I196" s="165" t="s">
        <v>232</v>
      </c>
      <c r="J196" s="208">
        <f>J209</f>
        <v>3400</v>
      </c>
      <c r="K196" s="208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6"/>
      <c r="AJ196" s="116"/>
      <c r="AK196" s="116"/>
      <c r="AL196" s="117"/>
      <c r="AM196" s="118"/>
      <c r="AN196" s="118"/>
    </row>
    <row r="197" spans="1:42" ht="23.1" customHeight="1">
      <c r="A197" s="117"/>
      <c r="B197" s="117"/>
      <c r="C197" s="117"/>
      <c r="D197" s="165" t="s">
        <v>232</v>
      </c>
      <c r="E197" s="221">
        <f>J210</f>
        <v>1970</v>
      </c>
      <c r="F197" s="221"/>
      <c r="G197" s="117"/>
      <c r="H197" s="117"/>
      <c r="I197" s="116"/>
      <c r="J197" s="116"/>
      <c r="K197" s="116"/>
      <c r="L197" s="116"/>
      <c r="M197" s="117"/>
      <c r="N197" s="116"/>
      <c r="O197" s="116"/>
      <c r="P197" s="116"/>
      <c r="Q197" s="116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8"/>
      <c r="AN197" s="118"/>
    </row>
    <row r="198" spans="1:42" ht="23.1" customHeight="1">
      <c r="B198" s="117"/>
      <c r="C198" s="117"/>
      <c r="D198" s="117"/>
      <c r="E198" s="117"/>
      <c r="F198" s="117"/>
      <c r="G198" s="117"/>
      <c r="H198" s="117"/>
      <c r="I198" s="116"/>
      <c r="J198" s="116"/>
      <c r="K198" s="116"/>
      <c r="L198" s="116"/>
      <c r="M198" s="117"/>
      <c r="N198" s="116"/>
      <c r="O198" s="116"/>
      <c r="P198" s="116"/>
      <c r="Q198" s="116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</row>
    <row r="199" spans="1:42" ht="23.1" customHeight="1">
      <c r="B199" s="198" t="s">
        <v>486</v>
      </c>
      <c r="C199" s="203"/>
      <c r="D199" s="203"/>
      <c r="E199" s="199"/>
      <c r="F199" s="112"/>
      <c r="G199" s="206" t="s">
        <v>282</v>
      </c>
      <c r="H199" s="206"/>
      <c r="I199" s="206"/>
      <c r="J199" s="117"/>
      <c r="K199" s="198" t="s">
        <v>375</v>
      </c>
      <c r="L199" s="203"/>
      <c r="M199" s="203"/>
      <c r="N199" s="199"/>
      <c r="O199" s="117"/>
      <c r="P199" s="206" t="s">
        <v>476</v>
      </c>
      <c r="Q199" s="206"/>
      <c r="R199" s="206"/>
      <c r="S199" s="119"/>
      <c r="T199" s="198" t="s">
        <v>376</v>
      </c>
      <c r="U199" s="203"/>
      <c r="V199" s="203"/>
      <c r="W199" s="199"/>
      <c r="X199" s="116"/>
      <c r="Y199" s="206" t="s">
        <v>477</v>
      </c>
      <c r="Z199" s="206"/>
      <c r="AA199" s="206"/>
      <c r="AB199" s="116"/>
      <c r="AC199" s="198" t="s">
        <v>410</v>
      </c>
      <c r="AD199" s="203"/>
      <c r="AE199" s="203"/>
      <c r="AF199" s="199"/>
      <c r="AG199" s="116"/>
      <c r="AH199" s="206" t="s">
        <v>481</v>
      </c>
      <c r="AI199" s="206"/>
      <c r="AJ199" s="206"/>
      <c r="AK199" s="116"/>
      <c r="AL199" s="198" t="s">
        <v>318</v>
      </c>
      <c r="AM199" s="203"/>
      <c r="AN199" s="203"/>
      <c r="AO199" s="199"/>
    </row>
    <row r="200" spans="1:42" ht="23.1" customHeight="1">
      <c r="B200" s="200" t="s">
        <v>234</v>
      </c>
      <c r="C200" s="204"/>
      <c r="D200" s="205">
        <f>AB186</f>
        <v>57.160000000000018</v>
      </c>
      <c r="E200" s="201"/>
      <c r="G200" s="110" t="s">
        <v>231</v>
      </c>
      <c r="H200" s="207">
        <f>P211</f>
        <v>150</v>
      </c>
      <c r="I200" s="207"/>
      <c r="J200" s="117"/>
      <c r="K200" s="200" t="s">
        <v>222</v>
      </c>
      <c r="L200" s="204"/>
      <c r="M200" s="205">
        <f>AJ212</f>
        <v>85</v>
      </c>
      <c r="N200" s="220"/>
      <c r="O200" s="117"/>
      <c r="P200" s="110" t="s">
        <v>231</v>
      </c>
      <c r="Q200" s="207">
        <f>P212</f>
        <v>150</v>
      </c>
      <c r="R200" s="207"/>
      <c r="S200" s="116"/>
      <c r="T200" s="200" t="s">
        <v>222</v>
      </c>
      <c r="U200" s="204"/>
      <c r="V200" s="205">
        <f>AJ213</f>
        <v>85</v>
      </c>
      <c r="W200" s="220"/>
      <c r="X200" s="116"/>
      <c r="Y200" s="110" t="s">
        <v>231</v>
      </c>
      <c r="Z200" s="207">
        <f>P213</f>
        <v>150</v>
      </c>
      <c r="AA200" s="207"/>
      <c r="AB200" s="118"/>
      <c r="AC200" s="200" t="s">
        <v>222</v>
      </c>
      <c r="AD200" s="204"/>
      <c r="AE200" s="205">
        <f>AS213</f>
        <v>0</v>
      </c>
      <c r="AF200" s="220"/>
      <c r="AG200" s="116"/>
      <c r="AH200" s="110" t="s">
        <v>231</v>
      </c>
      <c r="AI200" s="207">
        <f>P214</f>
        <v>150</v>
      </c>
      <c r="AJ200" s="207"/>
      <c r="AK200" s="118"/>
      <c r="AL200" s="200" t="s">
        <v>223</v>
      </c>
      <c r="AM200" s="204"/>
      <c r="AN200" s="205">
        <f>AD213</f>
        <v>184</v>
      </c>
      <c r="AO200" s="220"/>
    </row>
    <row r="201" spans="1:42" ht="23.1" customHeight="1">
      <c r="G201" s="110" t="s">
        <v>232</v>
      </c>
      <c r="H201" s="208">
        <f>J211</f>
        <v>710</v>
      </c>
      <c r="I201" s="208"/>
      <c r="J201" s="117"/>
      <c r="K201" s="117"/>
      <c r="L201" s="117"/>
      <c r="M201" s="118"/>
      <c r="N201" s="118"/>
      <c r="O201" s="117"/>
      <c r="P201" s="110" t="s">
        <v>232</v>
      </c>
      <c r="Q201" s="208">
        <f>J212</f>
        <v>3970</v>
      </c>
      <c r="R201" s="208"/>
      <c r="S201" s="118"/>
      <c r="T201" s="117"/>
      <c r="U201" s="117"/>
      <c r="V201" s="118"/>
      <c r="W201" s="118"/>
      <c r="X201" s="118"/>
      <c r="Y201" s="110" t="s">
        <v>232</v>
      </c>
      <c r="Z201" s="208">
        <f>J213</f>
        <v>5160</v>
      </c>
      <c r="AA201" s="208"/>
      <c r="AB201" s="118"/>
      <c r="AC201" s="118"/>
      <c r="AD201" s="117"/>
      <c r="AE201" s="117"/>
      <c r="AF201" s="117"/>
      <c r="AG201" s="118"/>
      <c r="AH201" s="110" t="s">
        <v>232</v>
      </c>
      <c r="AI201" s="208">
        <f>J214</f>
        <v>0</v>
      </c>
      <c r="AJ201" s="208"/>
      <c r="AK201" s="118"/>
      <c r="AL201" s="118"/>
      <c r="AM201" s="117"/>
      <c r="AN201" s="117"/>
      <c r="AO201" s="117"/>
    </row>
    <row r="202" spans="1:42" ht="23.1" customHeight="1"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</row>
    <row r="203" spans="1:42" ht="23.1" customHeight="1">
      <c r="B203" s="117"/>
      <c r="C203" s="117"/>
      <c r="D203" s="117"/>
      <c r="E203" s="117"/>
      <c r="F203" s="117"/>
      <c r="G203" s="117"/>
      <c r="H203" s="117"/>
      <c r="I203" s="116"/>
      <c r="J203" s="116"/>
      <c r="K203" s="116"/>
      <c r="L203" s="116"/>
      <c r="M203" s="117"/>
      <c r="N203" s="116"/>
      <c r="O203" s="116"/>
      <c r="P203" s="116"/>
      <c r="Q203" s="116"/>
      <c r="R203" s="117"/>
      <c r="S203" s="116"/>
      <c r="T203" s="116"/>
      <c r="U203" s="116"/>
      <c r="V203" s="116"/>
      <c r="W203" s="117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7"/>
      <c r="AH203" s="117"/>
      <c r="AI203" s="117"/>
      <c r="AJ203" s="117"/>
      <c r="AK203" s="117"/>
      <c r="AL203" s="117"/>
      <c r="AM203" s="117"/>
    </row>
    <row r="204" spans="1:42" ht="23.1" customHeight="1">
      <c r="B204" s="117"/>
      <c r="C204" s="117"/>
      <c r="D204" s="117"/>
      <c r="E204" s="117"/>
      <c r="F204" s="117"/>
      <c r="G204" s="117"/>
      <c r="H204" s="117"/>
      <c r="I204" s="117"/>
      <c r="J204" s="116"/>
      <c r="K204" s="116"/>
      <c r="L204" s="116"/>
      <c r="M204" s="117"/>
      <c r="N204" s="117"/>
      <c r="O204" s="116"/>
      <c r="P204" s="116"/>
      <c r="Q204" s="116"/>
      <c r="R204" s="117"/>
      <c r="S204" s="117"/>
      <c r="T204" s="116"/>
      <c r="U204" s="116"/>
      <c r="V204" s="116"/>
      <c r="W204" s="117"/>
      <c r="X204" s="117"/>
      <c r="Y204" s="116"/>
      <c r="Z204" s="116"/>
      <c r="AA204" s="116"/>
      <c r="AB204" s="117"/>
      <c r="AC204" s="117"/>
      <c r="AD204" s="116"/>
      <c r="AE204" s="116"/>
      <c r="AF204" s="116"/>
      <c r="AG204" s="117"/>
      <c r="AH204" s="117"/>
      <c r="AI204" s="117"/>
      <c r="AJ204" s="117"/>
      <c r="AK204" s="117"/>
      <c r="AL204" s="117"/>
      <c r="AM204" s="117"/>
    </row>
    <row r="207" spans="1:42" ht="23.1" customHeight="1">
      <c r="A207" s="179" t="s">
        <v>179</v>
      </c>
      <c r="B207" s="179"/>
      <c r="C207" s="179" t="s">
        <v>180</v>
      </c>
      <c r="D207" s="179"/>
      <c r="E207" s="179"/>
      <c r="F207" s="179"/>
      <c r="G207" s="179"/>
      <c r="H207" s="179"/>
      <c r="I207" s="179"/>
      <c r="J207" s="181" t="s">
        <v>195</v>
      </c>
      <c r="K207" s="179"/>
      <c r="L207" s="179" t="s">
        <v>181</v>
      </c>
      <c r="M207" s="179"/>
      <c r="N207" s="179"/>
      <c r="O207" s="179"/>
      <c r="P207" s="181" t="s">
        <v>189</v>
      </c>
      <c r="Q207" s="179"/>
      <c r="R207" s="181" t="s">
        <v>190</v>
      </c>
      <c r="S207" s="179"/>
      <c r="T207" s="181" t="s">
        <v>191</v>
      </c>
      <c r="U207" s="179"/>
      <c r="V207" s="181" t="s">
        <v>193</v>
      </c>
      <c r="W207" s="179"/>
      <c r="X207" s="181" t="s">
        <v>194</v>
      </c>
      <c r="Y207" s="179"/>
      <c r="Z207" s="179" t="s">
        <v>196</v>
      </c>
      <c r="AA207" s="179"/>
      <c r="AB207" s="179"/>
      <c r="AC207" s="179"/>
      <c r="AD207" s="179" t="s">
        <v>184</v>
      </c>
      <c r="AE207" s="179"/>
      <c r="AF207" s="179"/>
      <c r="AG207" s="179"/>
      <c r="AH207" s="179" t="s">
        <v>187</v>
      </c>
      <c r="AI207" s="179"/>
      <c r="AJ207" s="179"/>
      <c r="AK207" s="179"/>
      <c r="AL207" s="179"/>
      <c r="AM207" s="179"/>
      <c r="AN207" s="179"/>
      <c r="AO207" s="179"/>
      <c r="AP207" s="116"/>
    </row>
    <row r="208" spans="1:42" ht="23.1" customHeight="1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 t="s">
        <v>197</v>
      </c>
      <c r="M208" s="179"/>
      <c r="N208" s="179" t="s">
        <v>188</v>
      </c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 t="s">
        <v>182</v>
      </c>
      <c r="AA208" s="179"/>
      <c r="AB208" s="179" t="s">
        <v>183</v>
      </c>
      <c r="AC208" s="179"/>
      <c r="AD208" s="179" t="s">
        <v>185</v>
      </c>
      <c r="AE208" s="179"/>
      <c r="AF208" s="179" t="s">
        <v>186</v>
      </c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16"/>
    </row>
    <row r="209" spans="1:41" s="165" customFormat="1" ht="22.5" customHeight="1">
      <c r="A209" s="180" t="s">
        <v>272</v>
      </c>
      <c r="B209" s="180"/>
      <c r="C209" s="181" t="s">
        <v>366</v>
      </c>
      <c r="D209" s="179"/>
      <c r="E209" s="182"/>
      <c r="F209" s="166" t="s">
        <v>200</v>
      </c>
      <c r="G209" s="183" t="s">
        <v>484</v>
      </c>
      <c r="H209" s="179"/>
      <c r="I209" s="179"/>
      <c r="J209" s="222">
        <v>3400</v>
      </c>
      <c r="K209" s="223"/>
      <c r="L209" s="222">
        <f>L210+C193</f>
        <v>2405</v>
      </c>
      <c r="M209" s="223"/>
      <c r="N209" s="230">
        <f t="shared" ref="N209:N214" si="22">L209/24/60/60</f>
        <v>2.7835648148148148E-2</v>
      </c>
      <c r="O209" s="231"/>
      <c r="P209" s="222">
        <v>300</v>
      </c>
      <c r="Q209" s="223"/>
      <c r="R209" s="224">
        <f t="shared" ref="R209:R214" si="23">IF(P209&lt;=600,100,IF(P209&gt;=1000,120,110))</f>
        <v>100</v>
      </c>
      <c r="S209" s="225"/>
      <c r="T209" s="226">
        <f t="shared" ref="T209:T214" si="24">10.666*R209^(-1.85)*(P209/1000)^(-4.87)*N209^1.85</f>
        <v>9.9296409418635429E-4</v>
      </c>
      <c r="U209" s="227"/>
      <c r="V209" s="232">
        <f t="shared" ref="V209:V214" si="25">0.35464*R209*(P209/1000)^(0.63)*T209^(0.54)</f>
        <v>0.39693392886738349</v>
      </c>
      <c r="W209" s="233"/>
      <c r="X209" s="232">
        <f t="shared" ref="X209:X214" si="26">ROUND(T209*J209,2)</f>
        <v>3.38</v>
      </c>
      <c r="Y209" s="233"/>
      <c r="Z209" s="236">
        <f>AB186</f>
        <v>57.160000000000018</v>
      </c>
      <c r="AA209" s="236"/>
      <c r="AB209" s="236">
        <f t="shared" ref="AB209:AB214" si="27">Z209-X209+AJ209</f>
        <v>53.780000000000015</v>
      </c>
      <c r="AC209" s="236"/>
      <c r="AD209" s="196"/>
      <c r="AE209" s="196"/>
      <c r="AF209" s="196"/>
      <c r="AG209" s="196"/>
      <c r="AH209" s="176" t="s">
        <v>212</v>
      </c>
      <c r="AI209" s="177"/>
      <c r="AJ209" s="192"/>
      <c r="AK209" s="193"/>
      <c r="AL209" s="176" t="s">
        <v>213</v>
      </c>
      <c r="AM209" s="177"/>
      <c r="AN209" s="178" t="str">
        <f t="shared" ref="AN209:AN214" si="28">IF(AD209="","",AB209-AD209)</f>
        <v/>
      </c>
      <c r="AO209" s="202"/>
    </row>
    <row r="210" spans="1:41" s="165" customFormat="1" ht="22.5" customHeight="1">
      <c r="A210" s="180" t="s">
        <v>475</v>
      </c>
      <c r="B210" s="180"/>
      <c r="C210" s="181" t="s">
        <v>485</v>
      </c>
      <c r="D210" s="179"/>
      <c r="E210" s="182"/>
      <c r="F210" s="166" t="s">
        <v>200</v>
      </c>
      <c r="G210" s="183" t="s">
        <v>487</v>
      </c>
      <c r="H210" s="179"/>
      <c r="I210" s="179"/>
      <c r="J210" s="222">
        <f>5370-J209</f>
        <v>1970</v>
      </c>
      <c r="K210" s="223"/>
      <c r="L210" s="222">
        <f t="shared" ref="L210:L211" si="29">L211</f>
        <v>781</v>
      </c>
      <c r="M210" s="223"/>
      <c r="N210" s="230">
        <f t="shared" si="22"/>
        <v>9.0393518518518505E-3</v>
      </c>
      <c r="O210" s="231"/>
      <c r="P210" s="222">
        <v>300</v>
      </c>
      <c r="Q210" s="223"/>
      <c r="R210" s="224">
        <f t="shared" si="23"/>
        <v>100</v>
      </c>
      <c r="S210" s="225"/>
      <c r="T210" s="226">
        <f t="shared" si="24"/>
        <v>1.2395814198373528E-4</v>
      </c>
      <c r="U210" s="227"/>
      <c r="V210" s="232">
        <f t="shared" si="25"/>
        <v>0.12904543325656562</v>
      </c>
      <c r="W210" s="233"/>
      <c r="X210" s="232">
        <f t="shared" si="26"/>
        <v>0.24</v>
      </c>
      <c r="Y210" s="233"/>
      <c r="Z210" s="236">
        <f>AB187</f>
        <v>96.340000000000018</v>
      </c>
      <c r="AA210" s="236"/>
      <c r="AB210" s="236">
        <f t="shared" si="27"/>
        <v>96.100000000000023</v>
      </c>
      <c r="AC210" s="236"/>
      <c r="AD210" s="196"/>
      <c r="AE210" s="196"/>
      <c r="AF210" s="196"/>
      <c r="AG210" s="196"/>
      <c r="AH210" s="176" t="s">
        <v>212</v>
      </c>
      <c r="AI210" s="177"/>
      <c r="AJ210" s="192"/>
      <c r="AK210" s="193"/>
      <c r="AL210" s="176" t="s">
        <v>213</v>
      </c>
      <c r="AM210" s="177"/>
      <c r="AN210" s="178" t="str">
        <f t="shared" si="28"/>
        <v/>
      </c>
      <c r="AO210" s="202"/>
    </row>
    <row r="211" spans="1:41" ht="22.5" customHeight="1">
      <c r="A211" s="180" t="s">
        <v>407</v>
      </c>
      <c r="B211" s="180"/>
      <c r="C211" s="181" t="s">
        <v>487</v>
      </c>
      <c r="D211" s="179"/>
      <c r="E211" s="182"/>
      <c r="F211" s="113" t="s">
        <v>200</v>
      </c>
      <c r="G211" s="183" t="s">
        <v>375</v>
      </c>
      <c r="H211" s="179"/>
      <c r="I211" s="179"/>
      <c r="J211" s="222">
        <f>6080-J209-J210</f>
        <v>710</v>
      </c>
      <c r="K211" s="223"/>
      <c r="L211" s="222">
        <f t="shared" si="29"/>
        <v>781</v>
      </c>
      <c r="M211" s="223"/>
      <c r="N211" s="230">
        <f t="shared" si="22"/>
        <v>9.0393518518518505E-3</v>
      </c>
      <c r="O211" s="231"/>
      <c r="P211" s="222">
        <v>150</v>
      </c>
      <c r="Q211" s="223"/>
      <c r="R211" s="224">
        <f t="shared" si="23"/>
        <v>100</v>
      </c>
      <c r="S211" s="225"/>
      <c r="T211" s="226">
        <f t="shared" si="24"/>
        <v>3.6248591570156386E-3</v>
      </c>
      <c r="U211" s="227"/>
      <c r="V211" s="232">
        <f t="shared" si="25"/>
        <v>0.51611018000347397</v>
      </c>
      <c r="W211" s="233"/>
      <c r="X211" s="232">
        <f t="shared" si="26"/>
        <v>2.57</v>
      </c>
      <c r="Y211" s="233"/>
      <c r="Z211" s="236">
        <f>AB209</f>
        <v>53.780000000000015</v>
      </c>
      <c r="AA211" s="236"/>
      <c r="AB211" s="236">
        <f t="shared" si="27"/>
        <v>51.210000000000015</v>
      </c>
      <c r="AC211" s="236"/>
      <c r="AD211" s="196"/>
      <c r="AE211" s="196"/>
      <c r="AF211" s="196"/>
      <c r="AG211" s="196"/>
      <c r="AH211" s="176" t="s">
        <v>212</v>
      </c>
      <c r="AI211" s="177"/>
      <c r="AJ211" s="192"/>
      <c r="AK211" s="193"/>
      <c r="AL211" s="176" t="s">
        <v>213</v>
      </c>
      <c r="AM211" s="177"/>
      <c r="AN211" s="178" t="str">
        <f t="shared" si="28"/>
        <v/>
      </c>
      <c r="AO211" s="202"/>
    </row>
    <row r="212" spans="1:41" ht="22.5" customHeight="1">
      <c r="A212" s="180" t="s">
        <v>482</v>
      </c>
      <c r="B212" s="180"/>
      <c r="C212" s="181" t="s">
        <v>375</v>
      </c>
      <c r="D212" s="179"/>
      <c r="E212" s="182"/>
      <c r="F212" s="113" t="s">
        <v>200</v>
      </c>
      <c r="G212" s="183" t="s">
        <v>376</v>
      </c>
      <c r="H212" s="179"/>
      <c r="I212" s="179"/>
      <c r="J212" s="222">
        <v>3970</v>
      </c>
      <c r="K212" s="223"/>
      <c r="L212" s="222">
        <f>L213</f>
        <v>781</v>
      </c>
      <c r="M212" s="223"/>
      <c r="N212" s="230">
        <f t="shared" si="22"/>
        <v>9.0393518518518505E-3</v>
      </c>
      <c r="O212" s="231"/>
      <c r="P212" s="222">
        <v>150</v>
      </c>
      <c r="Q212" s="223"/>
      <c r="R212" s="224">
        <f t="shared" si="23"/>
        <v>100</v>
      </c>
      <c r="S212" s="225"/>
      <c r="T212" s="226">
        <f t="shared" si="24"/>
        <v>3.6248591570156386E-3</v>
      </c>
      <c r="U212" s="227"/>
      <c r="V212" s="232">
        <f t="shared" si="25"/>
        <v>0.51611018000347397</v>
      </c>
      <c r="W212" s="233"/>
      <c r="X212" s="232">
        <f t="shared" si="26"/>
        <v>14.39</v>
      </c>
      <c r="Y212" s="233"/>
      <c r="Z212" s="236">
        <f>AB211</f>
        <v>51.210000000000015</v>
      </c>
      <c r="AA212" s="236"/>
      <c r="AB212" s="236">
        <f t="shared" si="27"/>
        <v>121.82000000000002</v>
      </c>
      <c r="AC212" s="236"/>
      <c r="AD212" s="196"/>
      <c r="AE212" s="196"/>
      <c r="AF212" s="196"/>
      <c r="AG212" s="196"/>
      <c r="AH212" s="176" t="s">
        <v>212</v>
      </c>
      <c r="AI212" s="177"/>
      <c r="AJ212" s="192">
        <v>85</v>
      </c>
      <c r="AK212" s="193"/>
      <c r="AL212" s="176" t="s">
        <v>213</v>
      </c>
      <c r="AM212" s="177"/>
      <c r="AN212" s="178" t="str">
        <f t="shared" si="28"/>
        <v/>
      </c>
      <c r="AO212" s="202"/>
    </row>
    <row r="213" spans="1:41" ht="22.5" customHeight="1">
      <c r="A213" s="180" t="s">
        <v>483</v>
      </c>
      <c r="B213" s="180"/>
      <c r="C213" s="181" t="s">
        <v>409</v>
      </c>
      <c r="D213" s="179"/>
      <c r="E213" s="182"/>
      <c r="F213" s="113" t="s">
        <v>200</v>
      </c>
      <c r="G213" s="183" t="s">
        <v>318</v>
      </c>
      <c r="H213" s="179"/>
      <c r="I213" s="179"/>
      <c r="J213" s="222">
        <v>5160</v>
      </c>
      <c r="K213" s="223"/>
      <c r="L213" s="222">
        <f>L214</f>
        <v>781</v>
      </c>
      <c r="M213" s="223"/>
      <c r="N213" s="230">
        <f t="shared" si="22"/>
        <v>9.0393518518518505E-3</v>
      </c>
      <c r="O213" s="231"/>
      <c r="P213" s="222">
        <v>150</v>
      </c>
      <c r="Q213" s="223"/>
      <c r="R213" s="224">
        <f t="shared" si="23"/>
        <v>100</v>
      </c>
      <c r="S213" s="225"/>
      <c r="T213" s="226">
        <f t="shared" si="24"/>
        <v>3.6248591570156386E-3</v>
      </c>
      <c r="U213" s="227"/>
      <c r="V213" s="232">
        <f t="shared" si="25"/>
        <v>0.51611018000347397</v>
      </c>
      <c r="W213" s="233"/>
      <c r="X213" s="232">
        <f t="shared" si="26"/>
        <v>18.7</v>
      </c>
      <c r="Y213" s="233"/>
      <c r="Z213" s="236">
        <f>AB212</f>
        <v>121.82000000000002</v>
      </c>
      <c r="AA213" s="236"/>
      <c r="AB213" s="236">
        <f t="shared" si="27"/>
        <v>188.12</v>
      </c>
      <c r="AC213" s="236"/>
      <c r="AD213" s="196">
        <v>184</v>
      </c>
      <c r="AE213" s="196"/>
      <c r="AF213" s="196">
        <v>180</v>
      </c>
      <c r="AG213" s="196"/>
      <c r="AH213" s="176" t="s">
        <v>212</v>
      </c>
      <c r="AI213" s="177"/>
      <c r="AJ213" s="192">
        <v>85</v>
      </c>
      <c r="AK213" s="193"/>
      <c r="AL213" s="176" t="s">
        <v>213</v>
      </c>
      <c r="AM213" s="177"/>
      <c r="AN213" s="178">
        <f t="shared" si="28"/>
        <v>4.1200000000000045</v>
      </c>
      <c r="AO213" s="202"/>
    </row>
    <row r="214" spans="1:41" ht="23.1" hidden="1" customHeight="1">
      <c r="A214" s="180" t="s">
        <v>408</v>
      </c>
      <c r="B214" s="180"/>
      <c r="C214" s="181" t="s">
        <v>410</v>
      </c>
      <c r="D214" s="179"/>
      <c r="E214" s="182"/>
      <c r="F214" s="113" t="s">
        <v>200</v>
      </c>
      <c r="G214" s="183" t="s">
        <v>318</v>
      </c>
      <c r="H214" s="179"/>
      <c r="I214" s="179"/>
      <c r="J214" s="184"/>
      <c r="K214" s="185"/>
      <c r="L214" s="184">
        <f>배분계획!G20</f>
        <v>781</v>
      </c>
      <c r="M214" s="185"/>
      <c r="N214" s="186">
        <f t="shared" si="22"/>
        <v>9.0393518518518505E-3</v>
      </c>
      <c r="O214" s="187"/>
      <c r="P214" s="184">
        <v>150</v>
      </c>
      <c r="Q214" s="185"/>
      <c r="R214" s="188">
        <f t="shared" si="23"/>
        <v>100</v>
      </c>
      <c r="S214" s="189"/>
      <c r="T214" s="190">
        <f t="shared" si="24"/>
        <v>3.6248591570156386E-3</v>
      </c>
      <c r="U214" s="191"/>
      <c r="V214" s="194">
        <f t="shared" si="25"/>
        <v>0.51611018000347397</v>
      </c>
      <c r="W214" s="195"/>
      <c r="X214" s="194">
        <f t="shared" si="26"/>
        <v>0</v>
      </c>
      <c r="Y214" s="195"/>
      <c r="Z214" s="197">
        <f>AB213</f>
        <v>188.12</v>
      </c>
      <c r="AA214" s="197"/>
      <c r="AB214" s="197">
        <f t="shared" si="27"/>
        <v>243.12</v>
      </c>
      <c r="AC214" s="197"/>
      <c r="AD214" s="196">
        <v>184</v>
      </c>
      <c r="AE214" s="196"/>
      <c r="AF214" s="196">
        <v>180</v>
      </c>
      <c r="AG214" s="196"/>
      <c r="AH214" s="176" t="s">
        <v>212</v>
      </c>
      <c r="AI214" s="177"/>
      <c r="AJ214" s="192">
        <v>55</v>
      </c>
      <c r="AK214" s="193"/>
      <c r="AL214" s="176" t="s">
        <v>213</v>
      </c>
      <c r="AM214" s="177"/>
      <c r="AN214" s="178">
        <f t="shared" si="28"/>
        <v>59.120000000000005</v>
      </c>
      <c r="AO214" s="202"/>
    </row>
    <row r="220" spans="1:41" s="114" customFormat="1" ht="23.1" customHeight="1">
      <c r="A220" s="111" t="s">
        <v>387</v>
      </c>
    </row>
    <row r="222" spans="1:41" ht="23.1" customHeight="1"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6"/>
      <c r="AK222" s="119"/>
      <c r="AL222" s="119"/>
      <c r="AM222" s="119"/>
    </row>
    <row r="223" spans="1:41" ht="23.1" customHeight="1"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6"/>
      <c r="AK223" s="119"/>
      <c r="AL223" s="119"/>
      <c r="AM223" s="119"/>
    </row>
    <row r="224" spans="1:41" ht="23.1" customHeight="1"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6"/>
      <c r="AK224" s="116"/>
      <c r="AL224" s="116"/>
      <c r="AM224" s="116"/>
    </row>
    <row r="225" spans="1:42" ht="23.1" customHeight="1"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</row>
    <row r="226" spans="1:42" ht="23.1" customHeight="1"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6"/>
      <c r="AJ226" s="116"/>
      <c r="AK226" s="116"/>
      <c r="AL226" s="117"/>
      <c r="AM226" s="118"/>
      <c r="AN226" s="118"/>
    </row>
    <row r="227" spans="1:42" ht="23.1" customHeight="1">
      <c r="B227" s="117"/>
      <c r="C227" s="117"/>
      <c r="D227" s="117"/>
      <c r="E227" s="117"/>
      <c r="F227" s="117"/>
      <c r="G227" s="117"/>
      <c r="H227" s="117"/>
      <c r="I227" s="116"/>
      <c r="J227" s="116"/>
      <c r="K227" s="116"/>
      <c r="L227" s="116"/>
      <c r="M227" s="117"/>
      <c r="N227" s="116"/>
      <c r="O227" s="116"/>
      <c r="P227" s="116"/>
      <c r="Q227" s="116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8"/>
      <c r="AN227" s="118"/>
    </row>
    <row r="228" spans="1:42" ht="23.1" customHeight="1">
      <c r="B228" s="117"/>
      <c r="C228" s="117"/>
      <c r="D228" s="117"/>
      <c r="E228" s="117"/>
      <c r="F228" s="117"/>
      <c r="G228" s="117"/>
      <c r="H228" s="117"/>
      <c r="I228" s="116"/>
      <c r="J228" s="116"/>
      <c r="K228" s="116"/>
      <c r="L228" s="116"/>
      <c r="M228" s="117"/>
      <c r="N228" s="116"/>
      <c r="O228" s="116"/>
      <c r="P228" s="116"/>
      <c r="Q228" s="116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</row>
    <row r="229" spans="1:42" ht="23.1" customHeight="1">
      <c r="B229" s="198" t="s">
        <v>275</v>
      </c>
      <c r="C229" s="209"/>
      <c r="D229" s="209"/>
      <c r="E229" s="210"/>
      <c r="F229" s="112"/>
      <c r="G229" s="206" t="s">
        <v>278</v>
      </c>
      <c r="H229" s="206"/>
      <c r="I229" s="206"/>
      <c r="J229" s="117"/>
      <c r="K229" s="198" t="s">
        <v>276</v>
      </c>
      <c r="L229" s="203"/>
      <c r="M229" s="203"/>
      <c r="N229" s="199"/>
      <c r="O229" s="117"/>
      <c r="P229" s="206" t="s">
        <v>279</v>
      </c>
      <c r="Q229" s="206"/>
      <c r="R229" s="206"/>
      <c r="S229" s="119"/>
      <c r="T229" s="116"/>
      <c r="U229" s="198" t="s">
        <v>414</v>
      </c>
      <c r="V229" s="203"/>
      <c r="W229" s="203"/>
      <c r="X229" s="199"/>
      <c r="Y229" s="117"/>
      <c r="Z229" s="206" t="s">
        <v>301</v>
      </c>
      <c r="AA229" s="206"/>
      <c r="AB229" s="206"/>
      <c r="AC229" s="116"/>
      <c r="AD229" s="198" t="s">
        <v>466</v>
      </c>
      <c r="AE229" s="203"/>
      <c r="AF229" s="203"/>
      <c r="AG229" s="199"/>
      <c r="AH229" s="116"/>
      <c r="AI229" s="117"/>
      <c r="AJ229" s="116"/>
      <c r="AK229" s="116"/>
      <c r="AL229" s="116"/>
      <c r="AM229" s="116"/>
    </row>
    <row r="230" spans="1:42" ht="23.1" customHeight="1">
      <c r="B230" s="200" t="s">
        <v>234</v>
      </c>
      <c r="C230" s="204"/>
      <c r="D230" s="205">
        <f>Z239</f>
        <v>48.529999999999994</v>
      </c>
      <c r="E230" s="201"/>
      <c r="G230" s="110" t="s">
        <v>231</v>
      </c>
      <c r="H230" s="207">
        <f>P239</f>
        <v>250</v>
      </c>
      <c r="I230" s="207"/>
      <c r="J230" s="117"/>
      <c r="K230" s="200" t="s">
        <v>222</v>
      </c>
      <c r="L230" s="204"/>
      <c r="M230" s="205">
        <f>AJ240</f>
        <v>89</v>
      </c>
      <c r="N230" s="220"/>
      <c r="O230" s="117"/>
      <c r="P230" s="110" t="s">
        <v>231</v>
      </c>
      <c r="Q230" s="207">
        <f>P240</f>
        <v>200</v>
      </c>
      <c r="R230" s="207"/>
      <c r="S230" s="126"/>
      <c r="T230" s="116"/>
      <c r="U230" s="200" t="s">
        <v>222</v>
      </c>
      <c r="V230" s="204"/>
      <c r="W230" s="205">
        <f>AT240</f>
        <v>0</v>
      </c>
      <c r="X230" s="220"/>
      <c r="Y230" s="117"/>
      <c r="Z230" s="110" t="s">
        <v>231</v>
      </c>
      <c r="AA230" s="207">
        <f>P241</f>
        <v>200</v>
      </c>
      <c r="AB230" s="207"/>
      <c r="AC230" s="118"/>
      <c r="AD230" s="200" t="s">
        <v>223</v>
      </c>
      <c r="AE230" s="204"/>
      <c r="AF230" s="205">
        <f>AD241</f>
        <v>73.7</v>
      </c>
      <c r="AG230" s="220"/>
      <c r="AH230" s="118"/>
      <c r="AI230" s="117"/>
      <c r="AJ230" s="116"/>
      <c r="AK230" s="116"/>
      <c r="AL230" s="116"/>
      <c r="AM230" s="116"/>
    </row>
    <row r="231" spans="1:42" ht="23.1" customHeight="1">
      <c r="G231" s="110" t="s">
        <v>232</v>
      </c>
      <c r="H231" s="208">
        <f>J239</f>
        <v>4512</v>
      </c>
      <c r="I231" s="208"/>
      <c r="J231" s="117"/>
      <c r="K231" s="117"/>
      <c r="L231" s="117"/>
      <c r="M231" s="118"/>
      <c r="N231" s="118"/>
      <c r="O231" s="117"/>
      <c r="P231" s="110" t="s">
        <v>232</v>
      </c>
      <c r="Q231" s="208">
        <f>J240</f>
        <v>4400</v>
      </c>
      <c r="R231" s="208"/>
      <c r="S231" s="118"/>
      <c r="T231" s="117"/>
      <c r="V231" s="208"/>
      <c r="W231" s="208"/>
      <c r="X231" s="118"/>
      <c r="Y231" s="117"/>
      <c r="Z231" s="110" t="s">
        <v>232</v>
      </c>
      <c r="AA231" s="208">
        <f>J241</f>
        <v>2768</v>
      </c>
      <c r="AB231" s="208"/>
      <c r="AC231" s="118"/>
      <c r="AD231" s="117"/>
      <c r="AE231" s="117"/>
      <c r="AF231" s="117"/>
      <c r="AG231" s="118"/>
      <c r="AH231" s="118"/>
      <c r="AI231" s="117"/>
      <c r="AJ231" s="117"/>
      <c r="AK231" s="117"/>
      <c r="AL231" s="117"/>
      <c r="AM231" s="117"/>
    </row>
    <row r="232" spans="1:42" ht="23.1" customHeight="1"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</row>
    <row r="233" spans="1:42" ht="23.1" customHeight="1">
      <c r="B233" s="117"/>
      <c r="C233" s="117"/>
      <c r="D233" s="117"/>
      <c r="E233" s="117"/>
      <c r="F233" s="117"/>
      <c r="G233" s="117"/>
      <c r="H233" s="117"/>
      <c r="I233" s="116"/>
      <c r="J233" s="116"/>
      <c r="K233" s="116"/>
      <c r="L233" s="116"/>
      <c r="M233" s="117"/>
      <c r="N233" s="116"/>
      <c r="O233" s="116"/>
      <c r="P233" s="116"/>
      <c r="Q233" s="116"/>
      <c r="R233" s="198" t="s">
        <v>304</v>
      </c>
      <c r="S233" s="203"/>
      <c r="T233" s="203"/>
      <c r="U233" s="199"/>
      <c r="V233" s="116"/>
      <c r="W233" s="117"/>
      <c r="X233" s="116"/>
      <c r="Y233" s="116"/>
      <c r="Z233" s="116"/>
      <c r="AA233" s="116"/>
      <c r="AB233" s="117"/>
      <c r="AC233" s="116"/>
      <c r="AD233" s="116"/>
      <c r="AE233" s="116"/>
      <c r="AF233" s="116"/>
      <c r="AG233" s="117"/>
      <c r="AH233" s="117"/>
      <c r="AI233" s="117"/>
      <c r="AJ233" s="117"/>
      <c r="AK233" s="117"/>
      <c r="AL233" s="117"/>
      <c r="AM233" s="117"/>
    </row>
    <row r="234" spans="1:42" ht="23.1" customHeight="1">
      <c r="B234" s="117"/>
      <c r="C234" s="117"/>
      <c r="D234" s="117"/>
      <c r="E234" s="117"/>
      <c r="F234" s="117"/>
      <c r="G234" s="117"/>
      <c r="H234" s="117"/>
      <c r="I234" s="117"/>
      <c r="J234" s="116"/>
      <c r="K234" s="116"/>
      <c r="L234" s="116"/>
      <c r="M234" s="117"/>
      <c r="N234" s="117"/>
      <c r="O234" s="116"/>
      <c r="P234" s="116"/>
      <c r="Q234" s="116"/>
      <c r="R234" s="115" t="s">
        <v>233</v>
      </c>
      <c r="S234" s="237">
        <f>배분계획!G10</f>
        <v>1131</v>
      </c>
      <c r="T234" s="204"/>
      <c r="U234" s="201"/>
      <c r="V234" s="116"/>
      <c r="W234" s="117"/>
      <c r="X234" s="117"/>
      <c r="Y234" s="116"/>
      <c r="Z234" s="116"/>
      <c r="AA234" s="116"/>
      <c r="AB234" s="117"/>
      <c r="AC234" s="117"/>
      <c r="AD234" s="116"/>
      <c r="AE234" s="116"/>
      <c r="AF234" s="116"/>
      <c r="AG234" s="117"/>
      <c r="AH234" s="117"/>
      <c r="AI234" s="117"/>
      <c r="AJ234" s="117"/>
      <c r="AK234" s="117"/>
      <c r="AL234" s="117"/>
      <c r="AM234" s="117"/>
    </row>
    <row r="237" spans="1:42" ht="23.1" customHeight="1">
      <c r="A237" s="179" t="s">
        <v>179</v>
      </c>
      <c r="B237" s="179"/>
      <c r="C237" s="179" t="s">
        <v>180</v>
      </c>
      <c r="D237" s="179"/>
      <c r="E237" s="179"/>
      <c r="F237" s="179"/>
      <c r="G237" s="179"/>
      <c r="H237" s="179"/>
      <c r="I237" s="179"/>
      <c r="J237" s="181" t="s">
        <v>195</v>
      </c>
      <c r="K237" s="179"/>
      <c r="L237" s="179" t="s">
        <v>181</v>
      </c>
      <c r="M237" s="179"/>
      <c r="N237" s="179"/>
      <c r="O237" s="179"/>
      <c r="P237" s="181" t="s">
        <v>189</v>
      </c>
      <c r="Q237" s="179"/>
      <c r="R237" s="181" t="s">
        <v>190</v>
      </c>
      <c r="S237" s="179"/>
      <c r="T237" s="181" t="s">
        <v>191</v>
      </c>
      <c r="U237" s="179"/>
      <c r="V237" s="181" t="s">
        <v>193</v>
      </c>
      <c r="W237" s="179"/>
      <c r="X237" s="181" t="s">
        <v>194</v>
      </c>
      <c r="Y237" s="179"/>
      <c r="Z237" s="179" t="s">
        <v>196</v>
      </c>
      <c r="AA237" s="179"/>
      <c r="AB237" s="179"/>
      <c r="AC237" s="179"/>
      <c r="AD237" s="179" t="s">
        <v>184</v>
      </c>
      <c r="AE237" s="179"/>
      <c r="AF237" s="179"/>
      <c r="AG237" s="179"/>
      <c r="AH237" s="179" t="s">
        <v>187</v>
      </c>
      <c r="AI237" s="179"/>
      <c r="AJ237" s="179"/>
      <c r="AK237" s="179"/>
      <c r="AL237" s="179"/>
      <c r="AM237" s="179"/>
      <c r="AN237" s="179"/>
      <c r="AO237" s="179"/>
      <c r="AP237" s="116"/>
    </row>
    <row r="238" spans="1:42" ht="23.1" customHeight="1">
      <c r="A238" s="179"/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 t="s">
        <v>197</v>
      </c>
      <c r="M238" s="179"/>
      <c r="N238" s="179" t="s">
        <v>188</v>
      </c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 t="s">
        <v>182</v>
      </c>
      <c r="AA238" s="179"/>
      <c r="AB238" s="179" t="s">
        <v>183</v>
      </c>
      <c r="AC238" s="179"/>
      <c r="AD238" s="179" t="s">
        <v>185</v>
      </c>
      <c r="AE238" s="179"/>
      <c r="AF238" s="179" t="s">
        <v>186</v>
      </c>
      <c r="AG238" s="179"/>
      <c r="AH238" s="179"/>
      <c r="AI238" s="179"/>
      <c r="AJ238" s="179"/>
      <c r="AK238" s="179"/>
      <c r="AL238" s="179"/>
      <c r="AM238" s="179"/>
      <c r="AN238" s="179"/>
      <c r="AO238" s="179"/>
      <c r="AP238" s="116"/>
    </row>
    <row r="239" spans="1:42" ht="23.1" customHeight="1">
      <c r="A239" s="180" t="s">
        <v>411</v>
      </c>
      <c r="B239" s="180"/>
      <c r="C239" s="181" t="s">
        <v>275</v>
      </c>
      <c r="D239" s="179"/>
      <c r="E239" s="182"/>
      <c r="F239" s="113" t="s">
        <v>200</v>
      </c>
      <c r="G239" s="183" t="s">
        <v>276</v>
      </c>
      <c r="H239" s="179"/>
      <c r="I239" s="179"/>
      <c r="J239" s="222">
        <f>1612+2900</f>
        <v>4512</v>
      </c>
      <c r="K239" s="223"/>
      <c r="L239" s="222">
        <f>L240</f>
        <v>3626</v>
      </c>
      <c r="M239" s="223"/>
      <c r="N239" s="230">
        <f>L239/24/60/60</f>
        <v>4.1967592592592598E-2</v>
      </c>
      <c r="O239" s="231"/>
      <c r="P239" s="222">
        <v>250</v>
      </c>
      <c r="Q239" s="223"/>
      <c r="R239" s="224">
        <f>IF(P239&lt;=600,100,IF(P239&gt;=1000,120,110))</f>
        <v>100</v>
      </c>
      <c r="S239" s="225"/>
      <c r="T239" s="226">
        <f>10.666*R239^(-1.85)*(P239/1000)^(-4.87)*N239^1.85</f>
        <v>5.1573278833784491E-3</v>
      </c>
      <c r="U239" s="227"/>
      <c r="V239" s="232">
        <f>0.35464*R239*(P239/1000)^(0.63)*T239^(0.54)</f>
        <v>0.86138892766381625</v>
      </c>
      <c r="W239" s="233"/>
      <c r="X239" s="232">
        <f>ROUND(T239*J239,2)</f>
        <v>23.27</v>
      </c>
      <c r="Y239" s="233"/>
      <c r="Z239" s="236">
        <f>AB23</f>
        <v>48.529999999999994</v>
      </c>
      <c r="AA239" s="236"/>
      <c r="AB239" s="236">
        <f>Z239-X239+AJ239</f>
        <v>25.259999999999994</v>
      </c>
      <c r="AC239" s="236"/>
      <c r="AD239" s="197"/>
      <c r="AE239" s="197"/>
      <c r="AF239" s="197"/>
      <c r="AG239" s="197"/>
      <c r="AH239" s="176" t="s">
        <v>212</v>
      </c>
      <c r="AI239" s="177"/>
      <c r="AJ239" s="183"/>
      <c r="AK239" s="179"/>
      <c r="AL239" s="176" t="s">
        <v>213</v>
      </c>
      <c r="AM239" s="177"/>
      <c r="AN239" s="178" t="str">
        <f>IF(AD239="","",AB239-AD239)</f>
        <v/>
      </c>
      <c r="AO239" s="202"/>
    </row>
    <row r="240" spans="1:42" ht="23.1" customHeight="1">
      <c r="A240" s="180" t="s">
        <v>412</v>
      </c>
      <c r="B240" s="180"/>
      <c r="C240" s="181" t="s">
        <v>276</v>
      </c>
      <c r="D240" s="179"/>
      <c r="E240" s="182"/>
      <c r="F240" s="113" t="s">
        <v>200</v>
      </c>
      <c r="G240" s="246" t="s">
        <v>415</v>
      </c>
      <c r="H240" s="179"/>
      <c r="I240" s="179"/>
      <c r="J240" s="222">
        <v>4400</v>
      </c>
      <c r="K240" s="223"/>
      <c r="L240" s="222">
        <f>L241+S234</f>
        <v>3626</v>
      </c>
      <c r="M240" s="223"/>
      <c r="N240" s="230">
        <f>L240/24/60/60</f>
        <v>4.1967592592592598E-2</v>
      </c>
      <c r="O240" s="231"/>
      <c r="P240" s="222">
        <v>200</v>
      </c>
      <c r="Q240" s="223"/>
      <c r="R240" s="224">
        <f>IF(P240&lt;=600,100,IF(P240&gt;=1000,120,110))</f>
        <v>100</v>
      </c>
      <c r="S240" s="225"/>
      <c r="T240" s="226">
        <f>10.666*R240^(-1.85)*(P240/1000)^(-4.87)*N240^1.85</f>
        <v>1.5288909376633271E-2</v>
      </c>
      <c r="U240" s="227"/>
      <c r="V240" s="232">
        <f>0.35464*R240*(P240/1000)^(0.63)*T240^(0.54)</f>
        <v>1.3458601341324223</v>
      </c>
      <c r="W240" s="233"/>
      <c r="X240" s="232">
        <f>ROUND(T240*J240,2)</f>
        <v>67.27</v>
      </c>
      <c r="Y240" s="233"/>
      <c r="Z240" s="236">
        <f>AB239</f>
        <v>25.259999999999994</v>
      </c>
      <c r="AA240" s="236"/>
      <c r="AB240" s="236">
        <f>Z240-X240+AJ240</f>
        <v>46.989999999999995</v>
      </c>
      <c r="AC240" s="236"/>
      <c r="AD240" s="197"/>
      <c r="AE240" s="197"/>
      <c r="AF240" s="197"/>
      <c r="AG240" s="197"/>
      <c r="AH240" s="176" t="s">
        <v>212</v>
      </c>
      <c r="AI240" s="177"/>
      <c r="AJ240" s="192">
        <v>89</v>
      </c>
      <c r="AK240" s="193"/>
      <c r="AL240" s="176" t="s">
        <v>213</v>
      </c>
      <c r="AM240" s="177"/>
      <c r="AN240" s="178" t="str">
        <f>IF(AD240="","",AB240-AD240)</f>
        <v/>
      </c>
      <c r="AO240" s="202"/>
    </row>
    <row r="241" spans="1:41" ht="23.1" customHeight="1">
      <c r="A241" s="180" t="s">
        <v>413</v>
      </c>
      <c r="B241" s="180"/>
      <c r="C241" s="181" t="s">
        <v>416</v>
      </c>
      <c r="D241" s="179"/>
      <c r="E241" s="182"/>
      <c r="F241" s="113" t="s">
        <v>200</v>
      </c>
      <c r="G241" s="183" t="s">
        <v>277</v>
      </c>
      <c r="H241" s="179"/>
      <c r="I241" s="179"/>
      <c r="J241" s="222">
        <v>2768</v>
      </c>
      <c r="K241" s="223"/>
      <c r="L241" s="222">
        <f>배분계획!G22</f>
        <v>2495</v>
      </c>
      <c r="M241" s="223"/>
      <c r="N241" s="230">
        <f>L241/24/60/60</f>
        <v>2.8877314814814814E-2</v>
      </c>
      <c r="O241" s="231"/>
      <c r="P241" s="222">
        <v>200</v>
      </c>
      <c r="Q241" s="223"/>
      <c r="R241" s="224">
        <f>IF(P241&lt;=600,100,IF(P241&gt;=1000,120,110))</f>
        <v>100</v>
      </c>
      <c r="S241" s="225"/>
      <c r="T241" s="226">
        <f>10.666*R241^(-1.85)*(P241/1000)^(-4.87)*N241^1.85</f>
        <v>7.65624097841294E-3</v>
      </c>
      <c r="U241" s="227"/>
      <c r="V241" s="232">
        <f>0.35464*R241*(P241/1000)^(0.63)*T241^(0.54)</f>
        <v>0.926413844230776</v>
      </c>
      <c r="W241" s="233"/>
      <c r="X241" s="232">
        <f>ROUND(T241*J241,2)</f>
        <v>21.19</v>
      </c>
      <c r="Y241" s="233"/>
      <c r="Z241" s="236">
        <f>AB240</f>
        <v>46.989999999999995</v>
      </c>
      <c r="AA241" s="236"/>
      <c r="AB241" s="236">
        <f>Z241-X241+AJ241</f>
        <v>75.8</v>
      </c>
      <c r="AC241" s="236"/>
      <c r="AD241" s="197">
        <v>73.7</v>
      </c>
      <c r="AE241" s="197"/>
      <c r="AF241" s="197">
        <v>69.7</v>
      </c>
      <c r="AG241" s="197"/>
      <c r="AH241" s="176" t="s">
        <v>212</v>
      </c>
      <c r="AI241" s="177"/>
      <c r="AJ241" s="192">
        <v>50</v>
      </c>
      <c r="AK241" s="193"/>
      <c r="AL241" s="176" t="s">
        <v>213</v>
      </c>
      <c r="AM241" s="177"/>
      <c r="AN241" s="178">
        <f>IF(AD241="","",AB241-AD241)</f>
        <v>2.0999999999999943</v>
      </c>
      <c r="AO241" s="202"/>
    </row>
    <row r="246" spans="1:41" s="114" customFormat="1" ht="23.1" customHeight="1">
      <c r="A246" s="111" t="s">
        <v>461</v>
      </c>
    </row>
    <row r="248" spans="1:41" ht="23.1" customHeight="1"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6"/>
      <c r="AK248" s="119"/>
      <c r="AL248" s="119"/>
      <c r="AM248" s="119"/>
    </row>
    <row r="249" spans="1:41" ht="23.1" customHeight="1"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6"/>
      <c r="AK249" s="119"/>
      <c r="AL249" s="119"/>
      <c r="AM249" s="119"/>
    </row>
    <row r="250" spans="1:41" ht="23.1" customHeight="1"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6"/>
      <c r="AK250" s="116"/>
      <c r="AL250" s="116"/>
      <c r="AM250" s="116"/>
    </row>
    <row r="251" spans="1:41" ht="23.1" customHeight="1"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  <c r="AL251" s="117"/>
      <c r="AM251" s="117"/>
    </row>
    <row r="252" spans="1:41" ht="23.1" customHeight="1"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6"/>
      <c r="AJ252" s="116"/>
      <c r="AK252" s="116"/>
      <c r="AL252" s="117"/>
      <c r="AM252" s="118"/>
      <c r="AN252" s="118"/>
    </row>
    <row r="253" spans="1:41" ht="23.1" customHeight="1">
      <c r="B253" s="117"/>
      <c r="C253" s="117"/>
      <c r="D253" s="117"/>
      <c r="E253" s="117"/>
      <c r="F253" s="117"/>
      <c r="G253" s="117"/>
      <c r="H253" s="117"/>
      <c r="I253" s="116"/>
      <c r="J253" s="116"/>
      <c r="K253" s="116"/>
      <c r="L253" s="116"/>
      <c r="M253" s="117"/>
      <c r="N253" s="116"/>
      <c r="O253" s="116"/>
      <c r="P253" s="116"/>
      <c r="Q253" s="116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7"/>
      <c r="AK253" s="117"/>
      <c r="AL253" s="117"/>
      <c r="AM253" s="118"/>
      <c r="AN253" s="118"/>
    </row>
    <row r="254" spans="1:41" ht="23.1" customHeight="1">
      <c r="B254" s="117"/>
      <c r="C254" s="117"/>
      <c r="D254" s="117"/>
      <c r="E254" s="117"/>
      <c r="F254" s="117"/>
      <c r="G254" s="117"/>
      <c r="H254" s="117"/>
      <c r="I254" s="116"/>
      <c r="J254" s="116"/>
      <c r="K254" s="116"/>
      <c r="L254" s="116"/>
      <c r="M254" s="117"/>
      <c r="N254" s="116"/>
      <c r="O254" s="116"/>
      <c r="P254" s="116"/>
      <c r="Q254" s="116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7"/>
      <c r="AK254" s="117"/>
      <c r="AL254" s="117"/>
      <c r="AM254" s="117"/>
    </row>
    <row r="255" spans="1:41" ht="23.1" customHeight="1">
      <c r="B255" s="198" t="s">
        <v>275</v>
      </c>
      <c r="C255" s="209"/>
      <c r="D255" s="209"/>
      <c r="E255" s="210"/>
      <c r="F255" s="112"/>
      <c r="G255" s="206" t="s">
        <v>278</v>
      </c>
      <c r="H255" s="206"/>
      <c r="I255" s="206"/>
      <c r="J255" s="117"/>
      <c r="K255" s="198" t="s">
        <v>276</v>
      </c>
      <c r="L255" s="203"/>
      <c r="M255" s="203"/>
      <c r="N255" s="199"/>
      <c r="O255" s="117"/>
      <c r="P255" s="206" t="s">
        <v>279</v>
      </c>
      <c r="Q255" s="206"/>
      <c r="R255" s="206"/>
      <c r="S255" s="119"/>
      <c r="T255" s="116"/>
      <c r="U255" s="198" t="s">
        <v>414</v>
      </c>
      <c r="V255" s="203"/>
      <c r="W255" s="203"/>
      <c r="X255" s="199"/>
      <c r="Y255" s="117"/>
      <c r="Z255" s="206" t="s">
        <v>301</v>
      </c>
      <c r="AA255" s="206"/>
      <c r="AB255" s="206"/>
      <c r="AC255" s="116"/>
      <c r="AD255" s="198" t="s">
        <v>318</v>
      </c>
      <c r="AE255" s="203"/>
      <c r="AF255" s="203"/>
      <c r="AG255" s="199"/>
      <c r="AH255" s="116"/>
      <c r="AI255" s="117"/>
      <c r="AJ255" s="116"/>
      <c r="AK255" s="116"/>
      <c r="AL255" s="116"/>
      <c r="AM255" s="116"/>
    </row>
    <row r="256" spans="1:41" ht="23.1" customHeight="1">
      <c r="B256" s="200" t="s">
        <v>234</v>
      </c>
      <c r="C256" s="204"/>
      <c r="D256" s="205">
        <f>Z265</f>
        <v>68.599999999999994</v>
      </c>
      <c r="E256" s="201"/>
      <c r="G256" s="110" t="s">
        <v>231</v>
      </c>
      <c r="H256" s="207">
        <f>P265</f>
        <v>1000</v>
      </c>
      <c r="I256" s="207"/>
      <c r="J256" s="117"/>
      <c r="K256" s="200" t="s">
        <v>222</v>
      </c>
      <c r="L256" s="204"/>
      <c r="M256" s="205">
        <f>AJ266</f>
        <v>0</v>
      </c>
      <c r="N256" s="220"/>
      <c r="O256" s="117"/>
      <c r="P256" s="110" t="s">
        <v>231</v>
      </c>
      <c r="Q256" s="207">
        <f>P266</f>
        <v>300</v>
      </c>
      <c r="R256" s="207"/>
      <c r="S256" s="126"/>
      <c r="T256" s="116"/>
      <c r="U256" s="200" t="s">
        <v>222</v>
      </c>
      <c r="V256" s="204"/>
      <c r="W256" s="205">
        <f>AT266</f>
        <v>0</v>
      </c>
      <c r="X256" s="220"/>
      <c r="Y256" s="117"/>
      <c r="Z256" s="110" t="s">
        <v>231</v>
      </c>
      <c r="AA256" s="207">
        <f>P267</f>
        <v>300</v>
      </c>
      <c r="AB256" s="207"/>
      <c r="AC256" s="118"/>
      <c r="AD256" s="200" t="s">
        <v>223</v>
      </c>
      <c r="AE256" s="204"/>
      <c r="AF256" s="205">
        <f>AD267</f>
        <v>85</v>
      </c>
      <c r="AG256" s="220"/>
      <c r="AH256" s="118"/>
      <c r="AI256" s="117"/>
      <c r="AJ256" s="116"/>
      <c r="AK256" s="116"/>
      <c r="AL256" s="116"/>
      <c r="AM256" s="116"/>
    </row>
    <row r="257" spans="1:42" ht="23.1" customHeight="1">
      <c r="G257" s="110" t="s">
        <v>232</v>
      </c>
      <c r="H257" s="208">
        <f>J265</f>
        <v>24541</v>
      </c>
      <c r="I257" s="208"/>
      <c r="J257" s="117"/>
      <c r="K257" s="117"/>
      <c r="L257" s="117"/>
      <c r="M257" s="118"/>
      <c r="N257" s="118"/>
      <c r="O257" s="117"/>
      <c r="P257" s="110" t="s">
        <v>232</v>
      </c>
      <c r="Q257" s="208">
        <f>J266</f>
        <v>100</v>
      </c>
      <c r="R257" s="208"/>
      <c r="S257" s="118"/>
      <c r="T257" s="117"/>
      <c r="V257" s="208"/>
      <c r="W257" s="208"/>
      <c r="X257" s="118"/>
      <c r="Y257" s="117"/>
      <c r="Z257" s="110" t="s">
        <v>232</v>
      </c>
      <c r="AA257" s="208">
        <f>J267</f>
        <v>13300</v>
      </c>
      <c r="AB257" s="208"/>
      <c r="AC257" s="118"/>
      <c r="AD257" s="117"/>
      <c r="AE257" s="117"/>
      <c r="AF257" s="117"/>
      <c r="AG257" s="118"/>
      <c r="AH257" s="118"/>
      <c r="AI257" s="117"/>
      <c r="AJ257" s="117"/>
      <c r="AK257" s="117"/>
      <c r="AL257" s="117"/>
      <c r="AM257" s="117"/>
    </row>
    <row r="258" spans="1:42" ht="23.1" customHeight="1"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7"/>
      <c r="AK258" s="117"/>
      <c r="AL258" s="117"/>
      <c r="AM258" s="117"/>
    </row>
    <row r="259" spans="1:42" ht="23.1" customHeight="1">
      <c r="B259" s="117"/>
      <c r="C259" s="117"/>
      <c r="D259" s="117"/>
      <c r="E259" s="117"/>
      <c r="F259" s="117"/>
      <c r="G259" s="117"/>
      <c r="H259" s="117"/>
      <c r="I259" s="116"/>
      <c r="J259" s="116"/>
      <c r="K259" s="116"/>
      <c r="L259" s="116"/>
      <c r="M259" s="117"/>
      <c r="N259" s="116"/>
      <c r="O259" s="116"/>
      <c r="P259" s="116"/>
      <c r="Q259" s="116"/>
      <c r="R259" s="198" t="s">
        <v>304</v>
      </c>
      <c r="S259" s="203"/>
      <c r="T259" s="203"/>
      <c r="U259" s="199"/>
      <c r="V259" s="116"/>
      <c r="W259" s="117"/>
      <c r="X259" s="116"/>
      <c r="Y259" s="116"/>
      <c r="Z259" s="116"/>
      <c r="AA259" s="116"/>
      <c r="AB259" s="117"/>
      <c r="AC259" s="116"/>
      <c r="AD259" s="116"/>
      <c r="AE259" s="116"/>
      <c r="AF259" s="116"/>
      <c r="AG259" s="117"/>
      <c r="AH259" s="117"/>
      <c r="AI259" s="117"/>
      <c r="AJ259" s="117"/>
      <c r="AK259" s="117"/>
      <c r="AL259" s="117"/>
      <c r="AM259" s="117"/>
    </row>
    <row r="260" spans="1:42" ht="23.1" customHeight="1">
      <c r="B260" s="117"/>
      <c r="C260" s="117"/>
      <c r="D260" s="117"/>
      <c r="E260" s="117"/>
      <c r="F260" s="117"/>
      <c r="G260" s="117"/>
      <c r="H260" s="117"/>
      <c r="I260" s="117"/>
      <c r="J260" s="116"/>
      <c r="K260" s="116"/>
      <c r="L260" s="116"/>
      <c r="M260" s="117"/>
      <c r="N260" s="117"/>
      <c r="O260" s="116"/>
      <c r="P260" s="116"/>
      <c r="Q260" s="116"/>
      <c r="R260" s="115" t="s">
        <v>233</v>
      </c>
      <c r="S260" s="237">
        <f>배분계획!G37</f>
        <v>0</v>
      </c>
      <c r="T260" s="204"/>
      <c r="U260" s="201"/>
      <c r="V260" s="116"/>
      <c r="W260" s="117"/>
      <c r="X260" s="117"/>
      <c r="Y260" s="116"/>
      <c r="Z260" s="116"/>
      <c r="AA260" s="116"/>
      <c r="AB260" s="117"/>
      <c r="AC260" s="117"/>
      <c r="AD260" s="116"/>
      <c r="AE260" s="116"/>
      <c r="AF260" s="116"/>
      <c r="AG260" s="117"/>
      <c r="AH260" s="117"/>
      <c r="AI260" s="117"/>
      <c r="AJ260" s="117"/>
      <c r="AK260" s="117"/>
      <c r="AL260" s="117"/>
      <c r="AM260" s="117"/>
    </row>
    <row r="263" spans="1:42" ht="23.1" customHeight="1">
      <c r="A263" s="179" t="s">
        <v>179</v>
      </c>
      <c r="B263" s="179"/>
      <c r="C263" s="179" t="s">
        <v>180</v>
      </c>
      <c r="D263" s="179"/>
      <c r="E263" s="179"/>
      <c r="F263" s="179"/>
      <c r="G263" s="179"/>
      <c r="H263" s="179"/>
      <c r="I263" s="179"/>
      <c r="J263" s="181" t="s">
        <v>195</v>
      </c>
      <c r="K263" s="179"/>
      <c r="L263" s="179" t="s">
        <v>181</v>
      </c>
      <c r="M263" s="179"/>
      <c r="N263" s="179"/>
      <c r="O263" s="179"/>
      <c r="P263" s="181" t="s">
        <v>189</v>
      </c>
      <c r="Q263" s="179"/>
      <c r="R263" s="181" t="s">
        <v>190</v>
      </c>
      <c r="S263" s="179"/>
      <c r="T263" s="181" t="s">
        <v>191</v>
      </c>
      <c r="U263" s="179"/>
      <c r="V263" s="181" t="s">
        <v>193</v>
      </c>
      <c r="W263" s="179"/>
      <c r="X263" s="181" t="s">
        <v>194</v>
      </c>
      <c r="Y263" s="179"/>
      <c r="Z263" s="179" t="s">
        <v>196</v>
      </c>
      <c r="AA263" s="179"/>
      <c r="AB263" s="179"/>
      <c r="AC263" s="179"/>
      <c r="AD263" s="179" t="s">
        <v>184</v>
      </c>
      <c r="AE263" s="179"/>
      <c r="AF263" s="179"/>
      <c r="AG263" s="179"/>
      <c r="AH263" s="179" t="s">
        <v>187</v>
      </c>
      <c r="AI263" s="179"/>
      <c r="AJ263" s="179"/>
      <c r="AK263" s="179"/>
      <c r="AL263" s="179"/>
      <c r="AM263" s="179"/>
      <c r="AN263" s="179"/>
      <c r="AO263" s="179"/>
      <c r="AP263" s="116"/>
    </row>
    <row r="264" spans="1:42" ht="23.1" customHeight="1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 t="s">
        <v>197</v>
      </c>
      <c r="M264" s="179"/>
      <c r="N264" s="179" t="s">
        <v>188</v>
      </c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 t="s">
        <v>182</v>
      </c>
      <c r="AA264" s="179"/>
      <c r="AB264" s="179" t="s">
        <v>183</v>
      </c>
      <c r="AC264" s="179"/>
      <c r="AD264" s="179" t="s">
        <v>185</v>
      </c>
      <c r="AE264" s="179"/>
      <c r="AF264" s="179" t="s">
        <v>186</v>
      </c>
      <c r="AG264" s="179"/>
      <c r="AH264" s="179"/>
      <c r="AI264" s="179"/>
      <c r="AJ264" s="179"/>
      <c r="AK264" s="179"/>
      <c r="AL264" s="179"/>
      <c r="AM264" s="179"/>
      <c r="AN264" s="179"/>
      <c r="AO264" s="179"/>
      <c r="AP264" s="116"/>
    </row>
    <row r="265" spans="1:42" ht="23.1" customHeight="1">
      <c r="A265" s="180" t="s">
        <v>411</v>
      </c>
      <c r="B265" s="180"/>
      <c r="C265" s="181" t="s">
        <v>464</v>
      </c>
      <c r="D265" s="179"/>
      <c r="E265" s="182"/>
      <c r="F265" s="113" t="s">
        <v>200</v>
      </c>
      <c r="G265" s="183" t="s">
        <v>462</v>
      </c>
      <c r="H265" s="179"/>
      <c r="I265" s="179"/>
      <c r="J265" s="222">
        <v>24541</v>
      </c>
      <c r="K265" s="223"/>
      <c r="L265" s="222">
        <f>L266</f>
        <v>3675</v>
      </c>
      <c r="M265" s="223"/>
      <c r="N265" s="230">
        <f>L265/24/60/60</f>
        <v>4.2534722222222224E-2</v>
      </c>
      <c r="O265" s="231"/>
      <c r="P265" s="222">
        <v>1000</v>
      </c>
      <c r="Q265" s="223"/>
      <c r="R265" s="224">
        <f>IF(P265&lt;=600,100,IF(P265&gt;=1000,120,110))</f>
        <v>120</v>
      </c>
      <c r="S265" s="225"/>
      <c r="T265" s="226">
        <f>10.666*R265^(-1.85)*(P265/1000)^(-4.87)*N265^1.85</f>
        <v>4.4125733315843374E-6</v>
      </c>
      <c r="U265" s="227"/>
      <c r="V265" s="232">
        <f>0.35464*R265*(P265/1000)^(0.63)*T265^(0.54)</f>
        <v>5.4588682123790692E-2</v>
      </c>
      <c r="W265" s="233"/>
      <c r="X265" s="234">
        <f>ROUND(T265*J265,2)</f>
        <v>0.11</v>
      </c>
      <c r="Y265" s="235"/>
      <c r="Z265" s="236">
        <f>AF265+AJ265</f>
        <v>68.599999999999994</v>
      </c>
      <c r="AA265" s="236"/>
      <c r="AB265" s="236">
        <f>Z265-X265+AJ265</f>
        <v>68.489999999999995</v>
      </c>
      <c r="AC265" s="236"/>
      <c r="AD265" s="197"/>
      <c r="AE265" s="197"/>
      <c r="AF265" s="196">
        <v>68.599999999999994</v>
      </c>
      <c r="AG265" s="196"/>
      <c r="AH265" s="176" t="s">
        <v>212</v>
      </c>
      <c r="AI265" s="177"/>
      <c r="AJ265" s="183"/>
      <c r="AK265" s="179"/>
      <c r="AL265" s="176" t="s">
        <v>213</v>
      </c>
      <c r="AM265" s="177"/>
      <c r="AN265" s="178" t="str">
        <f>IF(AD265="","",AB265-AD265)</f>
        <v/>
      </c>
      <c r="AO265" s="202"/>
    </row>
    <row r="266" spans="1:42" ht="23.1" customHeight="1">
      <c r="A266" s="180" t="s">
        <v>412</v>
      </c>
      <c r="B266" s="180"/>
      <c r="C266" s="181" t="s">
        <v>462</v>
      </c>
      <c r="D266" s="179"/>
      <c r="E266" s="182"/>
      <c r="F266" s="113" t="s">
        <v>200</v>
      </c>
      <c r="G266" s="183" t="s">
        <v>463</v>
      </c>
      <c r="H266" s="179"/>
      <c r="I266" s="179"/>
      <c r="J266" s="222">
        <v>100</v>
      </c>
      <c r="K266" s="223"/>
      <c r="L266" s="222">
        <f>L267</f>
        <v>3675</v>
      </c>
      <c r="M266" s="223"/>
      <c r="N266" s="230">
        <f>L266/24/60/60</f>
        <v>4.2534722222222224E-2</v>
      </c>
      <c r="O266" s="231"/>
      <c r="P266" s="222">
        <v>300</v>
      </c>
      <c r="Q266" s="223"/>
      <c r="R266" s="224">
        <f>IF(P266&lt;=600,100,IF(P266&gt;=1000,120,110))</f>
        <v>100</v>
      </c>
      <c r="S266" s="225"/>
      <c r="T266" s="226">
        <f>10.666*R266^(-1.85)*(P266/1000)^(-4.87)*N266^1.85</f>
        <v>2.1756885721423238E-3</v>
      </c>
      <c r="U266" s="227"/>
      <c r="V266" s="232">
        <f>0.35464*R266*(P266/1000)^(0.63)*T266^(0.54)</f>
        <v>0.60628432953648892</v>
      </c>
      <c r="W266" s="233"/>
      <c r="X266" s="234">
        <f>ROUND(T266*J266,2)</f>
        <v>0.22</v>
      </c>
      <c r="Y266" s="235"/>
      <c r="Z266" s="236">
        <f>AB265</f>
        <v>68.489999999999995</v>
      </c>
      <c r="AA266" s="236"/>
      <c r="AB266" s="236">
        <f>Z266-X266+AJ266</f>
        <v>68.27</v>
      </c>
      <c r="AC266" s="236"/>
      <c r="AD266" s="197"/>
      <c r="AE266" s="197"/>
      <c r="AF266" s="197"/>
      <c r="AG266" s="197"/>
      <c r="AH266" s="176" t="s">
        <v>212</v>
      </c>
      <c r="AI266" s="177"/>
      <c r="AJ266" s="192"/>
      <c r="AK266" s="193"/>
      <c r="AL266" s="176" t="s">
        <v>213</v>
      </c>
      <c r="AM266" s="177"/>
      <c r="AN266" s="178" t="str">
        <f>IF(AD266="","",AB266-AD266)</f>
        <v/>
      </c>
      <c r="AO266" s="202"/>
    </row>
    <row r="267" spans="1:42" ht="23.1" customHeight="1">
      <c r="A267" s="180" t="s">
        <v>413</v>
      </c>
      <c r="B267" s="180"/>
      <c r="C267" s="254" t="s">
        <v>463</v>
      </c>
      <c r="D267" s="255"/>
      <c r="E267" s="255"/>
      <c r="F267" s="113" t="s">
        <v>200</v>
      </c>
      <c r="G267" s="255" t="s">
        <v>465</v>
      </c>
      <c r="H267" s="255"/>
      <c r="I267" s="246"/>
      <c r="J267" s="222">
        <v>13300</v>
      </c>
      <c r="K267" s="223"/>
      <c r="L267" s="222">
        <v>3675</v>
      </c>
      <c r="M267" s="223"/>
      <c r="N267" s="230">
        <f>L267/24/60/60</f>
        <v>4.2534722222222224E-2</v>
      </c>
      <c r="O267" s="231"/>
      <c r="P267" s="222">
        <v>300</v>
      </c>
      <c r="Q267" s="223"/>
      <c r="R267" s="224">
        <f>IF(P267&lt;=600,100,IF(P267&gt;=1000,120,110))</f>
        <v>100</v>
      </c>
      <c r="S267" s="225"/>
      <c r="T267" s="226">
        <f>10.666*R267^(-1.85)*(P267/1000)^(-4.87)*N267^1.85</f>
        <v>2.1756885721423238E-3</v>
      </c>
      <c r="U267" s="227"/>
      <c r="V267" s="232">
        <f>0.35464*R267*(P267/1000)^(0.63)*T267^(0.54)</f>
        <v>0.60628432953648892</v>
      </c>
      <c r="W267" s="233"/>
      <c r="X267" s="232">
        <f>ROUND(T267*J267,2)</f>
        <v>28.94</v>
      </c>
      <c r="Y267" s="233"/>
      <c r="Z267" s="236">
        <f>AB266</f>
        <v>68.27</v>
      </c>
      <c r="AA267" s="236"/>
      <c r="AB267" s="236">
        <f>Z267-X267+AJ267</f>
        <v>89.33</v>
      </c>
      <c r="AC267" s="236"/>
      <c r="AD267" s="197">
        <v>85</v>
      </c>
      <c r="AE267" s="197"/>
      <c r="AF267" s="197">
        <v>81</v>
      </c>
      <c r="AG267" s="197"/>
      <c r="AH267" s="176" t="s">
        <v>212</v>
      </c>
      <c r="AI267" s="177"/>
      <c r="AJ267" s="192">
        <v>50</v>
      </c>
      <c r="AK267" s="193"/>
      <c r="AL267" s="176" t="s">
        <v>213</v>
      </c>
      <c r="AM267" s="177"/>
      <c r="AN267" s="178">
        <f>IF(AD267="","",AB267-AD267)</f>
        <v>4.3299999999999983</v>
      </c>
      <c r="AO267" s="202"/>
    </row>
  </sheetData>
  <mergeCells count="1332">
    <mergeCell ref="AH199:AJ199"/>
    <mergeCell ref="AL199:AO199"/>
    <mergeCell ref="AI200:AJ200"/>
    <mergeCell ref="AL200:AM200"/>
    <mergeCell ref="AN200:AO200"/>
    <mergeCell ref="AI201:AJ201"/>
    <mergeCell ref="AN213:AO213"/>
    <mergeCell ref="AH212:AI212"/>
    <mergeCell ref="AJ212:AK212"/>
    <mergeCell ref="AB214:AC214"/>
    <mergeCell ref="AD214:AE214"/>
    <mergeCell ref="AF214:AG214"/>
    <mergeCell ref="AH214:AI214"/>
    <mergeCell ref="AJ214:AK214"/>
    <mergeCell ref="AL214:AM214"/>
    <mergeCell ref="AB213:AC213"/>
    <mergeCell ref="AF212:AG212"/>
    <mergeCell ref="AN211:AO211"/>
    <mergeCell ref="J214:K214"/>
    <mergeCell ref="L214:M214"/>
    <mergeCell ref="N214:O214"/>
    <mergeCell ref="AH241:AI241"/>
    <mergeCell ref="AJ241:AK241"/>
    <mergeCell ref="AL241:AM241"/>
    <mergeCell ref="AN241:AO241"/>
    <mergeCell ref="V241:W241"/>
    <mergeCell ref="X241:Y241"/>
    <mergeCell ref="Z241:AA241"/>
    <mergeCell ref="AB241:AC241"/>
    <mergeCell ref="AD241:AE241"/>
    <mergeCell ref="AF241:AG241"/>
    <mergeCell ref="AN240:AO240"/>
    <mergeCell ref="A241:B241"/>
    <mergeCell ref="C241:E241"/>
    <mergeCell ref="G241:I241"/>
    <mergeCell ref="J241:K241"/>
    <mergeCell ref="L241:M241"/>
    <mergeCell ref="N241:O241"/>
    <mergeCell ref="P241:Q241"/>
    <mergeCell ref="R241:S241"/>
    <mergeCell ref="T241:U241"/>
    <mergeCell ref="AD229:AG229"/>
    <mergeCell ref="AD230:AE230"/>
    <mergeCell ref="AF230:AG230"/>
    <mergeCell ref="AN214:AO214"/>
    <mergeCell ref="AB240:AC240"/>
    <mergeCell ref="AD240:AE240"/>
    <mergeCell ref="AF240:AG240"/>
    <mergeCell ref="AH240:AI240"/>
    <mergeCell ref="AJ240:AK240"/>
    <mergeCell ref="AL240:AM240"/>
    <mergeCell ref="P240:Q240"/>
    <mergeCell ref="R240:S240"/>
    <mergeCell ref="T240:U240"/>
    <mergeCell ref="V240:W240"/>
    <mergeCell ref="X240:Y240"/>
    <mergeCell ref="Z240:AA240"/>
    <mergeCell ref="AH239:AI239"/>
    <mergeCell ref="AJ239:AK239"/>
    <mergeCell ref="AL239:AM239"/>
    <mergeCell ref="AN239:AO239"/>
    <mergeCell ref="A240:B240"/>
    <mergeCell ref="C240:E240"/>
    <mergeCell ref="G240:I240"/>
    <mergeCell ref="J240:K240"/>
    <mergeCell ref="L240:M240"/>
    <mergeCell ref="N240:O240"/>
    <mergeCell ref="V239:W239"/>
    <mergeCell ref="X239:Y239"/>
    <mergeCell ref="Z239:AA239"/>
    <mergeCell ref="AB239:AC239"/>
    <mergeCell ref="AD239:AE239"/>
    <mergeCell ref="AF239:AG239"/>
    <mergeCell ref="AF238:AG238"/>
    <mergeCell ref="A239:B239"/>
    <mergeCell ref="C239:E239"/>
    <mergeCell ref="G239:I239"/>
    <mergeCell ref="J239:K239"/>
    <mergeCell ref="L239:M239"/>
    <mergeCell ref="N239:O239"/>
    <mergeCell ref="P239:Q239"/>
    <mergeCell ref="R239:S239"/>
    <mergeCell ref="T239:U239"/>
    <mergeCell ref="V237:W238"/>
    <mergeCell ref="X237:Y238"/>
    <mergeCell ref="Z237:AC237"/>
    <mergeCell ref="AD237:AG237"/>
    <mergeCell ref="AH237:AO238"/>
    <mergeCell ref="L238:M238"/>
    <mergeCell ref="N238:O238"/>
    <mergeCell ref="Z238:AA238"/>
    <mergeCell ref="AB238:AC238"/>
    <mergeCell ref="AD238:AE238"/>
    <mergeCell ref="R233:U233"/>
    <mergeCell ref="S234:U234"/>
    <mergeCell ref="A237:B238"/>
    <mergeCell ref="C237:I238"/>
    <mergeCell ref="J237:K238"/>
    <mergeCell ref="L237:O237"/>
    <mergeCell ref="P237:Q238"/>
    <mergeCell ref="R237:S238"/>
    <mergeCell ref="T237:U238"/>
    <mergeCell ref="AA230:AB230"/>
    <mergeCell ref="H231:I231"/>
    <mergeCell ref="Q231:R231"/>
    <mergeCell ref="V231:W231"/>
    <mergeCell ref="AA231:AB231"/>
    <mergeCell ref="U230:V230"/>
    <mergeCell ref="W230:X230"/>
    <mergeCell ref="B230:C230"/>
    <mergeCell ref="D230:E230"/>
    <mergeCell ref="H230:I230"/>
    <mergeCell ref="K230:L230"/>
    <mergeCell ref="M230:N230"/>
    <mergeCell ref="Q230:R230"/>
    <mergeCell ref="B229:E229"/>
    <mergeCell ref="G229:I229"/>
    <mergeCell ref="K229:N229"/>
    <mergeCell ref="P229:R229"/>
    <mergeCell ref="Z229:AB229"/>
    <mergeCell ref="U229:X229"/>
    <mergeCell ref="AD213:AE213"/>
    <mergeCell ref="AF213:AG213"/>
    <mergeCell ref="AH213:AI213"/>
    <mergeCell ref="AJ213:AK213"/>
    <mergeCell ref="AL213:AM213"/>
    <mergeCell ref="P213:Q213"/>
    <mergeCell ref="R213:S213"/>
    <mergeCell ref="T213:U213"/>
    <mergeCell ref="V213:W213"/>
    <mergeCell ref="X213:Y213"/>
    <mergeCell ref="Z213:AA213"/>
    <mergeCell ref="A213:B213"/>
    <mergeCell ref="C213:E213"/>
    <mergeCell ref="G213:I213"/>
    <mergeCell ref="J213:K213"/>
    <mergeCell ref="L213:M213"/>
    <mergeCell ref="N213:O213"/>
    <mergeCell ref="P214:Q214"/>
    <mergeCell ref="R214:S214"/>
    <mergeCell ref="T214:U214"/>
    <mergeCell ref="V214:W214"/>
    <mergeCell ref="X214:Y214"/>
    <mergeCell ref="Z214:AA214"/>
    <mergeCell ref="A214:B214"/>
    <mergeCell ref="C214:E214"/>
    <mergeCell ref="G214:I214"/>
    <mergeCell ref="A212:B212"/>
    <mergeCell ref="C212:E212"/>
    <mergeCell ref="G212:I212"/>
    <mergeCell ref="J212:K212"/>
    <mergeCell ref="L212:M212"/>
    <mergeCell ref="AL212:AM212"/>
    <mergeCell ref="AN212:AO212"/>
    <mergeCell ref="V212:W212"/>
    <mergeCell ref="N212:O212"/>
    <mergeCell ref="P212:Q212"/>
    <mergeCell ref="R212:S212"/>
    <mergeCell ref="T212:U212"/>
    <mergeCell ref="AB211:AC211"/>
    <mergeCell ref="AD211:AE211"/>
    <mergeCell ref="Z212:AA212"/>
    <mergeCell ref="AB212:AC212"/>
    <mergeCell ref="AD212:AE212"/>
    <mergeCell ref="X212:Y212"/>
    <mergeCell ref="AF211:AG211"/>
    <mergeCell ref="AH211:AI211"/>
    <mergeCell ref="AJ211:AK211"/>
    <mergeCell ref="AL211:AM211"/>
    <mergeCell ref="P211:Q211"/>
    <mergeCell ref="R211:S211"/>
    <mergeCell ref="T211:U211"/>
    <mergeCell ref="V211:W211"/>
    <mergeCell ref="X211:Y211"/>
    <mergeCell ref="Z211:AA211"/>
    <mergeCell ref="A211:B211"/>
    <mergeCell ref="C211:E211"/>
    <mergeCell ref="G211:I211"/>
    <mergeCell ref="J211:K211"/>
    <mergeCell ref="L211:M211"/>
    <mergeCell ref="N211:O211"/>
    <mergeCell ref="AH207:AO208"/>
    <mergeCell ref="L208:M208"/>
    <mergeCell ref="N208:O208"/>
    <mergeCell ref="Z208:AA208"/>
    <mergeCell ref="AB208:AC208"/>
    <mergeCell ref="AD208:AE208"/>
    <mergeCell ref="AF208:AG208"/>
    <mergeCell ref="R207:S208"/>
    <mergeCell ref="T207:U208"/>
    <mergeCell ref="V207:W208"/>
    <mergeCell ref="X207:Y208"/>
    <mergeCell ref="Z207:AC207"/>
    <mergeCell ref="AD207:AG207"/>
    <mergeCell ref="AC200:AD200"/>
    <mergeCell ref="AE200:AF200"/>
    <mergeCell ref="AH209:AI209"/>
    <mergeCell ref="AJ209:AK209"/>
    <mergeCell ref="AL209:AM209"/>
    <mergeCell ref="AN209:AO209"/>
    <mergeCell ref="T210:U210"/>
    <mergeCell ref="V210:W210"/>
    <mergeCell ref="X210:Y210"/>
    <mergeCell ref="Z210:AA210"/>
    <mergeCell ref="AB210:AC210"/>
    <mergeCell ref="AD210:AE210"/>
    <mergeCell ref="AF210:AG210"/>
    <mergeCell ref="AH210:AI210"/>
    <mergeCell ref="AJ210:AK210"/>
    <mergeCell ref="AL210:AM210"/>
    <mergeCell ref="AN210:AO210"/>
    <mergeCell ref="H201:I201"/>
    <mergeCell ref="Q201:R201"/>
    <mergeCell ref="Z201:AA201"/>
    <mergeCell ref="M200:N200"/>
    <mergeCell ref="Q200:R200"/>
    <mergeCell ref="A207:B208"/>
    <mergeCell ref="C207:I208"/>
    <mergeCell ref="J207:K208"/>
    <mergeCell ref="L207:O207"/>
    <mergeCell ref="P207:Q208"/>
    <mergeCell ref="AC199:AF199"/>
    <mergeCell ref="B200:C200"/>
    <mergeCell ref="D200:E200"/>
    <mergeCell ref="H200:I200"/>
    <mergeCell ref="K200:L200"/>
    <mergeCell ref="T200:U200"/>
    <mergeCell ref="V200:W200"/>
    <mergeCell ref="Z200:AA200"/>
    <mergeCell ref="AH187:AI187"/>
    <mergeCell ref="AJ187:AK187"/>
    <mergeCell ref="AL187:AM187"/>
    <mergeCell ref="AB187:AC187"/>
    <mergeCell ref="AD187:AE187"/>
    <mergeCell ref="AF187:AG187"/>
    <mergeCell ref="AN187:AO187"/>
    <mergeCell ref="B199:E199"/>
    <mergeCell ref="G199:I199"/>
    <mergeCell ref="K199:N199"/>
    <mergeCell ref="P199:R199"/>
    <mergeCell ref="T199:W199"/>
    <mergeCell ref="Y199:AA199"/>
    <mergeCell ref="V187:W187"/>
    <mergeCell ref="X187:Y187"/>
    <mergeCell ref="Z187:AA187"/>
    <mergeCell ref="AN186:AO186"/>
    <mergeCell ref="A187:B187"/>
    <mergeCell ref="C187:E187"/>
    <mergeCell ref="G187:I187"/>
    <mergeCell ref="J187:K187"/>
    <mergeCell ref="L187:M187"/>
    <mergeCell ref="N187:O187"/>
    <mergeCell ref="P187:Q187"/>
    <mergeCell ref="R187:S187"/>
    <mergeCell ref="T187:U187"/>
    <mergeCell ref="AB186:AC186"/>
    <mergeCell ref="AD186:AE186"/>
    <mergeCell ref="AF186:AG186"/>
    <mergeCell ref="AH186:AI186"/>
    <mergeCell ref="AJ186:AK186"/>
    <mergeCell ref="AL186:AM186"/>
    <mergeCell ref="R186:S186"/>
    <mergeCell ref="T186:U186"/>
    <mergeCell ref="V186:W186"/>
    <mergeCell ref="X186:Y186"/>
    <mergeCell ref="Z186:AA186"/>
    <mergeCell ref="AH185:AI185"/>
    <mergeCell ref="AJ185:AK185"/>
    <mergeCell ref="AL185:AM185"/>
    <mergeCell ref="AN185:AO185"/>
    <mergeCell ref="A186:B186"/>
    <mergeCell ref="C186:E186"/>
    <mergeCell ref="G186:I186"/>
    <mergeCell ref="J186:K186"/>
    <mergeCell ref="L186:M186"/>
    <mergeCell ref="N186:O186"/>
    <mergeCell ref="V185:W185"/>
    <mergeCell ref="X185:Y185"/>
    <mergeCell ref="Z185:AA185"/>
    <mergeCell ref="AB185:AC185"/>
    <mergeCell ref="AD185:AE185"/>
    <mergeCell ref="AF185:AG185"/>
    <mergeCell ref="AN183:AO183"/>
    <mergeCell ref="A185:B185"/>
    <mergeCell ref="C185:E185"/>
    <mergeCell ref="G185:I185"/>
    <mergeCell ref="J185:K185"/>
    <mergeCell ref="L185:M185"/>
    <mergeCell ref="N185:O185"/>
    <mergeCell ref="P185:Q185"/>
    <mergeCell ref="R185:S185"/>
    <mergeCell ref="T185:U185"/>
    <mergeCell ref="AB183:AC183"/>
    <mergeCell ref="AD183:AE183"/>
    <mergeCell ref="AF183:AG183"/>
    <mergeCell ref="AH183:AI183"/>
    <mergeCell ref="AJ183:AK183"/>
    <mergeCell ref="AL183:AM183"/>
    <mergeCell ref="P183:Q183"/>
    <mergeCell ref="R183:S183"/>
    <mergeCell ref="T183:U183"/>
    <mergeCell ref="V183:W183"/>
    <mergeCell ref="X183:Y183"/>
    <mergeCell ref="Z183:AA183"/>
    <mergeCell ref="AJ184:AK184"/>
    <mergeCell ref="AL184:AM184"/>
    <mergeCell ref="AN184:AO184"/>
    <mergeCell ref="Z184:AA184"/>
    <mergeCell ref="AB184:AC184"/>
    <mergeCell ref="AD184:AE184"/>
    <mergeCell ref="AF184:AG184"/>
    <mergeCell ref="AH184:AI184"/>
    <mergeCell ref="T184:U184"/>
    <mergeCell ref="V184:W184"/>
    <mergeCell ref="AH182:AI182"/>
    <mergeCell ref="AJ182:AK182"/>
    <mergeCell ref="AL182:AM182"/>
    <mergeCell ref="AN182:AO182"/>
    <mergeCell ref="A183:B183"/>
    <mergeCell ref="C183:E183"/>
    <mergeCell ref="G183:I183"/>
    <mergeCell ref="J183:K183"/>
    <mergeCell ref="L183:M183"/>
    <mergeCell ref="N183:O183"/>
    <mergeCell ref="V182:W182"/>
    <mergeCell ref="X182:Y182"/>
    <mergeCell ref="Z182:AA182"/>
    <mergeCell ref="AB182:AC182"/>
    <mergeCell ref="AD182:AE182"/>
    <mergeCell ref="AF182:AG182"/>
    <mergeCell ref="AF181:AG181"/>
    <mergeCell ref="A182:B182"/>
    <mergeCell ref="C182:E182"/>
    <mergeCell ref="G182:I182"/>
    <mergeCell ref="J182:K182"/>
    <mergeCell ref="L182:M182"/>
    <mergeCell ref="N182:O182"/>
    <mergeCell ref="P182:Q182"/>
    <mergeCell ref="R182:S182"/>
    <mergeCell ref="T182:U182"/>
    <mergeCell ref="V180:W181"/>
    <mergeCell ref="X180:Y181"/>
    <mergeCell ref="Z180:AC180"/>
    <mergeCell ref="AD180:AG180"/>
    <mergeCell ref="AH180:AO181"/>
    <mergeCell ref="L181:M181"/>
    <mergeCell ref="N181:O181"/>
    <mergeCell ref="Z181:AA181"/>
    <mergeCell ref="AB181:AC181"/>
    <mergeCell ref="AD181:AE181"/>
    <mergeCell ref="J177:L177"/>
    <mergeCell ref="A180:B181"/>
    <mergeCell ref="C180:I181"/>
    <mergeCell ref="J180:K181"/>
    <mergeCell ref="L180:O180"/>
    <mergeCell ref="P180:Q181"/>
    <mergeCell ref="R180:S181"/>
    <mergeCell ref="T180:U181"/>
    <mergeCell ref="H174:I174"/>
    <mergeCell ref="M174:N174"/>
    <mergeCell ref="R174:S174"/>
    <mergeCell ref="W174:X174"/>
    <mergeCell ref="AB174:AC174"/>
    <mergeCell ref="I176:L176"/>
    <mergeCell ref="AN156:AO156"/>
    <mergeCell ref="I170:L170"/>
    <mergeCell ref="N170:Q170"/>
    <mergeCell ref="I171:J171"/>
    <mergeCell ref="K171:L171"/>
    <mergeCell ref="V156:W156"/>
    <mergeCell ref="X156:Y156"/>
    <mergeCell ref="Z156:AA156"/>
    <mergeCell ref="AB156:AC156"/>
    <mergeCell ref="AD156:AE156"/>
    <mergeCell ref="AF156:AG156"/>
    <mergeCell ref="AN155:AO155"/>
    <mergeCell ref="B173:C173"/>
    <mergeCell ref="D173:E173"/>
    <mergeCell ref="H173:I173"/>
    <mergeCell ref="M173:N173"/>
    <mergeCell ref="R173:S173"/>
    <mergeCell ref="W173:X173"/>
    <mergeCell ref="AB173:AC173"/>
    <mergeCell ref="AG173:AH173"/>
    <mergeCell ref="N171:O171"/>
    <mergeCell ref="P171:Q171"/>
    <mergeCell ref="B172:E172"/>
    <mergeCell ref="G172:I172"/>
    <mergeCell ref="L172:N172"/>
    <mergeCell ref="Q172:S172"/>
    <mergeCell ref="V172:X172"/>
    <mergeCell ref="AA172:AC172"/>
    <mergeCell ref="A156:B156"/>
    <mergeCell ref="C156:E156"/>
    <mergeCell ref="G156:I156"/>
    <mergeCell ref="J156:K156"/>
    <mergeCell ref="L156:M156"/>
    <mergeCell ref="N156:O156"/>
    <mergeCell ref="P156:Q156"/>
    <mergeCell ref="R156:S156"/>
    <mergeCell ref="T156:U156"/>
    <mergeCell ref="AB155:AC155"/>
    <mergeCell ref="AD155:AE155"/>
    <mergeCell ref="AF155:AG155"/>
    <mergeCell ref="AH155:AI155"/>
    <mergeCell ref="AJ155:AK155"/>
    <mergeCell ref="AL155:AM155"/>
    <mergeCell ref="P155:Q155"/>
    <mergeCell ref="R155:S155"/>
    <mergeCell ref="T155:U155"/>
    <mergeCell ref="V155:W155"/>
    <mergeCell ref="X155:Y155"/>
    <mergeCell ref="Z155:AA155"/>
    <mergeCell ref="A155:B155"/>
    <mergeCell ref="C155:E155"/>
    <mergeCell ref="G155:I155"/>
    <mergeCell ref="J155:K155"/>
    <mergeCell ref="L155:M155"/>
    <mergeCell ref="N155:O155"/>
    <mergeCell ref="AH156:AI156"/>
    <mergeCell ref="AJ156:AK156"/>
    <mergeCell ref="AL156:AM156"/>
    <mergeCell ref="AF154:AG154"/>
    <mergeCell ref="T153:U154"/>
    <mergeCell ref="V153:W154"/>
    <mergeCell ref="X153:Y154"/>
    <mergeCell ref="Z153:AC153"/>
    <mergeCell ref="AD153:AG153"/>
    <mergeCell ref="AH153:AO154"/>
    <mergeCell ref="T146:U146"/>
    <mergeCell ref="V146:W146"/>
    <mergeCell ref="H147:I147"/>
    <mergeCell ref="Q147:R147"/>
    <mergeCell ref="L154:M154"/>
    <mergeCell ref="N154:O154"/>
    <mergeCell ref="Z154:AA154"/>
    <mergeCell ref="AB154:AC154"/>
    <mergeCell ref="AD154:AE154"/>
    <mergeCell ref="A153:B154"/>
    <mergeCell ref="C153:I154"/>
    <mergeCell ref="J153:K154"/>
    <mergeCell ref="L153:O153"/>
    <mergeCell ref="P153:Q154"/>
    <mergeCell ref="R153:S154"/>
    <mergeCell ref="B146:C146"/>
    <mergeCell ref="D146:E146"/>
    <mergeCell ref="H146:I146"/>
    <mergeCell ref="K146:L146"/>
    <mergeCell ref="M146:N146"/>
    <mergeCell ref="Q146:R146"/>
    <mergeCell ref="AN134:AO134"/>
    <mergeCell ref="B145:E145"/>
    <mergeCell ref="G145:I145"/>
    <mergeCell ref="K145:N145"/>
    <mergeCell ref="P145:R145"/>
    <mergeCell ref="T145:W145"/>
    <mergeCell ref="AB134:AC134"/>
    <mergeCell ref="AD134:AE134"/>
    <mergeCell ref="AF134:AG134"/>
    <mergeCell ref="AH134:AI134"/>
    <mergeCell ref="AJ134:AK134"/>
    <mergeCell ref="AL134:AM134"/>
    <mergeCell ref="P134:Q134"/>
    <mergeCell ref="R134:S134"/>
    <mergeCell ref="T134:U134"/>
    <mergeCell ref="V134:W134"/>
    <mergeCell ref="X134:Y134"/>
    <mergeCell ref="Z134:AA134"/>
    <mergeCell ref="AH133:AI133"/>
    <mergeCell ref="AJ133:AK133"/>
    <mergeCell ref="AL133:AM133"/>
    <mergeCell ref="AN133:AO133"/>
    <mergeCell ref="A134:B134"/>
    <mergeCell ref="C134:E134"/>
    <mergeCell ref="G134:I134"/>
    <mergeCell ref="J134:K134"/>
    <mergeCell ref="L134:M134"/>
    <mergeCell ref="N134:O134"/>
    <mergeCell ref="V133:W133"/>
    <mergeCell ref="X133:Y133"/>
    <mergeCell ref="Z133:AA133"/>
    <mergeCell ref="AB133:AC133"/>
    <mergeCell ref="AD133:AE133"/>
    <mergeCell ref="AF133:AG133"/>
    <mergeCell ref="AN132:AO132"/>
    <mergeCell ref="A133:B133"/>
    <mergeCell ref="C133:E133"/>
    <mergeCell ref="G133:I133"/>
    <mergeCell ref="J133:K133"/>
    <mergeCell ref="L133:M133"/>
    <mergeCell ref="N133:O133"/>
    <mergeCell ref="P133:Q133"/>
    <mergeCell ref="R133:S133"/>
    <mergeCell ref="T133:U133"/>
    <mergeCell ref="AB132:AC132"/>
    <mergeCell ref="AD132:AE132"/>
    <mergeCell ref="AF132:AG132"/>
    <mergeCell ref="AH132:AI132"/>
    <mergeCell ref="AJ132:AK132"/>
    <mergeCell ref="AL132:AM132"/>
    <mergeCell ref="P132:Q132"/>
    <mergeCell ref="R132:S132"/>
    <mergeCell ref="T132:U132"/>
    <mergeCell ref="V132:W132"/>
    <mergeCell ref="X132:Y132"/>
    <mergeCell ref="Z132:AA132"/>
    <mergeCell ref="AH131:AI131"/>
    <mergeCell ref="AJ131:AK131"/>
    <mergeCell ref="AL131:AM131"/>
    <mergeCell ref="AN131:AO131"/>
    <mergeCell ref="A132:B132"/>
    <mergeCell ref="C132:E132"/>
    <mergeCell ref="G132:I132"/>
    <mergeCell ref="J132:K132"/>
    <mergeCell ref="L132:M132"/>
    <mergeCell ref="N132:O132"/>
    <mergeCell ref="V131:W131"/>
    <mergeCell ref="X131:Y131"/>
    <mergeCell ref="Z131:AA131"/>
    <mergeCell ref="AB131:AC131"/>
    <mergeCell ref="AD131:AE131"/>
    <mergeCell ref="AF131:AG131"/>
    <mergeCell ref="AN130:AO130"/>
    <mergeCell ref="A131:B131"/>
    <mergeCell ref="C131:E131"/>
    <mergeCell ref="G131:I131"/>
    <mergeCell ref="J131:K131"/>
    <mergeCell ref="L131:M131"/>
    <mergeCell ref="N131:O131"/>
    <mergeCell ref="P131:Q131"/>
    <mergeCell ref="R131:S131"/>
    <mergeCell ref="T131:U131"/>
    <mergeCell ref="AB130:AC130"/>
    <mergeCell ref="AD130:AE130"/>
    <mergeCell ref="AF130:AG130"/>
    <mergeCell ref="AH130:AI130"/>
    <mergeCell ref="AJ130:AK130"/>
    <mergeCell ref="AL130:AM130"/>
    <mergeCell ref="P130:Q130"/>
    <mergeCell ref="R130:S130"/>
    <mergeCell ref="T130:U130"/>
    <mergeCell ref="V130:W130"/>
    <mergeCell ref="X130:Y130"/>
    <mergeCell ref="Z130:AA130"/>
    <mergeCell ref="AH129:AI129"/>
    <mergeCell ref="AJ129:AK129"/>
    <mergeCell ref="AL129:AM129"/>
    <mergeCell ref="AN129:AO129"/>
    <mergeCell ref="A130:B130"/>
    <mergeCell ref="C130:E130"/>
    <mergeCell ref="G130:I130"/>
    <mergeCell ref="J130:K130"/>
    <mergeCell ref="L130:M130"/>
    <mergeCell ref="N130:O130"/>
    <mergeCell ref="V129:W129"/>
    <mergeCell ref="X129:Y129"/>
    <mergeCell ref="Z129:AA129"/>
    <mergeCell ref="AB129:AC129"/>
    <mergeCell ref="AD129:AE129"/>
    <mergeCell ref="AF129:AG129"/>
    <mergeCell ref="AN128:AO128"/>
    <mergeCell ref="A129:B129"/>
    <mergeCell ref="C129:E129"/>
    <mergeCell ref="G129:I129"/>
    <mergeCell ref="J129:K129"/>
    <mergeCell ref="L129:M129"/>
    <mergeCell ref="N129:O129"/>
    <mergeCell ref="P129:Q129"/>
    <mergeCell ref="R129:S129"/>
    <mergeCell ref="T129:U129"/>
    <mergeCell ref="AB128:AC128"/>
    <mergeCell ref="AD128:AE128"/>
    <mergeCell ref="AF128:AG128"/>
    <mergeCell ref="AH128:AI128"/>
    <mergeCell ref="AJ128:AK128"/>
    <mergeCell ref="AL128:AM128"/>
    <mergeCell ref="P128:Q128"/>
    <mergeCell ref="R128:S128"/>
    <mergeCell ref="T128:U128"/>
    <mergeCell ref="V128:W128"/>
    <mergeCell ref="X128:Y128"/>
    <mergeCell ref="Z128:AA128"/>
    <mergeCell ref="A128:B128"/>
    <mergeCell ref="C128:E128"/>
    <mergeCell ref="G128:I128"/>
    <mergeCell ref="J128:K128"/>
    <mergeCell ref="L128:M128"/>
    <mergeCell ref="N128:O128"/>
    <mergeCell ref="X126:Y127"/>
    <mergeCell ref="Z126:AC126"/>
    <mergeCell ref="AD126:AG126"/>
    <mergeCell ref="AH126:AO127"/>
    <mergeCell ref="L127:M127"/>
    <mergeCell ref="N127:O127"/>
    <mergeCell ref="Z127:AA127"/>
    <mergeCell ref="AB127:AC127"/>
    <mergeCell ref="AD127:AE127"/>
    <mergeCell ref="AF127:AG127"/>
    <mergeCell ref="Z124:AA124"/>
    <mergeCell ref="AH124:AI124"/>
    <mergeCell ref="A126:B127"/>
    <mergeCell ref="C126:I127"/>
    <mergeCell ref="J126:K127"/>
    <mergeCell ref="L126:O126"/>
    <mergeCell ref="P126:Q127"/>
    <mergeCell ref="R126:S127"/>
    <mergeCell ref="T126:U127"/>
    <mergeCell ref="V126:W127"/>
    <mergeCell ref="Y122:AA122"/>
    <mergeCell ref="AB122:AE122"/>
    <mergeCell ref="AG122:AI122"/>
    <mergeCell ref="AK122:AN122"/>
    <mergeCell ref="Z123:AA123"/>
    <mergeCell ref="AB123:AC123"/>
    <mergeCell ref="AD123:AE123"/>
    <mergeCell ref="AH123:AI123"/>
    <mergeCell ref="AK123:AL123"/>
    <mergeCell ref="AM123:AN123"/>
    <mergeCell ref="AD119:AE119"/>
    <mergeCell ref="AF119:AG119"/>
    <mergeCell ref="H120:I120"/>
    <mergeCell ref="M120:N120"/>
    <mergeCell ref="V120:W120"/>
    <mergeCell ref="AA120:AB120"/>
    <mergeCell ref="Z118:AB118"/>
    <mergeCell ref="AD118:AG118"/>
    <mergeCell ref="B119:C119"/>
    <mergeCell ref="D119:E119"/>
    <mergeCell ref="H119:I119"/>
    <mergeCell ref="M119:N119"/>
    <mergeCell ref="P119:Q119"/>
    <mergeCell ref="R119:S119"/>
    <mergeCell ref="V119:W119"/>
    <mergeCell ref="AA119:AB119"/>
    <mergeCell ref="F114:G114"/>
    <mergeCell ref="I116:L117"/>
    <mergeCell ref="W116:Z116"/>
    <mergeCell ref="W117:X117"/>
    <mergeCell ref="Y117:Z117"/>
    <mergeCell ref="B118:E118"/>
    <mergeCell ref="G118:I118"/>
    <mergeCell ref="L118:N118"/>
    <mergeCell ref="P118:S118"/>
    <mergeCell ref="U118:W118"/>
    <mergeCell ref="E112:G112"/>
    <mergeCell ref="I112:L112"/>
    <mergeCell ref="F113:G113"/>
    <mergeCell ref="I113:J113"/>
    <mergeCell ref="K113:L113"/>
    <mergeCell ref="AB101:AC101"/>
    <mergeCell ref="AD101:AE101"/>
    <mergeCell ref="AF101:AG101"/>
    <mergeCell ref="AH101:AI101"/>
    <mergeCell ref="AJ101:AK101"/>
    <mergeCell ref="AL101:AM101"/>
    <mergeCell ref="P101:Q101"/>
    <mergeCell ref="R101:S101"/>
    <mergeCell ref="T101:U101"/>
    <mergeCell ref="V101:W101"/>
    <mergeCell ref="X101:Y101"/>
    <mergeCell ref="Z101:AA101"/>
    <mergeCell ref="A101:B101"/>
    <mergeCell ref="C101:E101"/>
    <mergeCell ref="G101:I101"/>
    <mergeCell ref="J101:K101"/>
    <mergeCell ref="L101:M101"/>
    <mergeCell ref="N101:O101"/>
    <mergeCell ref="AH99:AO100"/>
    <mergeCell ref="L100:M100"/>
    <mergeCell ref="N100:O100"/>
    <mergeCell ref="Z100:AA100"/>
    <mergeCell ref="AB100:AC100"/>
    <mergeCell ref="AD100:AE100"/>
    <mergeCell ref="AF100:AG100"/>
    <mergeCell ref="R99:S100"/>
    <mergeCell ref="T99:U100"/>
    <mergeCell ref="V99:W100"/>
    <mergeCell ref="X99:Y100"/>
    <mergeCell ref="Z99:AC99"/>
    <mergeCell ref="AD99:AG99"/>
    <mergeCell ref="AN101:AO101"/>
    <mergeCell ref="H93:I93"/>
    <mergeCell ref="A99:B100"/>
    <mergeCell ref="C99:I100"/>
    <mergeCell ref="J99:K100"/>
    <mergeCell ref="L99:O99"/>
    <mergeCell ref="P99:Q100"/>
    <mergeCell ref="AN78:AO78"/>
    <mergeCell ref="B91:E91"/>
    <mergeCell ref="G91:I91"/>
    <mergeCell ref="K91:N91"/>
    <mergeCell ref="B92:C92"/>
    <mergeCell ref="D92:E92"/>
    <mergeCell ref="H92:I92"/>
    <mergeCell ref="K92:L92"/>
    <mergeCell ref="M92:N92"/>
    <mergeCell ref="AB78:AC78"/>
    <mergeCell ref="AJ78:AK78"/>
    <mergeCell ref="AL78:AM78"/>
    <mergeCell ref="P78:Q78"/>
    <mergeCell ref="R78:S78"/>
    <mergeCell ref="T78:U78"/>
    <mergeCell ref="V78:W78"/>
    <mergeCell ref="X78:Y78"/>
    <mergeCell ref="AJ77:AK77"/>
    <mergeCell ref="AL77:AM77"/>
    <mergeCell ref="AN77:AO77"/>
    <mergeCell ref="A78:B78"/>
    <mergeCell ref="C78:E78"/>
    <mergeCell ref="G78:I78"/>
    <mergeCell ref="J78:K78"/>
    <mergeCell ref="L78:M78"/>
    <mergeCell ref="AD78:AE78"/>
    <mergeCell ref="AF78:AG78"/>
    <mergeCell ref="Z77:AA77"/>
    <mergeCell ref="AB77:AC77"/>
    <mergeCell ref="AD77:AE77"/>
    <mergeCell ref="T77:U77"/>
    <mergeCell ref="Z78:AA78"/>
    <mergeCell ref="AH77:AI77"/>
    <mergeCell ref="AH78:AI78"/>
    <mergeCell ref="N77:O77"/>
    <mergeCell ref="P77:Q77"/>
    <mergeCell ref="R77:S77"/>
    <mergeCell ref="N78:O78"/>
    <mergeCell ref="V77:W77"/>
    <mergeCell ref="X77:Y77"/>
    <mergeCell ref="AH76:AI76"/>
    <mergeCell ref="AJ76:AK76"/>
    <mergeCell ref="AL76:AM76"/>
    <mergeCell ref="AF77:AG77"/>
    <mergeCell ref="AN76:AO76"/>
    <mergeCell ref="A77:B77"/>
    <mergeCell ref="C77:E77"/>
    <mergeCell ref="G77:I77"/>
    <mergeCell ref="J77:K77"/>
    <mergeCell ref="L77:M77"/>
    <mergeCell ref="V76:W76"/>
    <mergeCell ref="X76:Y76"/>
    <mergeCell ref="Z76:AA76"/>
    <mergeCell ref="AB76:AC76"/>
    <mergeCell ref="AD76:AE76"/>
    <mergeCell ref="AF76:AG76"/>
    <mergeCell ref="AN75:AO75"/>
    <mergeCell ref="A76:B76"/>
    <mergeCell ref="C76:E76"/>
    <mergeCell ref="G76:I76"/>
    <mergeCell ref="J76:K76"/>
    <mergeCell ref="L76:M76"/>
    <mergeCell ref="N76:O76"/>
    <mergeCell ref="P76:Q76"/>
    <mergeCell ref="R76:S76"/>
    <mergeCell ref="T76:U76"/>
    <mergeCell ref="AB75:AC75"/>
    <mergeCell ref="AD75:AE75"/>
    <mergeCell ref="AF75:AG75"/>
    <mergeCell ref="AH75:AI75"/>
    <mergeCell ref="AJ75:AK75"/>
    <mergeCell ref="AL75:AM75"/>
    <mergeCell ref="P75:Q75"/>
    <mergeCell ref="R75:S75"/>
    <mergeCell ref="T75:U75"/>
    <mergeCell ref="V75:W75"/>
    <mergeCell ref="X75:Y75"/>
    <mergeCell ref="Z75:AA75"/>
    <mergeCell ref="A75:B75"/>
    <mergeCell ref="C75:E75"/>
    <mergeCell ref="G75:I75"/>
    <mergeCell ref="J75:K75"/>
    <mergeCell ref="L75:M75"/>
    <mergeCell ref="N75:O75"/>
    <mergeCell ref="AD74:AE74"/>
    <mergeCell ref="AF74:AG74"/>
    <mergeCell ref="AH74:AI74"/>
    <mergeCell ref="AJ74:AK74"/>
    <mergeCell ref="AL74:AM74"/>
    <mergeCell ref="AN74:AO74"/>
    <mergeCell ref="R74:S74"/>
    <mergeCell ref="T74:U74"/>
    <mergeCell ref="V74:W74"/>
    <mergeCell ref="X74:Y74"/>
    <mergeCell ref="Z74:AA74"/>
    <mergeCell ref="AB74:AC74"/>
    <mergeCell ref="R72:S73"/>
    <mergeCell ref="T72:U73"/>
    <mergeCell ref="V72:W73"/>
    <mergeCell ref="A74:B74"/>
    <mergeCell ref="C74:E74"/>
    <mergeCell ref="G74:I74"/>
    <mergeCell ref="J74:K74"/>
    <mergeCell ref="L74:M74"/>
    <mergeCell ref="N74:O74"/>
    <mergeCell ref="P74:Q74"/>
    <mergeCell ref="N68:Q68"/>
    <mergeCell ref="J69:L69"/>
    <mergeCell ref="O69:Q69"/>
    <mergeCell ref="AH72:AO73"/>
    <mergeCell ref="L73:M73"/>
    <mergeCell ref="N73:O73"/>
    <mergeCell ref="Z73:AA73"/>
    <mergeCell ref="AB73:AC73"/>
    <mergeCell ref="AD73:AE73"/>
    <mergeCell ref="AF73:AG73"/>
    <mergeCell ref="A72:B73"/>
    <mergeCell ref="C72:I73"/>
    <mergeCell ref="J72:K73"/>
    <mergeCell ref="L72:O72"/>
    <mergeCell ref="P72:Q73"/>
    <mergeCell ref="AD65:AE65"/>
    <mergeCell ref="X72:Y73"/>
    <mergeCell ref="Z72:AC72"/>
    <mergeCell ref="AD72:AG72"/>
    <mergeCell ref="I68:L68"/>
    <mergeCell ref="AF65:AG65"/>
    <mergeCell ref="AH65:AI65"/>
    <mergeCell ref="AJ65:AK65"/>
    <mergeCell ref="H66:I66"/>
    <mergeCell ref="M66:N66"/>
    <mergeCell ref="R66:S66"/>
    <mergeCell ref="V66:W66"/>
    <mergeCell ref="AA66:AB66"/>
    <mergeCell ref="AD64:AG64"/>
    <mergeCell ref="AH64:AK64"/>
    <mergeCell ref="B65:C65"/>
    <mergeCell ref="D65:E65"/>
    <mergeCell ref="H65:I65"/>
    <mergeCell ref="M65:N65"/>
    <mergeCell ref="R65:S65"/>
    <mergeCell ref="U65:V65"/>
    <mergeCell ref="W65:X65"/>
    <mergeCell ref="AA65:AB65"/>
    <mergeCell ref="B64:E64"/>
    <mergeCell ref="G64:I64"/>
    <mergeCell ref="L64:N64"/>
    <mergeCell ref="Q64:S64"/>
    <mergeCell ref="U64:X64"/>
    <mergeCell ref="Z64:AB64"/>
    <mergeCell ref="I62:L62"/>
    <mergeCell ref="N62:Q62"/>
    <mergeCell ref="U62:X62"/>
    <mergeCell ref="AK62:AL62"/>
    <mergeCell ref="I63:J63"/>
    <mergeCell ref="K63:L63"/>
    <mergeCell ref="N63:O63"/>
    <mergeCell ref="P63:Q63"/>
    <mergeCell ref="U63:V63"/>
    <mergeCell ref="W63:X63"/>
    <mergeCell ref="V59:X59"/>
    <mergeCell ref="AH59:AI59"/>
    <mergeCell ref="AJ59:AK59"/>
    <mergeCell ref="AG61:AI61"/>
    <mergeCell ref="AK61:AL61"/>
    <mergeCell ref="AF49:AG49"/>
    <mergeCell ref="AH49:AI49"/>
    <mergeCell ref="AJ49:AK49"/>
    <mergeCell ref="AL49:AM49"/>
    <mergeCell ref="AN49:AO49"/>
    <mergeCell ref="U58:X58"/>
    <mergeCell ref="AH58:AK58"/>
    <mergeCell ref="T49:U49"/>
    <mergeCell ref="V49:W49"/>
    <mergeCell ref="X49:Y49"/>
    <mergeCell ref="Z49:AA49"/>
    <mergeCell ref="AB49:AC49"/>
    <mergeCell ref="AD49:AE49"/>
    <mergeCell ref="AN48:AO48"/>
    <mergeCell ref="A49:I49"/>
    <mergeCell ref="J49:K49"/>
    <mergeCell ref="L49:M49"/>
    <mergeCell ref="N49:O49"/>
    <mergeCell ref="P49:Q49"/>
    <mergeCell ref="R49:S49"/>
    <mergeCell ref="P48:Q48"/>
    <mergeCell ref="R48:S48"/>
    <mergeCell ref="T48:U48"/>
    <mergeCell ref="AN47:AO47"/>
    <mergeCell ref="A48:B48"/>
    <mergeCell ref="C48:E48"/>
    <mergeCell ref="G48:I48"/>
    <mergeCell ref="J48:K48"/>
    <mergeCell ref="L48:M48"/>
    <mergeCell ref="N48:O48"/>
    <mergeCell ref="AH48:AI48"/>
    <mergeCell ref="AJ48:AK48"/>
    <mergeCell ref="AL48:AM48"/>
    <mergeCell ref="AD47:AE47"/>
    <mergeCell ref="AF47:AG47"/>
    <mergeCell ref="V48:W48"/>
    <mergeCell ref="X48:Y48"/>
    <mergeCell ref="Z48:AA48"/>
    <mergeCell ref="AB48:AC48"/>
    <mergeCell ref="AD48:AE48"/>
    <mergeCell ref="AF48:AG48"/>
    <mergeCell ref="AH47:AI47"/>
    <mergeCell ref="AJ47:AK47"/>
    <mergeCell ref="AL47:AM47"/>
    <mergeCell ref="P47:Q47"/>
    <mergeCell ref="R47:S47"/>
    <mergeCell ref="T47:U47"/>
    <mergeCell ref="V47:W47"/>
    <mergeCell ref="X47:Y47"/>
    <mergeCell ref="Z47:AA47"/>
    <mergeCell ref="AB47:AC47"/>
    <mergeCell ref="A47:B47"/>
    <mergeCell ref="C47:E47"/>
    <mergeCell ref="G47:I47"/>
    <mergeCell ref="J47:K47"/>
    <mergeCell ref="L47:M47"/>
    <mergeCell ref="N47:O47"/>
    <mergeCell ref="AF46:AG46"/>
    <mergeCell ref="T45:U46"/>
    <mergeCell ref="V45:W46"/>
    <mergeCell ref="X45:Y46"/>
    <mergeCell ref="Z45:AC45"/>
    <mergeCell ref="AD45:AG45"/>
    <mergeCell ref="AH45:AO46"/>
    <mergeCell ref="T38:U38"/>
    <mergeCell ref="V38:W38"/>
    <mergeCell ref="H39:I39"/>
    <mergeCell ref="Q39:R39"/>
    <mergeCell ref="L46:M46"/>
    <mergeCell ref="N46:O46"/>
    <mergeCell ref="Z46:AA46"/>
    <mergeCell ref="AB46:AC46"/>
    <mergeCell ref="AD46:AE46"/>
    <mergeCell ref="A45:B46"/>
    <mergeCell ref="C45:I46"/>
    <mergeCell ref="J45:K46"/>
    <mergeCell ref="L45:O45"/>
    <mergeCell ref="P45:Q46"/>
    <mergeCell ref="R45:S46"/>
    <mergeCell ref="B38:C38"/>
    <mergeCell ref="D38:E38"/>
    <mergeCell ref="H38:I38"/>
    <mergeCell ref="K38:L38"/>
    <mergeCell ref="M38:N38"/>
    <mergeCell ref="Q38:R38"/>
    <mergeCell ref="AH27:AI27"/>
    <mergeCell ref="AJ27:AK27"/>
    <mergeCell ref="AL27:AM27"/>
    <mergeCell ref="AN27:AO27"/>
    <mergeCell ref="B37:E37"/>
    <mergeCell ref="G37:I37"/>
    <mergeCell ref="K37:N37"/>
    <mergeCell ref="P37:R37"/>
    <mergeCell ref="T37:W37"/>
    <mergeCell ref="V27:W27"/>
    <mergeCell ref="X27:Y27"/>
    <mergeCell ref="Z27:AA27"/>
    <mergeCell ref="AB27:AC27"/>
    <mergeCell ref="AD27:AE27"/>
    <mergeCell ref="AF27:AG27"/>
    <mergeCell ref="AN26:AO26"/>
    <mergeCell ref="AH26:AI26"/>
    <mergeCell ref="AJ26:AK26"/>
    <mergeCell ref="AL26:AM26"/>
    <mergeCell ref="X26:Y26"/>
    <mergeCell ref="A27:B27"/>
    <mergeCell ref="C27:E27"/>
    <mergeCell ref="G27:I27"/>
    <mergeCell ref="J27:K27"/>
    <mergeCell ref="L27:M27"/>
    <mergeCell ref="N27:O27"/>
    <mergeCell ref="P27:Q27"/>
    <mergeCell ref="R27:S27"/>
    <mergeCell ref="T27:U27"/>
    <mergeCell ref="AB26:AC26"/>
    <mergeCell ref="AD26:AE26"/>
    <mergeCell ref="AF26:AG26"/>
    <mergeCell ref="P26:Q26"/>
    <mergeCell ref="R26:S26"/>
    <mergeCell ref="T26:U26"/>
    <mergeCell ref="V26:W26"/>
    <mergeCell ref="A26:B26"/>
    <mergeCell ref="C26:E26"/>
    <mergeCell ref="G26:I26"/>
    <mergeCell ref="J26:K26"/>
    <mergeCell ref="L26:M26"/>
    <mergeCell ref="N26:O26"/>
    <mergeCell ref="AD25:AE25"/>
    <mergeCell ref="T25:U25"/>
    <mergeCell ref="AH25:AI25"/>
    <mergeCell ref="AJ25:AK25"/>
    <mergeCell ref="AL25:AM25"/>
    <mergeCell ref="AN25:AO25"/>
    <mergeCell ref="Z26:AA26"/>
    <mergeCell ref="AF25:AG25"/>
    <mergeCell ref="AN24:AO24"/>
    <mergeCell ref="A25:B25"/>
    <mergeCell ref="C25:E25"/>
    <mergeCell ref="G25:I25"/>
    <mergeCell ref="J25:K25"/>
    <mergeCell ref="L25:M25"/>
    <mergeCell ref="N25:O25"/>
    <mergeCell ref="P25:Q25"/>
    <mergeCell ref="R25:S25"/>
    <mergeCell ref="AB24:AC24"/>
    <mergeCell ref="AD24:AE24"/>
    <mergeCell ref="AF24:AG24"/>
    <mergeCell ref="AH24:AI24"/>
    <mergeCell ref="AJ24:AK24"/>
    <mergeCell ref="V25:W25"/>
    <mergeCell ref="X25:Y25"/>
    <mergeCell ref="Z25:AA25"/>
    <mergeCell ref="AB25:AC25"/>
    <mergeCell ref="AL24:AM24"/>
    <mergeCell ref="P24:Q24"/>
    <mergeCell ref="R24:S24"/>
    <mergeCell ref="T24:U24"/>
    <mergeCell ref="V24:W24"/>
    <mergeCell ref="X24:Y24"/>
    <mergeCell ref="Z24:AA24"/>
    <mergeCell ref="AH23:AI23"/>
    <mergeCell ref="AJ23:AK23"/>
    <mergeCell ref="AL23:AM23"/>
    <mergeCell ref="AN23:AO23"/>
    <mergeCell ref="A24:B24"/>
    <mergeCell ref="C24:E24"/>
    <mergeCell ref="G24:I24"/>
    <mergeCell ref="J24:K24"/>
    <mergeCell ref="L24:M24"/>
    <mergeCell ref="N24:O24"/>
    <mergeCell ref="V23:W23"/>
    <mergeCell ref="X23:Y23"/>
    <mergeCell ref="Z23:AA23"/>
    <mergeCell ref="AB23:AC23"/>
    <mergeCell ref="AD23:AE23"/>
    <mergeCell ref="AF23:AG23"/>
    <mergeCell ref="AN22:AO22"/>
    <mergeCell ref="A23:B23"/>
    <mergeCell ref="C23:E23"/>
    <mergeCell ref="G23:I23"/>
    <mergeCell ref="J23:K23"/>
    <mergeCell ref="L23:M23"/>
    <mergeCell ref="N23:O23"/>
    <mergeCell ref="P23:Q23"/>
    <mergeCell ref="R23:S23"/>
    <mergeCell ref="T23:U23"/>
    <mergeCell ref="AB22:AC22"/>
    <mergeCell ref="AD22:AE22"/>
    <mergeCell ref="AF22:AG22"/>
    <mergeCell ref="AH22:AI22"/>
    <mergeCell ref="AJ22:AK22"/>
    <mergeCell ref="AL22:AM22"/>
    <mergeCell ref="P22:Q22"/>
    <mergeCell ref="R22:S22"/>
    <mergeCell ref="T22:U22"/>
    <mergeCell ref="V22:W22"/>
    <mergeCell ref="X22:Y22"/>
    <mergeCell ref="Z22:AA22"/>
    <mergeCell ref="AH21:AI21"/>
    <mergeCell ref="AJ21:AK21"/>
    <mergeCell ref="AL21:AM21"/>
    <mergeCell ref="AN21:AO21"/>
    <mergeCell ref="A22:B22"/>
    <mergeCell ref="C22:E22"/>
    <mergeCell ref="G22:I22"/>
    <mergeCell ref="J22:K22"/>
    <mergeCell ref="L22:M22"/>
    <mergeCell ref="N22:O22"/>
    <mergeCell ref="V21:W21"/>
    <mergeCell ref="X21:Y21"/>
    <mergeCell ref="Z21:AA21"/>
    <mergeCell ref="AB21:AC21"/>
    <mergeCell ref="AD21:AE21"/>
    <mergeCell ref="AF21:AG21"/>
    <mergeCell ref="AN20:AO20"/>
    <mergeCell ref="A21:B21"/>
    <mergeCell ref="C21:E21"/>
    <mergeCell ref="G21:I21"/>
    <mergeCell ref="J21:K21"/>
    <mergeCell ref="L21:M21"/>
    <mergeCell ref="N21:O21"/>
    <mergeCell ref="P21:Q21"/>
    <mergeCell ref="R21:S21"/>
    <mergeCell ref="T21:U21"/>
    <mergeCell ref="AB20:AC20"/>
    <mergeCell ref="AD20:AE20"/>
    <mergeCell ref="AF20:AG20"/>
    <mergeCell ref="AH20:AI20"/>
    <mergeCell ref="AJ20:AK20"/>
    <mergeCell ref="AL20:AM20"/>
    <mergeCell ref="P20:Q20"/>
    <mergeCell ref="R20:S20"/>
    <mergeCell ref="T20:U20"/>
    <mergeCell ref="V20:W20"/>
    <mergeCell ref="X20:Y20"/>
    <mergeCell ref="Z20:AA20"/>
    <mergeCell ref="A20:B20"/>
    <mergeCell ref="C20:E20"/>
    <mergeCell ref="G20:I20"/>
    <mergeCell ref="J20:K20"/>
    <mergeCell ref="L20:M20"/>
    <mergeCell ref="N20:O20"/>
    <mergeCell ref="T18:U19"/>
    <mergeCell ref="V18:W19"/>
    <mergeCell ref="X18:Y19"/>
    <mergeCell ref="Z18:AC18"/>
    <mergeCell ref="AD18:AG18"/>
    <mergeCell ref="AH18:AO19"/>
    <mergeCell ref="Z19:AA19"/>
    <mergeCell ref="AB19:AC19"/>
    <mergeCell ref="AD19:AE19"/>
    <mergeCell ref="AF19:AG19"/>
    <mergeCell ref="A18:B19"/>
    <mergeCell ref="C18:I19"/>
    <mergeCell ref="J18:K19"/>
    <mergeCell ref="L18:O18"/>
    <mergeCell ref="P18:Q19"/>
    <mergeCell ref="R18:S19"/>
    <mergeCell ref="L19:M19"/>
    <mergeCell ref="N19:O19"/>
    <mergeCell ref="T15:V15"/>
    <mergeCell ref="Y15:AA15"/>
    <mergeCell ref="AD15:AF15"/>
    <mergeCell ref="AI15:AK15"/>
    <mergeCell ref="I14:L14"/>
    <mergeCell ref="N14:Q14"/>
    <mergeCell ref="S14:V14"/>
    <mergeCell ref="X14:AA14"/>
    <mergeCell ref="AC14:AF14"/>
    <mergeCell ref="AH14:AK14"/>
    <mergeCell ref="AB11:AC11"/>
    <mergeCell ref="AG11:AH11"/>
    <mergeCell ref="AK11:AL11"/>
    <mergeCell ref="AM11:AN11"/>
    <mergeCell ref="H12:I12"/>
    <mergeCell ref="M12:N12"/>
    <mergeCell ref="R12:S12"/>
    <mergeCell ref="W12:X12"/>
    <mergeCell ref="AB12:AC12"/>
    <mergeCell ref="AG12:AH12"/>
    <mergeCell ref="B11:C11"/>
    <mergeCell ref="D11:E11"/>
    <mergeCell ref="H11:I11"/>
    <mergeCell ref="M11:N11"/>
    <mergeCell ref="R11:S11"/>
    <mergeCell ref="W11:X11"/>
    <mergeCell ref="AL9:AM9"/>
    <mergeCell ref="B10:E10"/>
    <mergeCell ref="G10:I10"/>
    <mergeCell ref="L10:N10"/>
    <mergeCell ref="Q10:S10"/>
    <mergeCell ref="V10:X10"/>
    <mergeCell ref="AA10:AC10"/>
    <mergeCell ref="AF10:AH10"/>
    <mergeCell ref="AK10:AN10"/>
    <mergeCell ref="S9:T9"/>
    <mergeCell ref="U9:V9"/>
    <mergeCell ref="X9:Y9"/>
    <mergeCell ref="Z9:AA9"/>
    <mergeCell ref="AC9:AD9"/>
    <mergeCell ref="AE9:AF9"/>
    <mergeCell ref="AA256:AB256"/>
    <mergeCell ref="AD256:AE256"/>
    <mergeCell ref="AF256:AG256"/>
    <mergeCell ref="H257:I257"/>
    <mergeCell ref="Q257:R257"/>
    <mergeCell ref="V257:W257"/>
    <mergeCell ref="AA257:AB257"/>
    <mergeCell ref="R259:U259"/>
    <mergeCell ref="S260:U260"/>
    <mergeCell ref="X7:Y7"/>
    <mergeCell ref="AG7:AH7"/>
    <mergeCell ref="AK7:AM7"/>
    <mergeCell ref="S8:V8"/>
    <mergeCell ref="X8:AA8"/>
    <mergeCell ref="AC8:AF8"/>
    <mergeCell ref="AL8:AM8"/>
    <mergeCell ref="AA5:AD5"/>
    <mergeCell ref="AF5:AH5"/>
    <mergeCell ref="AK5:AN5"/>
    <mergeCell ref="AA6:AB6"/>
    <mergeCell ref="AC6:AD6"/>
    <mergeCell ref="AG6:AH6"/>
    <mergeCell ref="AK6:AL6"/>
    <mergeCell ref="AM6:AN6"/>
    <mergeCell ref="G255:I255"/>
    <mergeCell ref="K255:N255"/>
    <mergeCell ref="P255:R255"/>
    <mergeCell ref="U255:X255"/>
    <mergeCell ref="Z255:AB255"/>
    <mergeCell ref="AD255:AG255"/>
    <mergeCell ref="J15:L15"/>
    <mergeCell ref="O15:Q15"/>
    <mergeCell ref="AF266:AG266"/>
    <mergeCell ref="AH266:AI266"/>
    <mergeCell ref="AJ266:AK266"/>
    <mergeCell ref="Z265:AA265"/>
    <mergeCell ref="AB265:AC265"/>
    <mergeCell ref="AD265:AE265"/>
    <mergeCell ref="AF265:AG265"/>
    <mergeCell ref="AH265:AI265"/>
    <mergeCell ref="AJ265:AK265"/>
    <mergeCell ref="A263:B264"/>
    <mergeCell ref="C263:I264"/>
    <mergeCell ref="J263:K264"/>
    <mergeCell ref="L263:O263"/>
    <mergeCell ref="P263:Q264"/>
    <mergeCell ref="R263:S264"/>
    <mergeCell ref="T263:U264"/>
    <mergeCell ref="V263:W264"/>
    <mergeCell ref="X263:Y264"/>
    <mergeCell ref="Z263:AC263"/>
    <mergeCell ref="AD263:AG263"/>
    <mergeCell ref="AH263:AO264"/>
    <mergeCell ref="L264:M264"/>
    <mergeCell ref="N264:O264"/>
    <mergeCell ref="Z264:AA264"/>
    <mergeCell ref="AB264:AC264"/>
    <mergeCell ref="AD264:AE264"/>
    <mergeCell ref="AF264:AG264"/>
    <mergeCell ref="AL265:AM265"/>
    <mergeCell ref="AN265:AO265"/>
    <mergeCell ref="AL266:AM266"/>
    <mergeCell ref="AN266:AO266"/>
    <mergeCell ref="A265:B265"/>
    <mergeCell ref="A267:B267"/>
    <mergeCell ref="C267:E267"/>
    <mergeCell ref="G267:I267"/>
    <mergeCell ref="J267:K267"/>
    <mergeCell ref="L267:M267"/>
    <mergeCell ref="N267:O267"/>
    <mergeCell ref="P267:Q267"/>
    <mergeCell ref="R267:S267"/>
    <mergeCell ref="T267:U267"/>
    <mergeCell ref="AH267:AI267"/>
    <mergeCell ref="AJ267:AK267"/>
    <mergeCell ref="AL267:AM267"/>
    <mergeCell ref="AN267:AO267"/>
    <mergeCell ref="V267:W267"/>
    <mergeCell ref="X267:Y267"/>
    <mergeCell ref="Z267:AA267"/>
    <mergeCell ref="AB267:AC267"/>
    <mergeCell ref="AD267:AE267"/>
    <mergeCell ref="AF267:AG267"/>
    <mergeCell ref="R184:S184"/>
    <mergeCell ref="C265:E265"/>
    <mergeCell ref="G265:I265"/>
    <mergeCell ref="J265:K265"/>
    <mergeCell ref="L265:M265"/>
    <mergeCell ref="N265:O265"/>
    <mergeCell ref="P265:Q265"/>
    <mergeCell ref="R265:S265"/>
    <mergeCell ref="T265:U265"/>
    <mergeCell ref="V265:W265"/>
    <mergeCell ref="X265:Y265"/>
    <mergeCell ref="A266:B266"/>
    <mergeCell ref="C266:E266"/>
    <mergeCell ref="G266:I266"/>
    <mergeCell ref="J266:K266"/>
    <mergeCell ref="L266:M266"/>
    <mergeCell ref="N266:O266"/>
    <mergeCell ref="P266:Q266"/>
    <mergeCell ref="R266:S266"/>
    <mergeCell ref="T266:U266"/>
    <mergeCell ref="V266:W266"/>
    <mergeCell ref="X266:Y266"/>
    <mergeCell ref="B256:C256"/>
    <mergeCell ref="D256:E256"/>
    <mergeCell ref="H256:I256"/>
    <mergeCell ref="K256:L256"/>
    <mergeCell ref="M256:N256"/>
    <mergeCell ref="Q256:R256"/>
    <mergeCell ref="U256:V256"/>
    <mergeCell ref="W256:X256"/>
    <mergeCell ref="B255:E255"/>
    <mergeCell ref="P186:Q186"/>
    <mergeCell ref="X209:Y209"/>
    <mergeCell ref="Z266:AA266"/>
    <mergeCell ref="AB266:AC266"/>
    <mergeCell ref="AD266:AE266"/>
    <mergeCell ref="AB209:AC209"/>
    <mergeCell ref="AD209:AE209"/>
    <mergeCell ref="AF209:AG209"/>
    <mergeCell ref="B192:E192"/>
    <mergeCell ref="C193:E193"/>
    <mergeCell ref="AJ172:AM172"/>
    <mergeCell ref="AJ173:AK173"/>
    <mergeCell ref="AL173:AM173"/>
    <mergeCell ref="AF172:AH172"/>
    <mergeCell ref="AG174:AH174"/>
    <mergeCell ref="AC170:AF170"/>
    <mergeCell ref="AC171:AD171"/>
    <mergeCell ref="AE171:AF171"/>
    <mergeCell ref="AC176:AF176"/>
    <mergeCell ref="AD177:AF177"/>
    <mergeCell ref="X170:AA171"/>
    <mergeCell ref="S170:V170"/>
    <mergeCell ref="S171:T171"/>
    <mergeCell ref="U171:V171"/>
    <mergeCell ref="S176:V176"/>
    <mergeCell ref="T177:V177"/>
    <mergeCell ref="A184:B184"/>
    <mergeCell ref="C184:E184"/>
    <mergeCell ref="G184:I184"/>
    <mergeCell ref="J184:K184"/>
    <mergeCell ref="L184:M184"/>
    <mergeCell ref="N184:O184"/>
    <mergeCell ref="P184:Q184"/>
    <mergeCell ref="Z209:AA209"/>
    <mergeCell ref="X184:Y184"/>
    <mergeCell ref="N194:Q194"/>
    <mergeCell ref="N195:O195"/>
    <mergeCell ref="P195:Q195"/>
    <mergeCell ref="I194:K194"/>
    <mergeCell ref="J195:K195"/>
    <mergeCell ref="J196:K196"/>
    <mergeCell ref="A210:B210"/>
    <mergeCell ref="C210:E210"/>
    <mergeCell ref="G210:I210"/>
    <mergeCell ref="J210:K210"/>
    <mergeCell ref="L210:M210"/>
    <mergeCell ref="N210:O210"/>
    <mergeCell ref="P210:Q210"/>
    <mergeCell ref="R210:S210"/>
    <mergeCell ref="AC167:AF167"/>
    <mergeCell ref="AC168:AD168"/>
    <mergeCell ref="AE168:AF168"/>
    <mergeCell ref="A196:C196"/>
    <mergeCell ref="E196:F196"/>
    <mergeCell ref="E197:F197"/>
    <mergeCell ref="A209:B209"/>
    <mergeCell ref="C209:E209"/>
    <mergeCell ref="G209:I209"/>
    <mergeCell ref="J209:K209"/>
    <mergeCell ref="L209:M209"/>
    <mergeCell ref="N209:O209"/>
    <mergeCell ref="P209:Q209"/>
    <mergeCell ref="R209:S209"/>
    <mergeCell ref="T209:U209"/>
    <mergeCell ref="V209:W209"/>
  </mergeCells>
  <phoneticPr fontId="2" type="noConversion"/>
  <printOptions horizontalCentered="1"/>
  <pageMargins left="0.47244094488188981" right="0.47244094488188981" top="0.62992125984251968" bottom="0.62992125984251968" header="0.31496062992125984" footer="0.31496062992125984"/>
  <pageSetup paperSize="9" scale="8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6"/>
  <sheetViews>
    <sheetView workbookViewId="0"/>
  </sheetViews>
  <sheetFormatPr defaultColWidth="10.77734375" defaultRowHeight="24.95" customHeight="1"/>
  <cols>
    <col min="1" max="1" width="4.77734375" style="110" customWidth="1"/>
    <col min="2" max="2" width="10.77734375" style="110" customWidth="1"/>
    <col min="3" max="8" width="8.77734375" style="110" customWidth="1"/>
    <col min="9" max="16384" width="10.77734375" style="110"/>
  </cols>
  <sheetData>
    <row r="2" spans="1:9" ht="24.95" customHeight="1">
      <c r="A2" s="179" t="s">
        <v>298</v>
      </c>
      <c r="B2" s="179"/>
      <c r="C2" s="179" t="s">
        <v>299</v>
      </c>
      <c r="D2" s="179"/>
      <c r="E2" s="179"/>
      <c r="F2" s="179"/>
      <c r="G2" s="179"/>
      <c r="H2" s="179" t="s">
        <v>187</v>
      </c>
    </row>
    <row r="3" spans="1:9" ht="24.95" customHeight="1">
      <c r="A3" s="179"/>
      <c r="B3" s="179"/>
      <c r="C3" s="120">
        <v>2013</v>
      </c>
      <c r="D3" s="120">
        <v>2015</v>
      </c>
      <c r="E3" s="120">
        <v>2020</v>
      </c>
      <c r="F3" s="120">
        <v>2025</v>
      </c>
      <c r="G3" s="120">
        <v>2030</v>
      </c>
      <c r="H3" s="179"/>
    </row>
    <row r="4" spans="1:9" ht="24.95" customHeight="1">
      <c r="A4" s="261" t="s">
        <v>293</v>
      </c>
      <c r="B4" s="120" t="s">
        <v>314</v>
      </c>
      <c r="C4" s="125">
        <f>'[1]1.배수지용수배분'!E6</f>
        <v>287</v>
      </c>
      <c r="D4" s="125">
        <f>'[1]1.배수지용수배분'!F6</f>
        <v>585</v>
      </c>
      <c r="E4" s="125">
        <f>'[1]1.배수지용수배분'!G6</f>
        <v>1006</v>
      </c>
      <c r="F4" s="125">
        <f>'[1]1.배수지용수배분'!H6</f>
        <v>1098</v>
      </c>
      <c r="G4" s="125">
        <f>'[1]1.배수지용수배분'!I6</f>
        <v>1118</v>
      </c>
      <c r="H4" s="120"/>
    </row>
    <row r="5" spans="1:9" ht="24.95" customHeight="1">
      <c r="A5" s="262"/>
      <c r="B5" s="120" t="s">
        <v>295</v>
      </c>
      <c r="C5" s="125">
        <f>'[1]1.배수지용수배분'!E7</f>
        <v>765</v>
      </c>
      <c r="D5" s="125">
        <f>'[1]1.배수지용수배분'!F7</f>
        <v>857</v>
      </c>
      <c r="E5" s="125">
        <f>'[1]1.배수지용수배분'!G7</f>
        <v>911</v>
      </c>
      <c r="F5" s="125">
        <f>'[1]1.배수지용수배분'!H7</f>
        <v>996</v>
      </c>
      <c r="G5" s="125">
        <f>'[1]1.배수지용수배분'!I7</f>
        <v>1013</v>
      </c>
      <c r="H5" s="120"/>
    </row>
    <row r="6" spans="1:9" ht="24.95" customHeight="1">
      <c r="A6" s="262"/>
      <c r="B6" s="120" t="s">
        <v>296</v>
      </c>
      <c r="C6" s="125">
        <f>'[1]1.배수지용수배분'!E8</f>
        <v>176</v>
      </c>
      <c r="D6" s="125">
        <f>'[1]1.배수지용수배분'!F8</f>
        <v>176</v>
      </c>
      <c r="E6" s="125">
        <f>'[1]1.배수지용수배분'!G8</f>
        <v>189</v>
      </c>
      <c r="F6" s="125">
        <f>'[1]1.배수지용수배분'!H8</f>
        <v>208</v>
      </c>
      <c r="G6" s="125">
        <f>'[1]1.배수지용수배분'!I8</f>
        <v>210</v>
      </c>
      <c r="H6" s="120"/>
    </row>
    <row r="7" spans="1:9" ht="24.95" customHeight="1">
      <c r="A7" s="262"/>
      <c r="B7" s="120" t="s">
        <v>294</v>
      </c>
      <c r="C7" s="127">
        <f>'[1]1.배수지용수배분'!E9</f>
        <v>743</v>
      </c>
      <c r="D7" s="127">
        <f>'[1]1.배수지용수배분'!F9</f>
        <v>1119</v>
      </c>
      <c r="E7" s="127">
        <f>'[1]1.배수지용수배분'!G9</f>
        <v>1193</v>
      </c>
      <c r="F7" s="127">
        <f>'[1]1.배수지용수배분'!H9</f>
        <v>1258</v>
      </c>
      <c r="G7" s="127">
        <f>'[1]1.배수지용수배분'!I9</f>
        <v>1285</v>
      </c>
      <c r="H7" s="120"/>
    </row>
    <row r="8" spans="1:9" ht="24.95" customHeight="1">
      <c r="A8" s="262"/>
      <c r="B8" s="120" t="s">
        <v>315</v>
      </c>
      <c r="C8" s="125">
        <f>'[1]1.배수지용수배분'!E10</f>
        <v>1533</v>
      </c>
      <c r="D8" s="125">
        <f>'[1]1.배수지용수배분'!F10</f>
        <v>1533</v>
      </c>
      <c r="E8" s="125">
        <f>'[1]1.배수지용수배분'!G10</f>
        <v>1533</v>
      </c>
      <c r="F8" s="125">
        <f>'[1]1.배수지용수배분'!H10</f>
        <v>824</v>
      </c>
      <c r="G8" s="125">
        <f>'[1]1.배수지용수배분'!I10</f>
        <v>475</v>
      </c>
      <c r="H8" s="120"/>
    </row>
    <row r="9" spans="1:9" ht="24.95" customHeight="1">
      <c r="A9" s="262"/>
      <c r="B9" s="120" t="s">
        <v>201</v>
      </c>
      <c r="C9" s="125">
        <f>'[1]1.배수지용수배분'!E11</f>
        <v>1456</v>
      </c>
      <c r="D9" s="125">
        <f>'[1]1.배수지용수배분'!F11</f>
        <v>1456</v>
      </c>
      <c r="E9" s="125">
        <f>'[1]1.배수지용수배분'!G11</f>
        <v>1456</v>
      </c>
      <c r="F9" s="125">
        <f>'[1]1.배수지용수배분'!H11</f>
        <v>1456</v>
      </c>
      <c r="G9" s="125">
        <f>'[1]1.배수지용수배분'!I11</f>
        <v>1456</v>
      </c>
      <c r="H9" s="120"/>
      <c r="I9" s="131"/>
    </row>
    <row r="10" spans="1:9" ht="24.95" customHeight="1">
      <c r="A10" s="262"/>
      <c r="B10" s="120" t="s">
        <v>297</v>
      </c>
      <c r="C10" s="125">
        <f>'[1]1.배수지용수배분'!E12</f>
        <v>0</v>
      </c>
      <c r="D10" s="125">
        <f>'[1]1.배수지용수배분'!F12</f>
        <v>0</v>
      </c>
      <c r="E10" s="125">
        <f>'[1]1.배수지용수배분'!G12</f>
        <v>758</v>
      </c>
      <c r="F10" s="125">
        <f>'[1]1.배수지용수배분'!H12</f>
        <v>905</v>
      </c>
      <c r="G10" s="125">
        <f>'[1]1.배수지용수배분'!I12</f>
        <v>1131</v>
      </c>
      <c r="H10" s="120"/>
    </row>
    <row r="11" spans="1:9" s="165" customFormat="1" ht="24.95" customHeight="1">
      <c r="A11" s="263"/>
      <c r="B11" s="163" t="s">
        <v>479</v>
      </c>
      <c r="C11" s="125">
        <f>'[1]1.배수지용수배분'!E13</f>
        <v>0</v>
      </c>
      <c r="D11" s="125">
        <f>'[1]1.배수지용수배분'!F13</f>
        <v>0</v>
      </c>
      <c r="E11" s="125">
        <f>'[1]1.배수지용수배분'!G13</f>
        <v>1624</v>
      </c>
      <c r="F11" s="125">
        <f>'[1]1.배수지용수배분'!H13</f>
        <v>1624</v>
      </c>
      <c r="G11" s="125">
        <f>'[1]1.배수지용수배분'!I13</f>
        <v>1624</v>
      </c>
      <c r="H11" s="163"/>
    </row>
    <row r="12" spans="1:9" ht="24.95" customHeight="1">
      <c r="A12" s="179" t="s">
        <v>316</v>
      </c>
      <c r="B12" s="179"/>
      <c r="C12" s="125">
        <f>'[1]1.배수지용수배분'!E15</f>
        <v>1357</v>
      </c>
      <c r="D12" s="125">
        <f>'[1]1.배수지용수배분'!F15</f>
        <v>1432</v>
      </c>
      <c r="E12" s="125">
        <f>'[1]1.배수지용수배분'!G15</f>
        <v>1520</v>
      </c>
      <c r="F12" s="125">
        <f>'[1]1.배수지용수배분'!H15</f>
        <v>1574</v>
      </c>
      <c r="G12" s="125">
        <f>'[1]1.배수지용수배분'!I15</f>
        <v>1601</v>
      </c>
      <c r="H12" s="120"/>
    </row>
    <row r="13" spans="1:9" ht="24.95" customHeight="1">
      <c r="A13" s="179" t="s">
        <v>244</v>
      </c>
      <c r="B13" s="179"/>
      <c r="C13" s="125">
        <f>'[1]1.배수지용수배분'!E18</f>
        <v>1876</v>
      </c>
      <c r="D13" s="125">
        <f>'[1]1.배수지용수배분'!F18</f>
        <v>2074</v>
      </c>
      <c r="E13" s="125">
        <f>'[1]1.배수지용수배분'!G18</f>
        <v>2258</v>
      </c>
      <c r="F13" s="125">
        <f>'[1]1.배수지용수배분'!H18</f>
        <v>2401</v>
      </c>
      <c r="G13" s="125">
        <f>'[1]1.배수지용수배분'!I18</f>
        <v>2578</v>
      </c>
      <c r="H13" s="120"/>
    </row>
    <row r="14" spans="1:9" ht="24.95" customHeight="1">
      <c r="A14" s="179" t="s">
        <v>219</v>
      </c>
      <c r="B14" s="179"/>
      <c r="C14" s="125">
        <f>'[1]1.배수지용수배분'!E21</f>
        <v>20726</v>
      </c>
      <c r="D14" s="125">
        <f>'[1]1.배수지용수배분'!F21</f>
        <v>22918</v>
      </c>
      <c r="E14" s="125">
        <f>'[1]1.배수지용수배분'!G21</f>
        <v>24317</v>
      </c>
      <c r="F14" s="125">
        <f>'[1]1.배수지용수배분'!H21</f>
        <v>25896</v>
      </c>
      <c r="G14" s="125">
        <f>'[1]1.배수지용수배분'!I21</f>
        <v>27607</v>
      </c>
      <c r="H14" s="120"/>
    </row>
    <row r="15" spans="1:9" ht="24.95" customHeight="1">
      <c r="A15" s="179" t="s">
        <v>274</v>
      </c>
      <c r="B15" s="179"/>
      <c r="C15" s="125">
        <f>'[1]1.배수지용수배분'!E24</f>
        <v>4312</v>
      </c>
      <c r="D15" s="125">
        <f>'[1]1.배수지용수배분'!F24</f>
        <v>4357</v>
      </c>
      <c r="E15" s="125">
        <f>'[1]1.배수지용수배분'!G24</f>
        <v>3184</v>
      </c>
      <c r="F15" s="125">
        <f>'[1]1.배수지용수배분'!H24</f>
        <v>3451</v>
      </c>
      <c r="G15" s="125">
        <f>'[1]1.배수지용수배분'!I24</f>
        <v>3765</v>
      </c>
      <c r="H15" s="120"/>
    </row>
    <row r="16" spans="1:9" ht="24.95" customHeight="1">
      <c r="A16" s="179" t="s">
        <v>243</v>
      </c>
      <c r="B16" s="179"/>
      <c r="C16" s="125">
        <f>'[1]1.배수지용수배분'!E27</f>
        <v>0</v>
      </c>
      <c r="D16" s="125">
        <f>'[1]1.배수지용수배분'!F27</f>
        <v>544</v>
      </c>
      <c r="E16" s="125">
        <f>'[1]1.배수지용수배분'!G27</f>
        <v>3548</v>
      </c>
      <c r="F16" s="125">
        <f>'[1]1.배수지용수배분'!H27</f>
        <v>3665</v>
      </c>
      <c r="G16" s="125">
        <f>'[1]1.배수지용수배분'!I27</f>
        <v>3839</v>
      </c>
      <c r="H16" s="120"/>
    </row>
    <row r="17" spans="1:8" ht="24.95" customHeight="1">
      <c r="A17" s="179" t="s">
        <v>242</v>
      </c>
      <c r="B17" s="179"/>
      <c r="C17" s="125">
        <f>'[1]1.배수지용수배분'!E30</f>
        <v>8759</v>
      </c>
      <c r="D17" s="125">
        <f>'[1]1.배수지용수배분'!F30</f>
        <v>12174</v>
      </c>
      <c r="E17" s="125">
        <f>'[1]1.배수지용수배분'!G30</f>
        <v>13853</v>
      </c>
      <c r="F17" s="125">
        <f>'[1]1.배수지용수배분'!H30</f>
        <v>12423</v>
      </c>
      <c r="G17" s="125">
        <f>'[1]1.배수지용수배분'!I30</f>
        <v>11690</v>
      </c>
      <c r="H17" s="120"/>
    </row>
    <row r="18" spans="1:8" ht="24.95" customHeight="1">
      <c r="A18" s="179" t="s">
        <v>317</v>
      </c>
      <c r="B18" s="179"/>
      <c r="C18" s="125">
        <f>'[1]1.배수지용수배분'!E33</f>
        <v>0</v>
      </c>
      <c r="D18" s="125">
        <f>'[1]1.배수지용수배분'!F33</f>
        <v>0</v>
      </c>
      <c r="E18" s="125">
        <f>'[1]1.배수지용수배분'!G33</f>
        <v>0</v>
      </c>
      <c r="F18" s="125">
        <f>'[1]1.배수지용수배분'!H33</f>
        <v>0</v>
      </c>
      <c r="G18" s="125">
        <f>'[1]1.배수지용수배분'!I33</f>
        <v>0</v>
      </c>
      <c r="H18" s="120"/>
    </row>
    <row r="19" spans="1:8" ht="24.95" customHeight="1">
      <c r="A19" s="179" t="s">
        <v>271</v>
      </c>
      <c r="B19" s="179"/>
      <c r="C19" s="125">
        <f>'[1]1.배수지용수배분'!E36</f>
        <v>1252</v>
      </c>
      <c r="D19" s="125">
        <f>'[1]1.배수지용수배분'!F36</f>
        <v>2385</v>
      </c>
      <c r="E19" s="125">
        <f>'[1]1.배수지용수배분'!G36</f>
        <v>4375</v>
      </c>
      <c r="F19" s="125">
        <f>'[1]1.배수지용수배분'!H36</f>
        <v>4669</v>
      </c>
      <c r="G19" s="125">
        <f>'[1]1.배수지용수배분'!I36</f>
        <v>4747</v>
      </c>
      <c r="H19" s="120"/>
    </row>
    <row r="20" spans="1:8" ht="24.95" customHeight="1">
      <c r="A20" s="179" t="s">
        <v>318</v>
      </c>
      <c r="B20" s="179"/>
      <c r="C20" s="125">
        <f>'[1]1.배수지용수배분'!E39</f>
        <v>0</v>
      </c>
      <c r="D20" s="125">
        <f>'[1]1.배수지용수배분'!F39</f>
        <v>0</v>
      </c>
      <c r="E20" s="125">
        <f>'[1]1.배수지용수배분'!G39</f>
        <v>742</v>
      </c>
      <c r="F20" s="125">
        <f>'[1]1.배수지용수배분'!H39</f>
        <v>765</v>
      </c>
      <c r="G20" s="125">
        <f>'[1]1.배수지용수배분'!I39</f>
        <v>781</v>
      </c>
      <c r="H20" s="120"/>
    </row>
    <row r="21" spans="1:8" ht="24.95" customHeight="1">
      <c r="A21" s="179" t="s">
        <v>207</v>
      </c>
      <c r="B21" s="179"/>
      <c r="C21" s="125">
        <f>'[1]1.배수지용수배분'!E42</f>
        <v>4473</v>
      </c>
      <c r="D21" s="125">
        <f>'[1]1.배수지용수배분'!F42</f>
        <v>4886</v>
      </c>
      <c r="E21" s="125">
        <f>'[1]1.배수지용수배분'!G42</f>
        <v>5270</v>
      </c>
      <c r="F21" s="125">
        <f>'[1]1.배수지용수배분'!H42</f>
        <v>5821</v>
      </c>
      <c r="G21" s="125">
        <f>'[1]1.배수지용수배분'!I42</f>
        <v>6063</v>
      </c>
      <c r="H21" s="120"/>
    </row>
    <row r="22" spans="1:8" ht="24.95" customHeight="1">
      <c r="A22" s="179" t="s">
        <v>277</v>
      </c>
      <c r="B22" s="179"/>
      <c r="C22" s="125">
        <f>'[1]1.배수지용수배분'!E45</f>
        <v>0</v>
      </c>
      <c r="D22" s="125">
        <f>'[1]1.배수지용수배분'!F45</f>
        <v>1458</v>
      </c>
      <c r="E22" s="125">
        <f>'[1]1.배수지용수배분'!G45</f>
        <v>2315</v>
      </c>
      <c r="F22" s="125">
        <f>'[1]1.배수지용수배분'!H45</f>
        <v>2461</v>
      </c>
      <c r="G22" s="125">
        <f>'[1]1.배수지용수배분'!I45</f>
        <v>2495</v>
      </c>
      <c r="H22" s="120"/>
    </row>
    <row r="23" spans="1:8" ht="24.95" customHeight="1">
      <c r="A23" s="206"/>
      <c r="B23" s="206"/>
      <c r="C23" s="131">
        <f>SUM(C4:C22)-C15</f>
        <v>43403</v>
      </c>
      <c r="D23" s="131">
        <f>SUM(D4:D22)-D15</f>
        <v>53597</v>
      </c>
      <c r="E23" s="131">
        <f>SUM(E4:E22)-E15</f>
        <v>66868</v>
      </c>
      <c r="F23" s="131">
        <f>SUM(F4:F22)-F15</f>
        <v>68044</v>
      </c>
      <c r="G23" s="131">
        <f>SUM(G4:G22)-G15</f>
        <v>69713</v>
      </c>
    </row>
    <row r="24" spans="1:8" ht="24.95" customHeight="1">
      <c r="A24" s="179" t="s">
        <v>460</v>
      </c>
      <c r="B24" s="179"/>
      <c r="C24" s="125">
        <f>'[1]1.배수지용수배분'!E48</f>
        <v>0</v>
      </c>
      <c r="D24" s="125">
        <f>'[1]1.배수지용수배분'!F48</f>
        <v>0</v>
      </c>
      <c r="E24" s="125">
        <f>'[1]1.배수지용수배분'!G48</f>
        <v>0</v>
      </c>
      <c r="F24" s="125">
        <f>'[1]1.배수지용수배분'!H48</f>
        <v>2463</v>
      </c>
      <c r="G24" s="125">
        <f>'[1]1.배수지용수배분'!I48</f>
        <v>3675</v>
      </c>
      <c r="H24" s="120"/>
    </row>
    <row r="25" spans="1:8" ht="24.95" customHeight="1">
      <c r="A25" s="206"/>
      <c r="B25" s="206"/>
    </row>
    <row r="26" spans="1:8" ht="24.95" customHeight="1">
      <c r="A26" s="206"/>
      <c r="B26" s="206"/>
    </row>
  </sheetData>
  <mergeCells count="19">
    <mergeCell ref="H2:H3"/>
    <mergeCell ref="A23:B23"/>
    <mergeCell ref="A24:B24"/>
    <mergeCell ref="A25:B25"/>
    <mergeCell ref="A26:B26"/>
    <mergeCell ref="C2:G2"/>
    <mergeCell ref="A2:B3"/>
    <mergeCell ref="A17:B17"/>
    <mergeCell ref="A18:B18"/>
    <mergeCell ref="A19:B19"/>
    <mergeCell ref="A20:B20"/>
    <mergeCell ref="A21:B21"/>
    <mergeCell ref="A22:B22"/>
    <mergeCell ref="A12:B12"/>
    <mergeCell ref="A13:B13"/>
    <mergeCell ref="A4:A11"/>
    <mergeCell ref="A14:B14"/>
    <mergeCell ref="A15:B15"/>
    <mergeCell ref="A16:B16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</sheetPr>
  <dimension ref="A1:S265"/>
  <sheetViews>
    <sheetView workbookViewId="0"/>
  </sheetViews>
  <sheetFormatPr defaultRowHeight="18" customHeight="1"/>
  <cols>
    <col min="1" max="1" width="1.77734375" style="7" customWidth="1"/>
    <col min="2" max="2" width="10.77734375" style="7" customWidth="1"/>
    <col min="3" max="3" width="28.21875" style="7" customWidth="1"/>
    <col min="4" max="8" width="7.77734375" style="7" customWidth="1"/>
    <col min="9" max="9" width="9.21875" style="7" bestFit="1" customWidth="1"/>
    <col min="10" max="15" width="7.77734375" style="7" customWidth="1"/>
    <col min="16" max="16" width="9.77734375" style="7" customWidth="1"/>
    <col min="17" max="17" width="8.109375" style="7" customWidth="1"/>
    <col min="18" max="18" width="1.77734375" style="7" customWidth="1"/>
    <col min="19" max="16384" width="8.88671875" style="7"/>
  </cols>
  <sheetData>
    <row r="1" spans="2:13" ht="27.75" customHeight="1">
      <c r="B1" s="46" t="s">
        <v>51</v>
      </c>
    </row>
    <row r="2" spans="2:13" ht="18" customHeight="1">
      <c r="B2" s="47" t="s">
        <v>40</v>
      </c>
    </row>
    <row r="3" spans="2:13" ht="16.5" customHeight="1">
      <c r="C3" s="8" t="s">
        <v>8</v>
      </c>
    </row>
    <row r="4" spans="2:13" ht="16.5" customHeight="1">
      <c r="B4" s="9" t="s">
        <v>9</v>
      </c>
    </row>
    <row r="5" spans="2:13" ht="16.5" customHeight="1">
      <c r="C5" s="10" t="s">
        <v>10</v>
      </c>
    </row>
    <row r="6" spans="2:13" ht="16.5" customHeight="1">
      <c r="B6" s="7" t="s">
        <v>11</v>
      </c>
    </row>
    <row r="7" spans="2:13" ht="16.5" customHeight="1">
      <c r="B7" s="7" t="s">
        <v>12</v>
      </c>
    </row>
    <row r="8" spans="2:13" ht="16.5" customHeight="1"/>
    <row r="9" spans="2:13" ht="16.5" customHeight="1">
      <c r="B9" s="7" t="s">
        <v>13</v>
      </c>
      <c r="C9" s="7" t="s">
        <v>14</v>
      </c>
      <c r="E9" s="7" t="s">
        <v>1</v>
      </c>
      <c r="G9" s="7" t="s">
        <v>15</v>
      </c>
    </row>
    <row r="10" spans="2:13" ht="16.5" customHeight="1">
      <c r="C10" s="7" t="s">
        <v>52</v>
      </c>
      <c r="D10" s="3"/>
      <c r="E10" s="7" t="s">
        <v>3</v>
      </c>
    </row>
    <row r="11" spans="2:13" ht="16.5" customHeight="1">
      <c r="D11" s="3"/>
      <c r="E11" s="7" t="s">
        <v>2</v>
      </c>
    </row>
    <row r="12" spans="2:13" ht="16.5" customHeight="1">
      <c r="D12" s="3"/>
      <c r="E12" s="7" t="s">
        <v>16</v>
      </c>
    </row>
    <row r="13" spans="2:13" ht="16.5" customHeight="1"/>
    <row r="14" spans="2:13" ht="18" customHeight="1">
      <c r="B14" s="47" t="s">
        <v>39</v>
      </c>
    </row>
    <row r="15" spans="2:13" ht="18" customHeight="1">
      <c r="B15" s="282" t="s">
        <v>17</v>
      </c>
      <c r="C15" s="282"/>
      <c r="D15" s="1" t="s">
        <v>41</v>
      </c>
      <c r="E15" s="1" t="s">
        <v>18</v>
      </c>
      <c r="F15" s="1" t="s">
        <v>19</v>
      </c>
      <c r="G15" s="1" t="s">
        <v>20</v>
      </c>
      <c r="H15" s="25" t="s">
        <v>53</v>
      </c>
      <c r="I15" s="1" t="s">
        <v>21</v>
      </c>
      <c r="J15" s="22"/>
      <c r="K15" s="21"/>
      <c r="L15" s="22"/>
      <c r="M15" s="21"/>
    </row>
    <row r="16" spans="2:13" ht="18" customHeight="1">
      <c r="B16" s="283" t="s">
        <v>54</v>
      </c>
      <c r="C16" s="11" t="s">
        <v>23</v>
      </c>
      <c r="D16" s="4"/>
      <c r="E16" s="4"/>
      <c r="F16" s="4"/>
      <c r="G16" s="4"/>
      <c r="H16" s="26"/>
      <c r="I16" s="12"/>
      <c r="J16" s="5"/>
      <c r="K16" s="22"/>
      <c r="L16" s="5"/>
      <c r="M16" s="22"/>
    </row>
    <row r="17" spans="2:13" ht="18" customHeight="1">
      <c r="B17" s="284"/>
      <c r="C17" s="11" t="s">
        <v>44</v>
      </c>
      <c r="D17" s="4"/>
      <c r="E17" s="4"/>
      <c r="F17" s="4"/>
      <c r="G17" s="4"/>
      <c r="H17" s="4"/>
      <c r="I17" s="12"/>
      <c r="J17" s="5"/>
      <c r="K17" s="22"/>
      <c r="L17" s="5"/>
      <c r="M17" s="22"/>
    </row>
    <row r="18" spans="2:13" ht="18" customHeight="1">
      <c r="B18" s="284"/>
      <c r="C18" s="11" t="s">
        <v>46</v>
      </c>
      <c r="D18" s="4"/>
      <c r="E18" s="4"/>
      <c r="F18" s="4"/>
      <c r="G18" s="4"/>
      <c r="H18" s="4"/>
      <c r="I18" s="12"/>
      <c r="J18" s="5"/>
      <c r="K18" s="22"/>
      <c r="L18" s="5"/>
      <c r="M18" s="22"/>
    </row>
    <row r="19" spans="2:13" ht="18" customHeight="1">
      <c r="B19" s="284"/>
      <c r="C19" s="11" t="s">
        <v>45</v>
      </c>
      <c r="D19" s="4"/>
      <c r="E19" s="4"/>
      <c r="F19" s="4"/>
      <c r="G19" s="4"/>
      <c r="H19" s="4"/>
      <c r="I19" s="12"/>
      <c r="J19" s="5"/>
      <c r="K19" s="22"/>
      <c r="L19" s="5"/>
      <c r="M19" s="22"/>
    </row>
    <row r="20" spans="2:13" ht="18" customHeight="1">
      <c r="B20" s="283" t="s">
        <v>55</v>
      </c>
      <c r="C20" s="11" t="s">
        <v>23</v>
      </c>
      <c r="D20" s="4"/>
      <c r="E20" s="4"/>
      <c r="F20" s="4"/>
      <c r="G20" s="4"/>
      <c r="H20" s="26"/>
      <c r="I20" s="12"/>
      <c r="J20" s="5"/>
      <c r="K20" s="22"/>
      <c r="L20" s="5"/>
      <c r="M20" s="22"/>
    </row>
    <row r="21" spans="2:13" ht="18" customHeight="1">
      <c r="B21" s="284"/>
      <c r="C21" s="11" t="s">
        <v>47</v>
      </c>
      <c r="D21" s="4"/>
      <c r="E21" s="4"/>
      <c r="F21" s="4"/>
      <c r="G21" s="4"/>
      <c r="H21" s="4"/>
      <c r="I21" s="12"/>
      <c r="J21" s="5"/>
      <c r="K21" s="22"/>
      <c r="L21" s="5"/>
      <c r="M21" s="22"/>
    </row>
    <row r="22" spans="2:13" ht="18" customHeight="1">
      <c r="B22" s="283" t="s">
        <v>56</v>
      </c>
      <c r="C22" s="11" t="s">
        <v>23</v>
      </c>
      <c r="D22" s="4"/>
      <c r="E22" s="4"/>
      <c r="F22" s="4"/>
      <c r="G22" s="4"/>
      <c r="H22" s="26"/>
      <c r="I22" s="12"/>
      <c r="J22" s="5"/>
      <c r="K22" s="22"/>
      <c r="L22" s="5"/>
      <c r="M22" s="22"/>
    </row>
    <row r="23" spans="2:13" ht="18" customHeight="1">
      <c r="B23" s="284"/>
      <c r="C23" s="11" t="s">
        <v>57</v>
      </c>
      <c r="D23" s="4"/>
      <c r="E23" s="4"/>
      <c r="F23" s="4"/>
      <c r="G23" s="4"/>
      <c r="H23" s="4"/>
      <c r="I23" s="12"/>
      <c r="J23" s="5"/>
      <c r="K23" s="22"/>
      <c r="L23" s="5"/>
      <c r="M23" s="22"/>
    </row>
    <row r="24" spans="2:13" ht="18" customHeight="1">
      <c r="B24" s="284"/>
      <c r="C24" s="11" t="s">
        <v>58</v>
      </c>
      <c r="D24" s="4"/>
      <c r="E24" s="4"/>
      <c r="F24" s="4"/>
      <c r="G24" s="4"/>
      <c r="H24" s="4"/>
      <c r="I24" s="12"/>
      <c r="J24" s="5"/>
      <c r="K24" s="22"/>
      <c r="L24" s="5"/>
      <c r="M24" s="22"/>
    </row>
    <row r="25" spans="2:13" ht="18" customHeight="1">
      <c r="B25" s="284"/>
      <c r="C25" s="11" t="s">
        <v>59</v>
      </c>
      <c r="D25" s="4"/>
      <c r="E25" s="4"/>
      <c r="F25" s="4"/>
      <c r="G25" s="4"/>
      <c r="H25" s="4"/>
      <c r="I25" s="12"/>
      <c r="J25" s="5"/>
      <c r="K25" s="22"/>
      <c r="L25" s="5"/>
      <c r="M25" s="22"/>
    </row>
    <row r="26" spans="2:13" ht="18" customHeight="1">
      <c r="B26" s="285"/>
      <c r="C26" s="11" t="s">
        <v>48</v>
      </c>
      <c r="D26" s="4"/>
      <c r="E26" s="4"/>
      <c r="F26" s="4"/>
      <c r="G26" s="4"/>
      <c r="H26" s="4"/>
      <c r="I26" s="12"/>
      <c r="J26" s="5"/>
      <c r="K26" s="22"/>
      <c r="L26" s="5"/>
      <c r="M26" s="22"/>
    </row>
    <row r="27" spans="2:13" ht="18" customHeight="1">
      <c r="B27" s="282" t="s">
        <v>24</v>
      </c>
      <c r="C27" s="282"/>
      <c r="D27" s="4"/>
      <c r="E27" s="4"/>
      <c r="F27" s="4"/>
      <c r="G27" s="4"/>
      <c r="H27" s="4"/>
      <c r="I27" s="12"/>
      <c r="J27" s="5"/>
      <c r="K27" s="22"/>
      <c r="L27" s="5"/>
      <c r="M27" s="22"/>
    </row>
    <row r="28" spans="2:13" ht="18" customHeight="1">
      <c r="B28" s="21"/>
      <c r="C28" s="21"/>
      <c r="D28" s="5"/>
      <c r="E28" s="5"/>
      <c r="F28" s="5"/>
      <c r="G28" s="5"/>
      <c r="H28" s="5"/>
      <c r="I28" s="22"/>
      <c r="J28" s="5"/>
      <c r="K28" s="22"/>
      <c r="L28" s="5"/>
      <c r="M28" s="22"/>
    </row>
    <row r="29" spans="2:13" ht="18" customHeight="1">
      <c r="B29" s="21"/>
      <c r="C29" s="21"/>
      <c r="D29" s="5"/>
      <c r="E29" s="5"/>
      <c r="F29" s="5"/>
      <c r="G29" s="5"/>
      <c r="H29" s="5"/>
      <c r="I29" s="22"/>
      <c r="J29" s="5"/>
      <c r="K29" s="22"/>
      <c r="L29" s="5"/>
      <c r="M29" s="22"/>
    </row>
    <row r="30" spans="2:13" ht="18" customHeight="1">
      <c r="B30" s="21"/>
      <c r="C30" s="21"/>
      <c r="D30" s="5"/>
      <c r="E30" s="5"/>
      <c r="F30" s="5">
        <v>417</v>
      </c>
      <c r="G30" s="5">
        <f>F30/F31*G31</f>
        <v>302325</v>
      </c>
      <c r="H30" s="5"/>
      <c r="I30" s="22"/>
      <c r="J30" s="5"/>
      <c r="K30" s="22"/>
      <c r="L30" s="5"/>
      <c r="M30" s="22"/>
    </row>
    <row r="31" spans="2:13" ht="18" customHeight="1">
      <c r="B31" s="21"/>
      <c r="C31" s="21"/>
      <c r="D31" s="5"/>
      <c r="E31" s="5"/>
      <c r="F31" s="5">
        <v>420</v>
      </c>
      <c r="G31" s="5">
        <v>304500</v>
      </c>
      <c r="H31" s="5"/>
      <c r="I31" s="22"/>
      <c r="J31" s="5"/>
      <c r="K31" s="22"/>
      <c r="L31" s="5"/>
      <c r="M31" s="22"/>
    </row>
    <row r="32" spans="2:13" ht="18" customHeight="1">
      <c r="B32" s="21"/>
      <c r="C32" s="21"/>
      <c r="D32" s="5"/>
      <c r="E32" s="5"/>
      <c r="F32" s="5"/>
      <c r="G32" s="5"/>
      <c r="H32" s="5"/>
      <c r="I32" s="22"/>
      <c r="J32" s="5"/>
      <c r="K32" s="22"/>
      <c r="L32" s="5"/>
      <c r="M32" s="22"/>
    </row>
    <row r="33" spans="1:17" ht="162.75" customHeight="1">
      <c r="B33" s="21"/>
      <c r="C33" s="21"/>
      <c r="D33" s="5"/>
      <c r="E33" s="5"/>
      <c r="F33" s="5"/>
      <c r="G33" s="5"/>
      <c r="H33" s="5"/>
      <c r="I33" s="22"/>
      <c r="J33" s="5"/>
      <c r="K33" s="22"/>
      <c r="L33" s="5"/>
      <c r="M33" s="22"/>
    </row>
    <row r="34" spans="1:17" ht="20.25" customHeight="1" thickBot="1">
      <c r="B34" s="21"/>
      <c r="C34" s="21"/>
      <c r="D34" s="5"/>
      <c r="E34" s="5"/>
      <c r="F34" s="5"/>
      <c r="G34" s="5"/>
      <c r="H34" s="5"/>
      <c r="I34" s="22"/>
      <c r="J34" s="5"/>
      <c r="K34" s="22"/>
      <c r="L34" s="5"/>
      <c r="M34" s="22"/>
    </row>
    <row r="35" spans="1:17" ht="18" customHeight="1">
      <c r="A35" s="33"/>
      <c r="B35" s="34"/>
      <c r="C35" s="34"/>
      <c r="D35" s="35"/>
      <c r="E35" s="35"/>
      <c r="F35" s="35"/>
      <c r="G35" s="35"/>
      <c r="H35" s="35"/>
      <c r="I35" s="36"/>
      <c r="J35" s="35"/>
      <c r="K35" s="36"/>
      <c r="L35" s="35"/>
      <c r="M35" s="36"/>
      <c r="N35" s="36"/>
      <c r="O35" s="36"/>
      <c r="P35" s="36"/>
      <c r="Q35" s="36"/>
    </row>
    <row r="36" spans="1:17" ht="18" customHeight="1">
      <c r="A36" s="37"/>
      <c r="B36" s="48" t="s">
        <v>43</v>
      </c>
      <c r="C36" s="22"/>
      <c r="D36" s="22"/>
      <c r="E36" s="22"/>
      <c r="F36" s="287" t="str">
        <f>"펌프양정="&amp;Q55&amp;"m"</f>
        <v>펌프양정=68m</v>
      </c>
      <c r="G36" s="287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 ht="18" customHeight="1">
      <c r="A37" s="37"/>
      <c r="B37" s="48"/>
      <c r="C37" s="22"/>
      <c r="D37" s="22"/>
      <c r="E37" s="21"/>
      <c r="F37" s="21"/>
      <c r="G37" s="22"/>
      <c r="H37" s="21" t="s">
        <v>7</v>
      </c>
      <c r="I37" s="22"/>
      <c r="J37" s="21"/>
      <c r="K37" s="22"/>
      <c r="L37" s="22"/>
      <c r="M37" s="22"/>
      <c r="N37" s="22"/>
      <c r="O37" s="22"/>
      <c r="P37" s="22"/>
      <c r="Q37" s="22"/>
    </row>
    <row r="38" spans="1:17" ht="18" customHeight="1">
      <c r="A38" s="37"/>
      <c r="B38" s="48"/>
      <c r="C38" s="22"/>
      <c r="D38" s="22"/>
      <c r="E38" s="21"/>
      <c r="F38" s="21"/>
      <c r="G38" s="22"/>
      <c r="H38" s="21" t="str">
        <f>"D="&amp;G55&amp;"mm"</f>
        <v>D=300mm</v>
      </c>
      <c r="I38" s="22"/>
      <c r="J38" s="21"/>
      <c r="K38" s="22"/>
      <c r="L38" s="22"/>
      <c r="M38" s="22"/>
      <c r="N38" s="22"/>
      <c r="O38" s="22"/>
      <c r="P38" s="22"/>
      <c r="Q38" s="22"/>
    </row>
    <row r="39" spans="1:17" ht="18" customHeight="1">
      <c r="A39" s="37"/>
      <c r="B39" s="48"/>
      <c r="C39" s="22"/>
      <c r="D39" s="22"/>
      <c r="E39" s="43" t="s">
        <v>62</v>
      </c>
      <c r="F39" s="286" t="s">
        <v>66</v>
      </c>
      <c r="G39" s="286"/>
      <c r="H39" s="21" t="str">
        <f>"L="&amp;D55&amp;"m"</f>
        <v>L=1100m</v>
      </c>
      <c r="I39" s="22"/>
      <c r="J39" s="21"/>
      <c r="K39" s="22"/>
      <c r="L39" s="22"/>
      <c r="M39" s="22"/>
      <c r="N39" s="22"/>
      <c r="O39" s="22"/>
      <c r="P39" s="22"/>
      <c r="Q39" s="22"/>
    </row>
    <row r="40" spans="1:17" ht="18" customHeight="1">
      <c r="A40" s="37"/>
      <c r="B40" s="48"/>
      <c r="C40" s="22"/>
      <c r="D40" s="22"/>
      <c r="E40" s="40" t="s">
        <v>63</v>
      </c>
      <c r="F40" s="287" t="str">
        <f>"펌프양정="&amp;Q55&amp;"m"</f>
        <v>펌프양정=68m</v>
      </c>
      <c r="G40" s="287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ht="18" customHeight="1">
      <c r="A41" s="37"/>
      <c r="B41" s="22"/>
      <c r="C41" s="22"/>
      <c r="D41" s="22"/>
      <c r="E41" s="21"/>
      <c r="F41" s="21"/>
      <c r="G41" s="22"/>
      <c r="H41" s="21" t="s">
        <v>6</v>
      </c>
      <c r="I41" s="22"/>
      <c r="J41" s="21"/>
      <c r="K41" s="22"/>
      <c r="L41" s="21"/>
      <c r="M41" s="21"/>
      <c r="N41" s="21"/>
      <c r="O41" s="22"/>
      <c r="P41" s="22"/>
      <c r="Q41" s="22"/>
    </row>
    <row r="42" spans="1:17" ht="18" customHeight="1">
      <c r="A42" s="37"/>
      <c r="B42" s="22"/>
      <c r="C42" s="22"/>
      <c r="D42" s="22"/>
      <c r="E42" s="21"/>
      <c r="F42" s="21"/>
      <c r="G42" s="22"/>
      <c r="H42" s="21" t="str">
        <f>"D="&amp;G54&amp;"mm"</f>
        <v>D=300mm</v>
      </c>
      <c r="I42" s="22"/>
      <c r="J42" s="21"/>
      <c r="K42" s="22"/>
      <c r="L42" s="22"/>
      <c r="M42" s="21"/>
      <c r="N42" s="21"/>
      <c r="O42" s="22"/>
      <c r="P42" s="22"/>
      <c r="Q42" s="22"/>
    </row>
    <row r="43" spans="1:17" ht="18" customHeight="1">
      <c r="A43" s="37"/>
      <c r="B43" s="22"/>
      <c r="C43" s="22"/>
      <c r="D43" s="22"/>
      <c r="E43" s="21"/>
      <c r="F43" s="286" t="s">
        <v>64</v>
      </c>
      <c r="G43" s="286"/>
      <c r="H43" s="21" t="str">
        <f>"L="&amp;D54&amp;"m"</f>
        <v>L=2106m</v>
      </c>
      <c r="I43" s="22"/>
      <c r="J43" s="21"/>
      <c r="K43" s="22"/>
      <c r="L43" s="22"/>
      <c r="M43" s="22"/>
      <c r="N43" s="21"/>
      <c r="O43" s="22"/>
      <c r="P43" s="22"/>
      <c r="Q43" s="22"/>
    </row>
    <row r="44" spans="1:17" ht="18" customHeight="1">
      <c r="A44" s="37"/>
      <c r="B44" s="22"/>
      <c r="C44" s="22" t="str">
        <f>"                            펌프양정="&amp;Q53&amp;"m"</f>
        <v xml:space="preserve">                            펌프양정=24m</v>
      </c>
      <c r="D44" s="22"/>
      <c r="E44" s="22"/>
      <c r="F44" s="21"/>
      <c r="G44" s="22"/>
      <c r="H44" s="21"/>
      <c r="I44" s="22"/>
      <c r="J44" s="21"/>
      <c r="K44" s="22"/>
      <c r="L44" s="22"/>
      <c r="M44" s="21"/>
      <c r="N44" s="22"/>
      <c r="O44" s="22"/>
      <c r="P44" s="22"/>
      <c r="Q44" s="22"/>
    </row>
    <row r="45" spans="1:17" ht="18" customHeight="1">
      <c r="A45" s="37"/>
      <c r="B45" s="22"/>
      <c r="C45" s="22"/>
      <c r="D45" s="22"/>
      <c r="E45" s="21" t="s">
        <v>42</v>
      </c>
      <c r="F45" s="21"/>
      <c r="G45" s="22"/>
      <c r="H45" s="21"/>
      <c r="I45" s="22"/>
      <c r="J45" s="21"/>
      <c r="K45" s="22"/>
      <c r="L45" s="22"/>
      <c r="M45" s="22"/>
      <c r="N45" s="22"/>
      <c r="O45" s="22"/>
      <c r="P45" s="22"/>
      <c r="Q45" s="22"/>
    </row>
    <row r="46" spans="1:17" ht="18" customHeight="1">
      <c r="A46" s="37"/>
      <c r="B46" s="22"/>
      <c r="C46" s="22"/>
      <c r="D46" s="22"/>
      <c r="E46" s="21" t="str">
        <f>"D="&amp;G53&amp;"mm"</f>
        <v>D=1100mm</v>
      </c>
      <c r="F46" s="21"/>
      <c r="G46" s="22"/>
      <c r="H46" s="22"/>
      <c r="I46" s="21"/>
      <c r="J46" s="22"/>
      <c r="K46" s="22"/>
      <c r="L46" s="22"/>
      <c r="M46" s="22"/>
      <c r="N46" s="22"/>
      <c r="O46" s="22"/>
      <c r="P46" s="22"/>
      <c r="Q46" s="22"/>
    </row>
    <row r="47" spans="1:17" ht="18" customHeight="1">
      <c r="A47" s="37"/>
      <c r="B47" s="22"/>
      <c r="C47" s="22"/>
      <c r="D47" s="22"/>
      <c r="E47" s="21" t="str">
        <f>"L="&amp;D53&amp;"m"</f>
        <v>L=5493m</v>
      </c>
      <c r="F47" s="22"/>
      <c r="G47" s="22"/>
      <c r="H47" s="22"/>
      <c r="I47" s="21"/>
      <c r="J47" s="22"/>
      <c r="K47" s="22"/>
      <c r="L47" s="22"/>
      <c r="M47" s="22"/>
      <c r="N47" s="22"/>
      <c r="O47" s="22"/>
      <c r="P47" s="22"/>
      <c r="Q47" s="22"/>
    </row>
    <row r="48" spans="1:17" ht="21" customHeight="1">
      <c r="A48" s="37"/>
      <c r="B48" s="22"/>
      <c r="C48" s="22"/>
      <c r="D48" s="22"/>
      <c r="E48" s="22"/>
      <c r="F48" s="22"/>
      <c r="G48" s="38">
        <f>79500+25100</f>
        <v>104600</v>
      </c>
      <c r="H48" s="38">
        <f>G48/125000</f>
        <v>0.83679999999999999</v>
      </c>
      <c r="I48" s="38"/>
      <c r="J48" s="38"/>
      <c r="K48" s="22"/>
      <c r="L48" s="22"/>
      <c r="M48" s="22"/>
      <c r="N48" s="22"/>
      <c r="O48" s="22"/>
      <c r="P48" s="22"/>
      <c r="Q48" s="22"/>
    </row>
    <row r="49" spans="1:17" ht="21" customHeight="1">
      <c r="A49" s="3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21" customHeight="1">
      <c r="A50" s="37"/>
      <c r="B50" s="22" t="s">
        <v>49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 ht="15" customHeight="1">
      <c r="A51" s="37"/>
      <c r="B51" s="264" t="s">
        <v>25</v>
      </c>
      <c r="C51" s="265"/>
      <c r="D51" s="271" t="s">
        <v>26</v>
      </c>
      <c r="E51" s="273" t="s">
        <v>22</v>
      </c>
      <c r="F51" s="274"/>
      <c r="G51" s="271" t="s">
        <v>0</v>
      </c>
      <c r="H51" s="271" t="s">
        <v>27</v>
      </c>
      <c r="I51" s="271" t="s">
        <v>28</v>
      </c>
      <c r="J51" s="271" t="s">
        <v>29</v>
      </c>
      <c r="K51" s="271" t="s">
        <v>30</v>
      </c>
      <c r="L51" s="280" t="s">
        <v>31</v>
      </c>
      <c r="M51" s="280"/>
      <c r="N51" s="280" t="s">
        <v>32</v>
      </c>
      <c r="O51" s="280"/>
      <c r="P51" s="280" t="s">
        <v>33</v>
      </c>
      <c r="Q51" s="280"/>
    </row>
    <row r="52" spans="1:17" ht="15" customHeight="1">
      <c r="A52" s="37"/>
      <c r="B52" s="266"/>
      <c r="C52" s="267"/>
      <c r="D52" s="272"/>
      <c r="E52" s="6" t="s">
        <v>4</v>
      </c>
      <c r="F52" s="6" t="s">
        <v>5</v>
      </c>
      <c r="G52" s="272"/>
      <c r="H52" s="272"/>
      <c r="I52" s="272"/>
      <c r="J52" s="272"/>
      <c r="K52" s="272"/>
      <c r="L52" s="6" t="s">
        <v>34</v>
      </c>
      <c r="M52" s="6" t="s">
        <v>35</v>
      </c>
      <c r="N52" s="6" t="s">
        <v>36</v>
      </c>
      <c r="O52" s="6" t="s">
        <v>37</v>
      </c>
      <c r="P52" s="280"/>
      <c r="Q52" s="280"/>
    </row>
    <row r="53" spans="1:17" ht="15" customHeight="1">
      <c r="A53" s="37"/>
      <c r="B53" s="268" t="s">
        <v>67</v>
      </c>
      <c r="C53" s="269"/>
      <c r="D53" s="4">
        <v>5493</v>
      </c>
      <c r="E53" s="4">
        <f>[2]제2안검토!L4+E55+E54</f>
        <v>77900</v>
      </c>
      <c r="F53" s="13">
        <f>E53/24/60/60</f>
        <v>0.90162037037037035</v>
      </c>
      <c r="G53" s="4">
        <v>1100</v>
      </c>
      <c r="H53" s="4">
        <v>110</v>
      </c>
      <c r="I53" s="14">
        <f>10.666*H53^(-1.85)*(G53/1000)^(-4.87)*F53^1.85</f>
        <v>9.2605463163604657E-4</v>
      </c>
      <c r="J53" s="15">
        <f>0.35464*H53*(G53/1000)^(0.63)*I53^(0.54)</f>
        <v>0.95332627626186306</v>
      </c>
      <c r="K53" s="16">
        <f>I53*D53</f>
        <v>5.086818091576804</v>
      </c>
      <c r="L53" s="17">
        <f>O53+Q53</f>
        <v>106.7</v>
      </c>
      <c r="M53" s="17">
        <f>L53-K53</f>
        <v>101.6131819084232</v>
      </c>
      <c r="N53" s="17">
        <v>85.3</v>
      </c>
      <c r="O53" s="18">
        <v>82.7</v>
      </c>
      <c r="P53" s="19" t="s">
        <v>38</v>
      </c>
      <c r="Q53" s="20">
        <v>24</v>
      </c>
    </row>
    <row r="54" spans="1:17" ht="15" customHeight="1">
      <c r="A54" s="37"/>
      <c r="B54" s="268" t="s">
        <v>60</v>
      </c>
      <c r="C54" s="269"/>
      <c r="D54" s="4">
        <v>2106</v>
      </c>
      <c r="E54" s="4">
        <f>[2]제2안검토!L7</f>
        <v>4700</v>
      </c>
      <c r="F54" s="13">
        <f>E54/24/60/60</f>
        <v>5.4398148148148147E-2</v>
      </c>
      <c r="G54" s="4">
        <v>300</v>
      </c>
      <c r="H54" s="4">
        <v>100</v>
      </c>
      <c r="I54" s="14">
        <f>10.666*H54^(-1.85)*(G54/1000)^(-4.87)*F54^1.85</f>
        <v>3.4296648499741785E-3</v>
      </c>
      <c r="J54" s="15">
        <f>0.35464*H54*(G54/1000)^(0.63)*I54^(0.54)</f>
        <v>0.77519331221307841</v>
      </c>
      <c r="K54" s="16">
        <f>I54*D54</f>
        <v>7.2228741740456197</v>
      </c>
      <c r="L54" s="17">
        <f>O54+Q54</f>
        <v>155</v>
      </c>
      <c r="M54" s="17">
        <f>L54-K54</f>
        <v>147.77712582595439</v>
      </c>
      <c r="N54" s="17">
        <v>95</v>
      </c>
      <c r="O54" s="18">
        <v>90</v>
      </c>
      <c r="P54" s="19" t="s">
        <v>38</v>
      </c>
      <c r="Q54" s="20">
        <v>65</v>
      </c>
    </row>
    <row r="55" spans="1:17" ht="15" customHeight="1">
      <c r="A55" s="37"/>
      <c r="B55" s="268" t="s">
        <v>65</v>
      </c>
      <c r="C55" s="269"/>
      <c r="D55" s="4">
        <v>1100</v>
      </c>
      <c r="E55" s="4">
        <f>[2]제2안검토!L5</f>
        <v>3300</v>
      </c>
      <c r="F55" s="13">
        <f>E55/24/60/60</f>
        <v>3.8194444444444441E-2</v>
      </c>
      <c r="G55" s="4">
        <v>300</v>
      </c>
      <c r="H55" s="4">
        <v>100</v>
      </c>
      <c r="I55" s="14">
        <f>10.666*H55^(-1.85)*(G55/1000)^(-4.87)*F55^1.85</f>
        <v>1.7828772120392048E-3</v>
      </c>
      <c r="J55" s="15">
        <f>0.35464*H55*(G55/1000)^(0.63)*I55^(0.54)</f>
        <v>0.54447718091162467</v>
      </c>
      <c r="K55" s="16">
        <f>I55*D55</f>
        <v>1.9611649332431251</v>
      </c>
      <c r="L55" s="17">
        <f>O55+Q55</f>
        <v>139.30000000000001</v>
      </c>
      <c r="M55" s="17">
        <f>L55-K55</f>
        <v>137.3388350667569</v>
      </c>
      <c r="N55" s="17">
        <v>75.3</v>
      </c>
      <c r="O55" s="18">
        <v>71.3</v>
      </c>
      <c r="P55" s="19" t="s">
        <v>38</v>
      </c>
      <c r="Q55" s="20">
        <v>68</v>
      </c>
    </row>
    <row r="56" spans="1:17" ht="21" customHeight="1">
      <c r="A56" s="37"/>
      <c r="B56" s="27" t="s">
        <v>68</v>
      </c>
      <c r="C56" s="27"/>
      <c r="D56" s="5"/>
      <c r="E56" s="5"/>
      <c r="F56" s="28"/>
      <c r="G56" s="5"/>
      <c r="H56" s="5"/>
      <c r="I56" s="29"/>
      <c r="J56" s="30"/>
      <c r="K56" s="31"/>
      <c r="L56" s="23"/>
      <c r="M56" s="23"/>
      <c r="N56" s="23"/>
      <c r="O56" s="32"/>
      <c r="P56" s="22"/>
      <c r="Q56" s="24"/>
    </row>
    <row r="57" spans="1:17" ht="18" customHeight="1">
      <c r="A57" s="37"/>
      <c r="B57" s="48" t="s">
        <v>50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 ht="18" customHeight="1">
      <c r="A58" s="37"/>
      <c r="B58" s="22"/>
      <c r="C58" s="22"/>
      <c r="D58" s="22"/>
      <c r="E58" s="39">
        <f>693+2816+1575</f>
        <v>5084</v>
      </c>
      <c r="F58" s="22"/>
      <c r="G58" s="22"/>
      <c r="H58" s="22"/>
      <c r="I58" s="22"/>
      <c r="J58" s="22"/>
      <c r="K58" s="21"/>
      <c r="L58" s="22"/>
      <c r="M58" s="22"/>
      <c r="N58" s="22"/>
      <c r="O58" s="22"/>
      <c r="P58" s="22"/>
      <c r="Q58" s="22"/>
    </row>
    <row r="59" spans="1:17" ht="18" customHeight="1">
      <c r="A59" s="37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ht="18" customHeight="1">
      <c r="A60" s="37"/>
      <c r="B60" s="22"/>
      <c r="C60" s="22"/>
      <c r="D60" s="21"/>
      <c r="E60" s="22"/>
      <c r="F60" s="21" t="s">
        <v>42</v>
      </c>
      <c r="G60" s="22"/>
      <c r="H60" s="21"/>
      <c r="I60" s="22"/>
      <c r="J60" s="21"/>
      <c r="K60" s="21"/>
      <c r="L60" s="21"/>
      <c r="M60" s="22"/>
      <c r="N60" s="21"/>
      <c r="O60" s="22"/>
      <c r="P60" s="22"/>
      <c r="Q60" s="22"/>
    </row>
    <row r="61" spans="1:17" ht="18" customHeight="1">
      <c r="A61" s="37"/>
      <c r="B61" s="22"/>
      <c r="C61" s="22"/>
      <c r="D61" s="21"/>
      <c r="E61" s="22"/>
      <c r="F61" s="21" t="str">
        <f>"D="&amp;G68&amp;"mm"</f>
        <v>D=800mm</v>
      </c>
      <c r="G61" s="22"/>
      <c r="H61" s="21"/>
      <c r="I61" s="22"/>
      <c r="J61" s="21"/>
      <c r="K61" s="21"/>
      <c r="L61" s="21"/>
      <c r="M61" s="22"/>
      <c r="N61" s="21"/>
      <c r="O61" s="22"/>
      <c r="P61" s="22"/>
      <c r="Q61" s="22"/>
    </row>
    <row r="62" spans="1:17" ht="18" customHeight="1">
      <c r="A62" s="37"/>
      <c r="B62" s="22"/>
      <c r="C62" s="22"/>
      <c r="D62" s="22" t="str">
        <f>"   펌프양정="&amp;Q68&amp;"m"</f>
        <v xml:space="preserve">   펌프양정=50m</v>
      </c>
      <c r="E62" s="22"/>
      <c r="F62" s="21" t="str">
        <f>"L="&amp;D68&amp;"m"</f>
        <v>L=3330m</v>
      </c>
      <c r="G62" s="22"/>
      <c r="H62" s="21"/>
      <c r="I62" s="22"/>
      <c r="J62" s="21"/>
      <c r="K62" s="21"/>
      <c r="L62" s="21"/>
      <c r="M62" s="22"/>
      <c r="N62" s="21"/>
      <c r="O62" s="22"/>
      <c r="P62" s="22"/>
      <c r="Q62" s="22"/>
    </row>
    <row r="63" spans="1:17" ht="18" customHeight="1">
      <c r="A63" s="37"/>
      <c r="B63" s="22"/>
      <c r="C63" s="22"/>
      <c r="D63" s="22"/>
      <c r="E63" s="22"/>
      <c r="F63" s="22"/>
      <c r="G63" s="21"/>
      <c r="H63" s="22"/>
      <c r="I63" s="40"/>
      <c r="J63" s="22"/>
      <c r="K63" s="22"/>
      <c r="L63" s="22"/>
      <c r="M63" s="22"/>
      <c r="N63" s="22"/>
      <c r="O63" s="22"/>
      <c r="P63" s="22"/>
      <c r="Q63" s="22"/>
    </row>
    <row r="64" spans="1:17" ht="18" customHeight="1">
      <c r="A64" s="37"/>
      <c r="B64" s="22"/>
      <c r="C64" s="22"/>
      <c r="D64" s="22"/>
      <c r="E64" s="22"/>
      <c r="F64" s="21"/>
      <c r="G64" s="22"/>
      <c r="H64" s="22"/>
      <c r="I64" s="22"/>
      <c r="J64" s="21"/>
      <c r="K64" s="22"/>
      <c r="L64" s="22"/>
      <c r="M64" s="22"/>
      <c r="N64" s="22"/>
      <c r="O64" s="22"/>
      <c r="P64" s="22"/>
      <c r="Q64" s="22"/>
    </row>
    <row r="65" spans="1:17" ht="15" customHeight="1">
      <c r="A65" s="37"/>
      <c r="B65" s="22" t="s">
        <v>49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ht="15" customHeight="1">
      <c r="A66" s="37"/>
      <c r="B66" s="280" t="s">
        <v>25</v>
      </c>
      <c r="C66" s="280"/>
      <c r="D66" s="280" t="s">
        <v>26</v>
      </c>
      <c r="E66" s="280" t="s">
        <v>22</v>
      </c>
      <c r="F66" s="280"/>
      <c r="G66" s="280" t="s">
        <v>0</v>
      </c>
      <c r="H66" s="280" t="s">
        <v>27</v>
      </c>
      <c r="I66" s="280" t="s">
        <v>28</v>
      </c>
      <c r="J66" s="280" t="s">
        <v>29</v>
      </c>
      <c r="K66" s="280" t="s">
        <v>30</v>
      </c>
      <c r="L66" s="280" t="s">
        <v>31</v>
      </c>
      <c r="M66" s="280"/>
      <c r="N66" s="280" t="s">
        <v>32</v>
      </c>
      <c r="O66" s="280"/>
      <c r="P66" s="280" t="s">
        <v>33</v>
      </c>
      <c r="Q66" s="280"/>
    </row>
    <row r="67" spans="1:17" ht="15" customHeight="1">
      <c r="A67" s="37"/>
      <c r="B67" s="280"/>
      <c r="C67" s="280"/>
      <c r="D67" s="280"/>
      <c r="E67" s="6" t="s">
        <v>4</v>
      </c>
      <c r="F67" s="6" t="s">
        <v>5</v>
      </c>
      <c r="G67" s="280"/>
      <c r="H67" s="280"/>
      <c r="I67" s="280"/>
      <c r="J67" s="280"/>
      <c r="K67" s="280"/>
      <c r="L67" s="6" t="s">
        <v>34</v>
      </c>
      <c r="M67" s="6" t="s">
        <v>35</v>
      </c>
      <c r="N67" s="6" t="s">
        <v>36</v>
      </c>
      <c r="O67" s="6" t="s">
        <v>37</v>
      </c>
      <c r="P67" s="280"/>
      <c r="Q67" s="280"/>
    </row>
    <row r="68" spans="1:17" ht="6" customHeight="1">
      <c r="A68" s="37"/>
      <c r="B68" s="279" t="s">
        <v>61</v>
      </c>
      <c r="C68" s="279"/>
      <c r="D68" s="4">
        <v>3330</v>
      </c>
      <c r="E68" s="4">
        <f>[2]제2안검토!K9</f>
        <v>23200</v>
      </c>
      <c r="F68" s="13">
        <f>E68/24/60/60</f>
        <v>0.26851851851851849</v>
      </c>
      <c r="G68" s="4">
        <v>800</v>
      </c>
      <c r="H68" s="4">
        <v>110</v>
      </c>
      <c r="I68" s="14">
        <f>10.666*H68^(-1.85)*(G68/1000)^(-4.87)*F68^1.85</f>
        <v>4.6449305362546573E-4</v>
      </c>
      <c r="J68" s="15">
        <f>0.35464*H68*(G68/1000)^(0.63)*I68^(0.54)</f>
        <v>0.5373977898799176</v>
      </c>
      <c r="K68" s="16">
        <f>I68*D68</f>
        <v>1.5467618685728008</v>
      </c>
      <c r="L68" s="17">
        <f>O68+Q68</f>
        <v>90.7</v>
      </c>
      <c r="M68" s="17">
        <f>L68-K68</f>
        <v>89.153238131427202</v>
      </c>
      <c r="N68" s="17">
        <v>44.5</v>
      </c>
      <c r="O68" s="18">
        <f>N68-3.8</f>
        <v>40.700000000000003</v>
      </c>
      <c r="P68" s="19" t="s">
        <v>38</v>
      </c>
      <c r="Q68" s="20">
        <v>50</v>
      </c>
    </row>
    <row r="69" spans="1:17" ht="6.75" customHeight="1">
      <c r="A69" s="37"/>
      <c r="B69" s="27"/>
      <c r="C69" s="27"/>
      <c r="D69" s="5"/>
      <c r="E69" s="5"/>
      <c r="F69" s="28"/>
      <c r="G69" s="5"/>
      <c r="H69" s="5"/>
      <c r="I69" s="29"/>
      <c r="J69" s="30"/>
      <c r="K69" s="31"/>
      <c r="L69" s="23"/>
      <c r="M69" s="23"/>
      <c r="N69" s="23"/>
      <c r="O69" s="32"/>
      <c r="P69" s="22"/>
      <c r="Q69" s="24"/>
    </row>
    <row r="70" spans="1:17" ht="10.5" customHeight="1" thickBot="1">
      <c r="A70" s="41"/>
      <c r="B70" s="44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</row>
    <row r="71" spans="1:17" ht="18" customHeight="1">
      <c r="A71" s="33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1:17" ht="18" customHeight="1">
      <c r="A72" s="37"/>
      <c r="B72" s="48" t="s">
        <v>74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 ht="18" customHeight="1">
      <c r="A73" s="37"/>
      <c r="B73" s="22"/>
      <c r="C73" s="22"/>
      <c r="D73" s="21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 ht="18" customHeight="1">
      <c r="A74" s="37"/>
      <c r="B74" s="22"/>
      <c r="C74" s="22"/>
      <c r="D74" s="21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ht="18" customHeight="1">
      <c r="A75" s="37"/>
      <c r="B75" s="22"/>
      <c r="C75" s="22"/>
      <c r="D75" s="21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ht="18" customHeight="1">
      <c r="A76" s="37"/>
      <c r="B76" s="22"/>
      <c r="C76" s="22"/>
      <c r="D76" s="22"/>
      <c r="E76" s="22"/>
      <c r="F76" s="22"/>
      <c r="G76" s="22"/>
      <c r="H76" s="22"/>
      <c r="I76" s="21"/>
      <c r="J76" s="22"/>
      <c r="K76" s="22"/>
      <c r="N76" s="22"/>
      <c r="O76" s="22"/>
      <c r="P76" s="22"/>
      <c r="Q76" s="22"/>
    </row>
    <row r="77" spans="1:17" ht="18" customHeight="1">
      <c r="A77" s="37"/>
      <c r="B77" s="22"/>
      <c r="C77" s="22"/>
      <c r="D77" s="22"/>
    </row>
    <row r="78" spans="1:17" ht="18" customHeight="1">
      <c r="A78" s="37"/>
      <c r="B78" s="22"/>
      <c r="C78" s="22"/>
      <c r="D78" s="21"/>
    </row>
    <row r="79" spans="1:17" ht="18" customHeight="1">
      <c r="A79" s="37"/>
      <c r="B79" s="22"/>
      <c r="C79" s="22"/>
      <c r="D79" s="21"/>
      <c r="H79" s="2" t="s">
        <v>93</v>
      </c>
      <c r="N79" s="2" t="s">
        <v>93</v>
      </c>
    </row>
    <row r="80" spans="1:17" ht="15" customHeight="1">
      <c r="A80" s="37"/>
      <c r="B80" s="48"/>
      <c r="C80" s="22"/>
      <c r="D80" s="21"/>
      <c r="E80" s="22"/>
      <c r="F80" s="21" t="s">
        <v>77</v>
      </c>
      <c r="G80" s="21" t="s">
        <v>78</v>
      </c>
      <c r="H80" s="21" t="s">
        <v>79</v>
      </c>
      <c r="I80" s="21" t="s">
        <v>83</v>
      </c>
      <c r="J80" s="21"/>
      <c r="K80" s="22"/>
      <c r="L80" s="22"/>
      <c r="N80" s="21" t="s">
        <v>84</v>
      </c>
      <c r="O80" s="22"/>
      <c r="P80" s="22"/>
      <c r="Q80" s="22"/>
    </row>
    <row r="81" spans="1:17" ht="18" customHeight="1">
      <c r="A81" s="37"/>
      <c r="B81" s="22"/>
      <c r="C81" s="22"/>
      <c r="D81" s="22"/>
      <c r="E81" s="21"/>
      <c r="F81" s="21" t="str">
        <f>"D="&amp;G104&amp;"mm"</f>
        <v>D=1000mm</v>
      </c>
      <c r="G81" s="21" t="str">
        <f>"D="&amp;G105&amp;"mm"</f>
        <v>D=800mm</v>
      </c>
      <c r="H81" s="21" t="str">
        <f>"D="&amp;G106&amp;"mm"</f>
        <v>D=700mm</v>
      </c>
      <c r="I81" s="21" t="str">
        <f>"D="&amp;G107&amp;"mm"</f>
        <v>D=800mm</v>
      </c>
      <c r="J81" s="30"/>
      <c r="K81" s="22"/>
      <c r="L81" s="22"/>
      <c r="N81" s="21" t="str">
        <f>"D="&amp;G109&amp;"mm"</f>
        <v>D=700mm</v>
      </c>
      <c r="O81" s="32"/>
      <c r="P81" s="22"/>
      <c r="Q81" s="24"/>
    </row>
    <row r="82" spans="1:17" ht="18" customHeight="1">
      <c r="A82" s="37"/>
      <c r="B82" s="22"/>
      <c r="C82" s="22"/>
      <c r="D82" s="21"/>
      <c r="E82" s="21" t="s">
        <v>76</v>
      </c>
      <c r="F82" s="21" t="str">
        <f>"L="&amp;D104&amp;"m"</f>
        <v>L=1910m</v>
      </c>
      <c r="G82" s="21" t="str">
        <f>"L="&amp;D105&amp;"m"</f>
        <v>L=4590m</v>
      </c>
      <c r="H82" s="21" t="str">
        <f>"L="&amp;D106&amp;"m"</f>
        <v>L=2074m</v>
      </c>
      <c r="I82" s="21" t="str">
        <f>"L="&amp;D107&amp;"m"</f>
        <v>L=678m</v>
      </c>
      <c r="J82" s="22"/>
      <c r="K82" s="22"/>
      <c r="L82" s="27" t="str">
        <f>"   펌프양정="&amp;Q108&amp;"m"</f>
        <v xml:space="preserve">   펌프양정=40m</v>
      </c>
      <c r="M82" s="27"/>
      <c r="N82" s="21" t="str">
        <f>"L="&amp;D109&amp;"m"</f>
        <v>L=2300m</v>
      </c>
      <c r="O82" s="22"/>
      <c r="P82" s="22"/>
      <c r="Q82" s="22"/>
    </row>
    <row r="83" spans="1:17" ht="15" customHeight="1">
      <c r="A83" s="37"/>
      <c r="B83" s="22"/>
      <c r="C83" s="22"/>
      <c r="D83" s="21"/>
      <c r="E83" s="21" t="str">
        <f>"D="&amp;G103&amp;"mm"</f>
        <v>D=1100mm</v>
      </c>
      <c r="G83" s="21"/>
      <c r="H83" s="21"/>
      <c r="I83" s="21"/>
      <c r="J83" s="21"/>
      <c r="K83" s="22"/>
      <c r="L83" s="21"/>
      <c r="M83" s="22"/>
      <c r="N83" s="22"/>
      <c r="O83" s="22"/>
      <c r="P83" s="21"/>
      <c r="Q83" s="22"/>
    </row>
    <row r="84" spans="1:17" ht="15" customHeight="1">
      <c r="A84" s="37"/>
      <c r="B84" s="22"/>
      <c r="C84" s="22"/>
      <c r="D84" s="21"/>
      <c r="E84" s="21" t="str">
        <f>"L="&amp;D103&amp;"m"</f>
        <v>L=131m</v>
      </c>
      <c r="G84" s="21"/>
      <c r="H84" s="21"/>
      <c r="I84" s="21"/>
      <c r="J84" s="21"/>
      <c r="K84" s="22"/>
      <c r="L84" s="21"/>
      <c r="M84" s="22"/>
      <c r="N84" s="22"/>
      <c r="O84" s="22"/>
      <c r="P84" s="21"/>
      <c r="Q84" s="22"/>
    </row>
    <row r="85" spans="1:17" ht="15" customHeight="1">
      <c r="A85" s="37"/>
      <c r="B85" s="22"/>
      <c r="C85" s="22" t="str">
        <f>"                            펌프양정="&amp;Q101&amp;"m"</f>
        <v xml:space="preserve">                            펌프양정=24m</v>
      </c>
      <c r="D85" s="22"/>
      <c r="E85" s="22"/>
      <c r="F85" s="22"/>
      <c r="G85" s="21"/>
      <c r="H85" s="22"/>
      <c r="I85" s="21"/>
      <c r="J85" s="21"/>
      <c r="K85" s="22"/>
      <c r="L85" s="22"/>
      <c r="M85" s="22"/>
      <c r="N85" s="22"/>
      <c r="O85" s="21"/>
      <c r="P85" s="22"/>
      <c r="Q85" s="22"/>
    </row>
    <row r="86" spans="1:17" ht="18" customHeight="1">
      <c r="A86" s="37"/>
      <c r="B86" s="22"/>
      <c r="C86" s="22"/>
      <c r="D86" s="21" t="s">
        <v>69</v>
      </c>
      <c r="E86" s="21" t="s">
        <v>70</v>
      </c>
      <c r="F86" s="21" t="s">
        <v>71</v>
      </c>
      <c r="G86" s="21"/>
      <c r="H86" s="21"/>
      <c r="I86" s="22"/>
      <c r="J86" s="21"/>
      <c r="K86" s="21"/>
      <c r="L86" s="22"/>
      <c r="M86" s="22"/>
      <c r="N86" s="22"/>
      <c r="O86" s="22"/>
      <c r="P86" s="22"/>
      <c r="Q86" s="22"/>
    </row>
    <row r="87" spans="1:17" ht="18" customHeight="1">
      <c r="A87" s="37"/>
      <c r="B87" s="22"/>
      <c r="C87" s="22"/>
      <c r="D87" s="21" t="str">
        <f>"D="&amp;G101&amp;"mm"</f>
        <v>D=800mm</v>
      </c>
      <c r="E87" s="21" t="str">
        <f>"D="&amp;G102&amp;"mm"</f>
        <v>D=1100mm</v>
      </c>
      <c r="F87" s="21" t="str">
        <f>"D="&amp;G110&amp;"mm"</f>
        <v>D=1100mm</v>
      </c>
      <c r="G87" s="21"/>
      <c r="H87" s="21"/>
      <c r="I87" s="21"/>
      <c r="J87" s="22"/>
      <c r="K87" s="21"/>
      <c r="L87" s="22"/>
      <c r="M87" s="22"/>
      <c r="N87" s="22"/>
      <c r="O87" s="22"/>
      <c r="P87" s="22"/>
      <c r="Q87" s="22"/>
    </row>
    <row r="88" spans="1:17" ht="15" customHeight="1">
      <c r="A88" s="37"/>
      <c r="B88" s="22"/>
      <c r="C88" s="22"/>
      <c r="D88" s="21" t="str">
        <f>"L="&amp;D101&amp;"m"</f>
        <v>L=8m</v>
      </c>
      <c r="E88" s="21" t="str">
        <f>"L="&amp;D102&amp;"m"</f>
        <v>L=1669m</v>
      </c>
      <c r="F88" s="21" t="str">
        <f>"L="&amp;D110&amp;"m"</f>
        <v>L=3396m</v>
      </c>
      <c r="G88" s="22"/>
      <c r="H88" s="21"/>
      <c r="I88" s="22"/>
      <c r="J88" s="22"/>
      <c r="K88" s="21"/>
      <c r="L88" s="22"/>
      <c r="M88" s="22"/>
      <c r="N88" s="22"/>
      <c r="O88" s="22"/>
      <c r="P88" s="22"/>
      <c r="Q88" s="22"/>
    </row>
    <row r="89" spans="1:17" ht="15" customHeight="1">
      <c r="A89" s="37"/>
      <c r="B89" s="22"/>
      <c r="C89" s="22"/>
      <c r="D89" s="22"/>
      <c r="E89" s="22"/>
      <c r="F89" s="22"/>
      <c r="G89" s="21"/>
      <c r="H89" s="21"/>
      <c r="I89" s="21"/>
      <c r="J89" s="22"/>
      <c r="K89" s="21"/>
      <c r="L89" s="22"/>
      <c r="M89" s="22"/>
      <c r="N89" s="22"/>
      <c r="O89" s="22"/>
      <c r="P89" s="22"/>
      <c r="Q89" s="22"/>
    </row>
    <row r="90" spans="1:17" ht="15" customHeight="1">
      <c r="A90" s="37"/>
      <c r="B90" s="22"/>
      <c r="C90" s="22"/>
      <c r="D90" s="22"/>
      <c r="E90" s="22"/>
      <c r="F90" s="22"/>
      <c r="G90" s="21"/>
      <c r="H90" s="21"/>
      <c r="I90" s="21"/>
      <c r="J90" s="22"/>
      <c r="K90" s="22"/>
      <c r="L90" s="22"/>
      <c r="M90" s="22"/>
      <c r="N90" s="22"/>
      <c r="O90" s="22"/>
      <c r="P90" s="22"/>
      <c r="Q90" s="22"/>
    </row>
    <row r="91" spans="1:17" ht="15" customHeight="1">
      <c r="A91" s="37"/>
      <c r="B91" s="22"/>
      <c r="C91" s="22"/>
      <c r="D91" s="22"/>
      <c r="E91" s="22"/>
      <c r="F91" s="22"/>
      <c r="G91" s="22"/>
      <c r="H91" s="22"/>
      <c r="I91" s="22"/>
      <c r="J91" s="21"/>
      <c r="K91" s="22"/>
      <c r="L91" s="22"/>
      <c r="M91" s="22"/>
      <c r="N91" s="21"/>
      <c r="O91" s="22"/>
      <c r="P91" s="22"/>
      <c r="Q91" s="22"/>
    </row>
    <row r="92" spans="1:17" ht="15" customHeight="1">
      <c r="A92" s="37"/>
      <c r="B92" s="22"/>
      <c r="C92" s="22"/>
      <c r="D92" s="22"/>
      <c r="E92" s="22"/>
      <c r="F92" s="22"/>
      <c r="G92" s="22"/>
      <c r="H92" s="22"/>
      <c r="I92" s="22"/>
      <c r="J92" s="21"/>
      <c r="K92" s="22"/>
      <c r="L92" s="22"/>
      <c r="M92" s="22"/>
      <c r="N92" s="21"/>
      <c r="O92" s="22"/>
      <c r="P92" s="22"/>
      <c r="Q92" s="22"/>
    </row>
    <row r="93" spans="1:17" ht="18" customHeight="1">
      <c r="A93" s="37"/>
      <c r="B93" s="22"/>
      <c r="C93" s="22"/>
      <c r="D93" s="22"/>
      <c r="E93" s="22"/>
      <c r="F93" s="22"/>
      <c r="G93" s="21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ht="18" customHeight="1">
      <c r="A94" s="37"/>
      <c r="B94" s="22"/>
      <c r="C94" s="22"/>
      <c r="D94" s="22"/>
      <c r="E94" s="22"/>
      <c r="F94" s="22"/>
      <c r="G94" s="21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ht="18" customHeight="1">
      <c r="A95" s="37"/>
      <c r="B95" s="22"/>
      <c r="C95" s="22"/>
      <c r="D95" s="22"/>
      <c r="E95" s="22"/>
      <c r="F95" s="22"/>
      <c r="G95" s="21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ht="18" customHeight="1">
      <c r="A96" s="37"/>
      <c r="B96" s="22"/>
      <c r="C96" s="22"/>
      <c r="D96" s="22"/>
      <c r="E96" s="22"/>
      <c r="F96" s="22"/>
      <c r="G96" s="21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 ht="21" customHeight="1">
      <c r="A97" s="37"/>
      <c r="B97" s="22"/>
      <c r="C97" s="22"/>
      <c r="D97" s="22"/>
      <c r="E97" s="22"/>
      <c r="F97" s="22"/>
      <c r="G97" s="21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 ht="15" customHeight="1">
      <c r="A98" s="37"/>
      <c r="B98" s="22" t="s">
        <v>49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ht="15" customHeight="1">
      <c r="A99" s="37"/>
      <c r="B99" s="264" t="s">
        <v>25</v>
      </c>
      <c r="C99" s="265"/>
      <c r="D99" s="271" t="s">
        <v>26</v>
      </c>
      <c r="E99" s="273" t="s">
        <v>22</v>
      </c>
      <c r="F99" s="274"/>
      <c r="G99" s="271" t="s">
        <v>0</v>
      </c>
      <c r="H99" s="271" t="s">
        <v>27</v>
      </c>
      <c r="I99" s="271" t="s">
        <v>28</v>
      </c>
      <c r="J99" s="271" t="s">
        <v>29</v>
      </c>
      <c r="K99" s="271" t="s">
        <v>30</v>
      </c>
      <c r="L99" s="280" t="s">
        <v>31</v>
      </c>
      <c r="M99" s="280"/>
      <c r="N99" s="280" t="s">
        <v>32</v>
      </c>
      <c r="O99" s="280"/>
      <c r="P99" s="264" t="s">
        <v>33</v>
      </c>
      <c r="Q99" s="265"/>
    </row>
    <row r="100" spans="1:17" ht="15" customHeight="1">
      <c r="A100" s="37"/>
      <c r="B100" s="266"/>
      <c r="C100" s="267"/>
      <c r="D100" s="272"/>
      <c r="E100" s="6" t="s">
        <v>4</v>
      </c>
      <c r="F100" s="6" t="s">
        <v>5</v>
      </c>
      <c r="G100" s="272"/>
      <c r="H100" s="272"/>
      <c r="I100" s="272"/>
      <c r="J100" s="272"/>
      <c r="K100" s="272"/>
      <c r="L100" s="6" t="s">
        <v>34</v>
      </c>
      <c r="M100" s="6" t="s">
        <v>35</v>
      </c>
      <c r="N100" s="6" t="s">
        <v>36</v>
      </c>
      <c r="O100" s="6" t="s">
        <v>37</v>
      </c>
      <c r="P100" s="266"/>
      <c r="Q100" s="267"/>
    </row>
    <row r="101" spans="1:17" ht="15" customHeight="1">
      <c r="A101" s="37"/>
      <c r="B101" s="268" t="s">
        <v>80</v>
      </c>
      <c r="C101" s="269"/>
      <c r="D101" s="4">
        <v>8</v>
      </c>
      <c r="E101" s="4">
        <f>E109+E110</f>
        <v>89600</v>
      </c>
      <c r="F101" s="13">
        <f t="shared" ref="F101:F107" si="0">E101/24/60/60</f>
        <v>1.037037037037037</v>
      </c>
      <c r="G101" s="4">
        <v>800</v>
      </c>
      <c r="H101" s="51">
        <f t="shared" ref="H101:H110" si="1">IF(G101&lt;=600,100,IF(G101&gt;=1000,120,110))</f>
        <v>110</v>
      </c>
      <c r="I101" s="14">
        <f t="shared" ref="I101:I107" si="2">10.666*H101^(-1.85)*(G101/1000)^(-4.87)*F101^1.85</f>
        <v>5.6571314402241923E-3</v>
      </c>
      <c r="J101" s="15">
        <f t="shared" ref="J101:J107" si="3">0.35464*H101*(G101/1000)^(0.63)*I101^(0.54)</f>
        <v>2.072664842457995</v>
      </c>
      <c r="K101" s="16">
        <f t="shared" ref="K101:K107" si="4">I101*D101</f>
        <v>4.5257051521793538E-2</v>
      </c>
      <c r="L101" s="17">
        <f>O101+Q101</f>
        <v>106.7</v>
      </c>
      <c r="M101" s="17">
        <f t="shared" ref="M101:M107" si="5">L101-K101</f>
        <v>106.65474294847822</v>
      </c>
      <c r="N101" s="17">
        <f>O101+4</f>
        <v>86.7</v>
      </c>
      <c r="O101" s="18">
        <v>82.7</v>
      </c>
      <c r="P101" s="19" t="s">
        <v>38</v>
      </c>
      <c r="Q101" s="20">
        <v>24</v>
      </c>
    </row>
    <row r="102" spans="1:17" ht="15" customHeight="1">
      <c r="A102" s="37"/>
      <c r="B102" s="268" t="s">
        <v>81</v>
      </c>
      <c r="C102" s="269"/>
      <c r="D102" s="4">
        <v>1669</v>
      </c>
      <c r="E102" s="4">
        <f>E101</f>
        <v>89600</v>
      </c>
      <c r="F102" s="13">
        <f t="shared" si="0"/>
        <v>1.037037037037037</v>
      </c>
      <c r="G102" s="4">
        <v>1100</v>
      </c>
      <c r="H102" s="51">
        <f t="shared" si="1"/>
        <v>120</v>
      </c>
      <c r="I102" s="14">
        <f t="shared" si="2"/>
        <v>1.0212999055102495E-3</v>
      </c>
      <c r="J102" s="15">
        <f t="shared" si="3"/>
        <v>1.0964507615142747</v>
      </c>
      <c r="K102" s="16">
        <f t="shared" si="4"/>
        <v>1.7045495422966064</v>
      </c>
      <c r="L102" s="17">
        <f t="shared" ref="L102:L107" si="6">M101</f>
        <v>106.65474294847822</v>
      </c>
      <c r="M102" s="17">
        <f t="shared" si="5"/>
        <v>104.95019340618161</v>
      </c>
      <c r="N102" s="17"/>
      <c r="O102" s="18"/>
      <c r="P102" s="19"/>
      <c r="Q102" s="20"/>
    </row>
    <row r="103" spans="1:17" ht="15" customHeight="1">
      <c r="A103" s="37"/>
      <c r="B103" s="268" t="s">
        <v>82</v>
      </c>
      <c r="C103" s="269"/>
      <c r="D103" s="4">
        <v>131</v>
      </c>
      <c r="E103" s="4">
        <f>E102-E110</f>
        <v>34400</v>
      </c>
      <c r="F103" s="13">
        <f t="shared" si="0"/>
        <v>0.39814814814814814</v>
      </c>
      <c r="G103" s="4">
        <v>1100</v>
      </c>
      <c r="H103" s="51">
        <f t="shared" si="1"/>
        <v>120</v>
      </c>
      <c r="I103" s="14">
        <f t="shared" si="2"/>
        <v>1.7378672242545078E-4</v>
      </c>
      <c r="J103" s="15">
        <f t="shared" si="3"/>
        <v>0.42136195077021865</v>
      </c>
      <c r="K103" s="16">
        <f t="shared" si="4"/>
        <v>2.2766060637734051E-2</v>
      </c>
      <c r="L103" s="17">
        <f t="shared" si="6"/>
        <v>104.95019340618161</v>
      </c>
      <c r="M103" s="17">
        <f t="shared" si="5"/>
        <v>104.92742734554388</v>
      </c>
      <c r="N103" s="17"/>
      <c r="O103" s="18"/>
      <c r="P103" s="19"/>
      <c r="Q103" s="20"/>
    </row>
    <row r="104" spans="1:17" ht="15" customHeight="1">
      <c r="A104" s="37"/>
      <c r="B104" s="268" t="s">
        <v>86</v>
      </c>
      <c r="C104" s="269"/>
      <c r="D104" s="4">
        <v>1910</v>
      </c>
      <c r="E104" s="4">
        <f>E103</f>
        <v>34400</v>
      </c>
      <c r="F104" s="13">
        <f t="shared" si="0"/>
        <v>0.39814814814814814</v>
      </c>
      <c r="G104" s="4">
        <v>1000</v>
      </c>
      <c r="H104" s="51">
        <f t="shared" si="1"/>
        <v>120</v>
      </c>
      <c r="I104" s="14">
        <f t="shared" si="2"/>
        <v>2.7643878107533592E-4</v>
      </c>
      <c r="J104" s="15">
        <f t="shared" si="3"/>
        <v>0.5098382417844376</v>
      </c>
      <c r="K104" s="16">
        <f t="shared" si="4"/>
        <v>0.52799807185389158</v>
      </c>
      <c r="L104" s="17">
        <f t="shared" si="6"/>
        <v>104.92742734554388</v>
      </c>
      <c r="M104" s="17">
        <f t="shared" si="5"/>
        <v>104.39942927368999</v>
      </c>
      <c r="N104" s="17"/>
      <c r="O104" s="18"/>
      <c r="P104" s="19"/>
      <c r="Q104" s="20"/>
    </row>
    <row r="105" spans="1:17" ht="15" customHeight="1">
      <c r="A105" s="37"/>
      <c r="B105" s="268" t="s">
        <v>89</v>
      </c>
      <c r="C105" s="269"/>
      <c r="D105" s="4">
        <v>4590</v>
      </c>
      <c r="E105" s="4">
        <f>E104</f>
        <v>34400</v>
      </c>
      <c r="F105" s="13">
        <f t="shared" si="0"/>
        <v>0.39814814814814814</v>
      </c>
      <c r="G105" s="4">
        <v>800</v>
      </c>
      <c r="H105" s="51">
        <f t="shared" si="1"/>
        <v>110</v>
      </c>
      <c r="I105" s="14">
        <f t="shared" si="2"/>
        <v>9.6263039487441335E-4</v>
      </c>
      <c r="J105" s="15">
        <f t="shared" si="3"/>
        <v>0.79651739226739471</v>
      </c>
      <c r="K105" s="16">
        <f t="shared" si="4"/>
        <v>4.4184735124735575</v>
      </c>
      <c r="L105" s="17">
        <f t="shared" si="6"/>
        <v>104.39942927368999</v>
      </c>
      <c r="M105" s="17">
        <f t="shared" si="5"/>
        <v>99.980955761216435</v>
      </c>
      <c r="N105" s="17"/>
      <c r="O105" s="18"/>
      <c r="P105" s="19"/>
      <c r="Q105" s="20"/>
    </row>
    <row r="106" spans="1:17" ht="15" customHeight="1">
      <c r="A106" s="37"/>
      <c r="B106" s="268" t="s">
        <v>90</v>
      </c>
      <c r="C106" s="269"/>
      <c r="D106" s="4">
        <v>2074</v>
      </c>
      <c r="E106" s="4">
        <f>E105</f>
        <v>34400</v>
      </c>
      <c r="F106" s="13">
        <f t="shared" si="0"/>
        <v>0.39814814814814814</v>
      </c>
      <c r="G106" s="4">
        <v>700</v>
      </c>
      <c r="H106" s="51">
        <f t="shared" si="1"/>
        <v>110</v>
      </c>
      <c r="I106" s="14">
        <f t="shared" si="2"/>
        <v>1.8445071884453258E-3</v>
      </c>
      <c r="J106" s="15">
        <f t="shared" si="3"/>
        <v>1.0403214635573714</v>
      </c>
      <c r="K106" s="16">
        <f t="shared" si="4"/>
        <v>3.8255079088356054</v>
      </c>
      <c r="L106" s="17">
        <f t="shared" si="6"/>
        <v>99.980955761216435</v>
      </c>
      <c r="M106" s="17">
        <f t="shared" si="5"/>
        <v>96.155447852380831</v>
      </c>
      <c r="N106" s="17"/>
      <c r="O106" s="18"/>
      <c r="P106" s="19"/>
      <c r="Q106" s="20"/>
    </row>
    <row r="107" spans="1:17" ht="15" customHeight="1">
      <c r="A107" s="37"/>
      <c r="B107" s="268" t="s">
        <v>87</v>
      </c>
      <c r="C107" s="269"/>
      <c r="D107" s="4">
        <v>678</v>
      </c>
      <c r="E107" s="4">
        <f>E106</f>
        <v>34400</v>
      </c>
      <c r="F107" s="13">
        <f t="shared" si="0"/>
        <v>0.39814814814814814</v>
      </c>
      <c r="G107" s="4">
        <v>800</v>
      </c>
      <c r="H107" s="51">
        <f t="shared" si="1"/>
        <v>110</v>
      </c>
      <c r="I107" s="14">
        <f t="shared" si="2"/>
        <v>9.6263039487441335E-4</v>
      </c>
      <c r="J107" s="15">
        <f t="shared" si="3"/>
        <v>0.79651739226739471</v>
      </c>
      <c r="K107" s="16">
        <f t="shared" si="4"/>
        <v>0.65266340772485221</v>
      </c>
      <c r="L107" s="17">
        <f t="shared" si="6"/>
        <v>96.155447852380831</v>
      </c>
      <c r="M107" s="17">
        <f t="shared" si="5"/>
        <v>95.502784444655973</v>
      </c>
      <c r="N107" s="17"/>
      <c r="O107" s="18"/>
      <c r="P107" s="19"/>
      <c r="Q107" s="20"/>
    </row>
    <row r="108" spans="1:17" ht="15" customHeight="1">
      <c r="A108" s="37"/>
      <c r="B108" s="288" t="s">
        <v>73</v>
      </c>
      <c r="C108" s="289"/>
      <c r="D108" s="4"/>
      <c r="E108" s="4"/>
      <c r="F108" s="13"/>
      <c r="G108" s="4"/>
      <c r="H108" s="4"/>
      <c r="I108" s="14"/>
      <c r="J108" s="15"/>
      <c r="K108" s="16"/>
      <c r="L108" s="17"/>
      <c r="M108" s="17"/>
      <c r="N108" s="17">
        <v>75.3</v>
      </c>
      <c r="O108" s="18">
        <f>N108-4</f>
        <v>71.3</v>
      </c>
      <c r="P108" s="19" t="s">
        <v>38</v>
      </c>
      <c r="Q108" s="20">
        <v>40</v>
      </c>
    </row>
    <row r="109" spans="1:17" ht="15" customHeight="1">
      <c r="A109" s="37"/>
      <c r="B109" s="268" t="s">
        <v>88</v>
      </c>
      <c r="C109" s="269"/>
      <c r="D109" s="4">
        <v>2300</v>
      </c>
      <c r="E109" s="4">
        <v>34400</v>
      </c>
      <c r="F109" s="13">
        <f>E109/24/60/60</f>
        <v>0.39814814814814814</v>
      </c>
      <c r="G109" s="4">
        <v>700</v>
      </c>
      <c r="H109" s="51">
        <f t="shared" si="1"/>
        <v>110</v>
      </c>
      <c r="I109" s="14">
        <f>10.666*H109^(-1.85)*(G109/1000)^(-4.87)*F109^1.85</f>
        <v>1.8445071884453258E-3</v>
      </c>
      <c r="J109" s="15">
        <f>0.35464*H109*(G109/1000)^(0.63)*I109^(0.54)</f>
        <v>1.0403214635573714</v>
      </c>
      <c r="K109" s="16">
        <f>I109*D109</f>
        <v>4.2423665334242493</v>
      </c>
      <c r="L109" s="17">
        <f>O108+Q108</f>
        <v>111.3</v>
      </c>
      <c r="M109" s="17">
        <f>L109-K109</f>
        <v>107.05763346657575</v>
      </c>
      <c r="N109" s="17">
        <v>104</v>
      </c>
      <c r="O109" s="18">
        <v>100</v>
      </c>
      <c r="P109" s="19" t="s">
        <v>92</v>
      </c>
      <c r="Q109" s="20">
        <f>M109-N109</f>
        <v>3.0576334665757514</v>
      </c>
    </row>
    <row r="110" spans="1:17" ht="15" customHeight="1">
      <c r="A110" s="37"/>
      <c r="B110" s="268" t="s">
        <v>85</v>
      </c>
      <c r="C110" s="269"/>
      <c r="D110" s="4">
        <v>3396</v>
      </c>
      <c r="E110" s="4">
        <v>55200</v>
      </c>
      <c r="F110" s="13">
        <f>E110/24/60/60</f>
        <v>0.63888888888888895</v>
      </c>
      <c r="G110" s="4">
        <v>1100</v>
      </c>
      <c r="H110" s="51">
        <f t="shared" si="1"/>
        <v>120</v>
      </c>
      <c r="I110" s="14">
        <f>10.666*H110^(-1.85)*(G110/1000)^(-4.87)*F110^1.85</f>
        <v>4.1684132494877664E-4</v>
      </c>
      <c r="J110" s="15">
        <f>0.35464*H110*(G110/1000)^(0.63)*I110^(0.54)</f>
        <v>0.6758192694267543</v>
      </c>
      <c r="K110" s="16">
        <f>I110*D110</f>
        <v>1.4155931395260455</v>
      </c>
      <c r="L110" s="17">
        <f>M102</f>
        <v>104.95019340618161</v>
      </c>
      <c r="M110" s="17">
        <f>L110-K110</f>
        <v>103.53460026665556</v>
      </c>
      <c r="N110" s="17">
        <v>95</v>
      </c>
      <c r="O110" s="18">
        <v>90</v>
      </c>
      <c r="P110" s="19" t="s">
        <v>91</v>
      </c>
      <c r="Q110" s="20">
        <f>M110-N110</f>
        <v>8.5346002666555592</v>
      </c>
    </row>
    <row r="111" spans="1:17" ht="15" customHeight="1">
      <c r="A111" s="37"/>
      <c r="B111" s="27"/>
      <c r="C111" s="27"/>
      <c r="D111" s="5"/>
      <c r="E111" s="5"/>
      <c r="F111" s="28"/>
      <c r="G111" s="5"/>
      <c r="H111" s="5"/>
      <c r="I111" s="29"/>
      <c r="J111" s="30"/>
      <c r="K111" s="31"/>
      <c r="L111" s="23"/>
      <c r="M111" s="23"/>
      <c r="N111" s="23"/>
      <c r="O111" s="32"/>
      <c r="P111" s="22"/>
      <c r="Q111" s="24"/>
    </row>
    <row r="112" spans="1:17" ht="15" customHeight="1">
      <c r="A112" s="37"/>
      <c r="B112" s="27"/>
      <c r="C112" s="27"/>
      <c r="D112" s="5"/>
      <c r="E112" s="5"/>
      <c r="F112" s="28"/>
      <c r="G112" s="5"/>
      <c r="H112" s="5"/>
      <c r="I112" s="29"/>
      <c r="J112" s="30"/>
      <c r="K112" s="31"/>
      <c r="L112" s="23"/>
      <c r="M112" s="23"/>
      <c r="N112" s="23"/>
      <c r="O112" s="32"/>
      <c r="P112" s="22"/>
      <c r="Q112" s="24"/>
    </row>
    <row r="113" spans="1:17" ht="15" customHeight="1">
      <c r="A113" s="37"/>
      <c r="B113" s="27"/>
      <c r="C113" s="27"/>
      <c r="D113" s="5"/>
      <c r="E113" s="5"/>
      <c r="F113" s="28"/>
      <c r="G113" s="5"/>
      <c r="H113" s="5"/>
      <c r="I113" s="29"/>
      <c r="J113" s="30"/>
      <c r="K113" s="31"/>
      <c r="L113" s="23"/>
      <c r="M113" s="23"/>
      <c r="N113" s="23"/>
      <c r="O113" s="32"/>
      <c r="P113" s="22"/>
      <c r="Q113" s="24"/>
    </row>
    <row r="114" spans="1:17" ht="18" customHeight="1" thickBot="1">
      <c r="A114" s="41"/>
      <c r="B114" s="42"/>
      <c r="C114" s="42"/>
      <c r="D114" s="45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</row>
    <row r="115" spans="1:17" ht="18" customHeight="1">
      <c r="A115" s="33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1:17" ht="18" customHeight="1">
      <c r="A116" s="37"/>
      <c r="B116" s="48" t="s">
        <v>75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 ht="18" customHeight="1">
      <c r="A117" s="37"/>
      <c r="B117" s="22"/>
      <c r="C117" s="22"/>
      <c r="D117" s="21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 ht="18" customHeight="1">
      <c r="A118" s="37"/>
      <c r="B118" s="22"/>
      <c r="C118" s="22"/>
      <c r="D118" s="21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 ht="18" customHeight="1">
      <c r="A119" s="37"/>
      <c r="B119" s="22"/>
      <c r="C119" s="22"/>
      <c r="D119" s="21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 ht="18" customHeight="1">
      <c r="A120" s="37"/>
      <c r="B120" s="22"/>
      <c r="C120" s="22"/>
      <c r="D120" s="21"/>
      <c r="E120" s="22"/>
      <c r="F120" s="22"/>
      <c r="G120" s="22"/>
      <c r="H120" s="21" t="s">
        <v>93</v>
      </c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 ht="18" customHeight="1">
      <c r="A121" s="37"/>
      <c r="B121" s="22"/>
      <c r="C121" s="22"/>
      <c r="D121" s="22"/>
      <c r="E121" s="21" t="s">
        <v>79</v>
      </c>
      <c r="F121" s="21" t="s">
        <v>83</v>
      </c>
      <c r="H121" s="21" t="s">
        <v>84</v>
      </c>
      <c r="I121" s="22"/>
      <c r="J121" s="22"/>
      <c r="K121" s="22"/>
      <c r="L121" s="22"/>
      <c r="O121" s="22"/>
      <c r="P121" s="22"/>
      <c r="Q121" s="22"/>
    </row>
    <row r="122" spans="1:17" ht="18" customHeight="1">
      <c r="A122" s="37"/>
      <c r="B122" s="22"/>
      <c r="C122" s="22"/>
      <c r="D122" s="21" t="s">
        <v>78</v>
      </c>
      <c r="E122" s="21" t="str">
        <f>"D="&amp;G153&amp;"mm"</f>
        <v>D=1000mm</v>
      </c>
      <c r="F122" s="21" t="str">
        <f>"D="&amp;G154&amp;"mm"</f>
        <v>D=800mm</v>
      </c>
      <c r="H122" s="21" t="str">
        <f>"D="&amp;G155&amp;"mm"</f>
        <v>D=700mm</v>
      </c>
      <c r="I122" s="32"/>
      <c r="J122" s="22"/>
      <c r="K122" s="24"/>
      <c r="L122" s="24"/>
      <c r="O122" s="22"/>
      <c r="P122" s="22"/>
      <c r="Q122" s="22"/>
    </row>
    <row r="123" spans="1:17" ht="18" customHeight="1">
      <c r="A123" s="37"/>
      <c r="B123" s="22"/>
      <c r="C123" s="22"/>
      <c r="D123" s="21" t="str">
        <f>"D="&amp;G152&amp;"mm"</f>
        <v>D=1100mm</v>
      </c>
      <c r="E123" s="21" t="str">
        <f>"L="&amp;D153&amp;"m"</f>
        <v>L=1910m</v>
      </c>
      <c r="F123" s="21" t="str">
        <f>"L="&amp;D154&amp;"m"</f>
        <v>L=4590m</v>
      </c>
      <c r="G123" s="22"/>
      <c r="H123" s="21" t="str">
        <f>"L="&amp;D155&amp;"m"</f>
        <v>L=4272m</v>
      </c>
      <c r="I123" s="22"/>
      <c r="J123" s="22"/>
      <c r="K123" s="22"/>
      <c r="L123" s="22"/>
      <c r="O123" s="22"/>
      <c r="P123" s="22"/>
      <c r="Q123" s="22"/>
    </row>
    <row r="124" spans="1:17" ht="18" customHeight="1">
      <c r="A124" s="37"/>
      <c r="B124" s="22"/>
      <c r="C124" s="22"/>
      <c r="D124" s="21" t="str">
        <f>"L="&amp;D152&amp;"m"</f>
        <v>L=131m</v>
      </c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4"/>
      <c r="P124" s="24"/>
      <c r="Q124" s="24"/>
    </row>
    <row r="125" spans="1:17" ht="18" customHeight="1">
      <c r="A125" s="37"/>
      <c r="B125" s="22"/>
      <c r="C125" s="22"/>
      <c r="D125" s="22"/>
      <c r="E125" s="21"/>
      <c r="F125" s="22"/>
      <c r="G125" s="21"/>
      <c r="H125" s="21"/>
      <c r="I125" s="22"/>
      <c r="J125" s="21"/>
      <c r="K125" s="22"/>
      <c r="L125" s="21"/>
      <c r="M125" s="22"/>
      <c r="N125" s="22"/>
      <c r="O125" s="22"/>
      <c r="P125" s="22"/>
      <c r="Q125" s="22"/>
    </row>
    <row r="126" spans="1:17" ht="15" customHeight="1">
      <c r="A126" s="37"/>
      <c r="B126" s="48"/>
      <c r="C126" s="22"/>
      <c r="E126" s="21" t="s">
        <v>77</v>
      </c>
      <c r="F126" s="22"/>
      <c r="G126" s="21"/>
      <c r="H126" s="21"/>
      <c r="I126" s="22"/>
      <c r="J126" s="21"/>
      <c r="K126" s="22"/>
      <c r="L126" s="21"/>
      <c r="M126" s="22"/>
      <c r="N126" s="22"/>
      <c r="P126" s="22"/>
      <c r="Q126" s="22"/>
    </row>
    <row r="127" spans="1:17" ht="18" customHeight="1">
      <c r="A127" s="37"/>
      <c r="B127" s="22"/>
      <c r="C127" s="40" t="s">
        <v>100</v>
      </c>
      <c r="E127" s="21" t="str">
        <f>"D="&amp;G151&amp;"mm"</f>
        <v>D=800mm</v>
      </c>
      <c r="F127" s="22"/>
      <c r="G127" s="21"/>
      <c r="H127" s="21"/>
      <c r="I127" s="21"/>
      <c r="J127" s="21"/>
      <c r="K127" s="22"/>
      <c r="L127" s="21"/>
      <c r="M127" s="22"/>
      <c r="N127" s="22"/>
      <c r="P127" s="21"/>
      <c r="Q127" s="22"/>
    </row>
    <row r="128" spans="1:17" ht="18" customHeight="1">
      <c r="A128" s="37"/>
      <c r="B128" s="22"/>
      <c r="C128" s="40" t="str">
        <f>"D="&amp;G150&amp;"mm"</f>
        <v>D=800mm</v>
      </c>
      <c r="E128" s="21" t="str">
        <f>"L="&amp;D151&amp;"m"</f>
        <v>L=1397m</v>
      </c>
      <c r="F128" s="22"/>
      <c r="G128" s="21"/>
      <c r="H128" s="21"/>
      <c r="I128" s="21"/>
      <c r="J128" s="21"/>
      <c r="K128" s="22"/>
      <c r="L128" s="21"/>
      <c r="M128" s="22"/>
      <c r="N128" s="22"/>
      <c r="P128" s="21"/>
      <c r="Q128" s="22"/>
    </row>
    <row r="129" spans="1:17" ht="15" customHeight="1">
      <c r="A129" s="37"/>
      <c r="B129" s="22"/>
      <c r="C129" s="40" t="str">
        <f>"L="&amp;D150&amp;"m"</f>
        <v>L=150m</v>
      </c>
      <c r="J129" s="21"/>
      <c r="K129" s="22"/>
      <c r="L129" s="22"/>
      <c r="M129" s="22"/>
      <c r="N129" s="22"/>
      <c r="O129" s="22"/>
      <c r="P129" s="21"/>
      <c r="Q129" s="22"/>
    </row>
    <row r="130" spans="1:17" ht="15" customHeight="1">
      <c r="A130" s="37"/>
      <c r="B130" s="22"/>
      <c r="J130" s="21"/>
      <c r="K130" s="21"/>
      <c r="L130" s="22"/>
      <c r="M130" s="22"/>
      <c r="N130" s="22"/>
      <c r="O130" s="22"/>
      <c r="P130" s="21"/>
      <c r="Q130" s="22"/>
    </row>
    <row r="131" spans="1:17" ht="15" customHeight="1">
      <c r="A131" s="37"/>
      <c r="B131" s="22"/>
      <c r="C131" s="22" t="str">
        <f>"                            펌프양정="&amp;Q150&amp;"m"</f>
        <v xml:space="preserve">                            펌프양정=39m</v>
      </c>
      <c r="D131" s="22"/>
      <c r="E131" s="22"/>
      <c r="F131" s="22"/>
      <c r="G131" s="21"/>
      <c r="H131" s="22"/>
      <c r="I131" s="21"/>
      <c r="J131" s="21"/>
      <c r="K131" s="21"/>
      <c r="L131" s="22"/>
      <c r="M131" s="22"/>
      <c r="N131" s="22"/>
      <c r="O131" s="21"/>
      <c r="P131" s="22"/>
      <c r="Q131" s="22"/>
    </row>
    <row r="132" spans="1:17" ht="18" customHeight="1">
      <c r="A132" s="37"/>
      <c r="B132" s="22"/>
      <c r="C132" s="22"/>
      <c r="D132" s="21" t="s">
        <v>69</v>
      </c>
      <c r="F132" s="21" t="s">
        <v>70</v>
      </c>
      <c r="G132" s="21"/>
      <c r="I132" s="21"/>
      <c r="J132" s="22"/>
      <c r="K132" s="21"/>
      <c r="L132" s="22"/>
      <c r="M132" s="22"/>
      <c r="N132" s="22"/>
      <c r="O132" s="22"/>
      <c r="P132" s="22"/>
      <c r="Q132" s="22"/>
    </row>
    <row r="133" spans="1:17" ht="18" customHeight="1">
      <c r="A133" s="37"/>
      <c r="B133" s="22"/>
      <c r="C133" s="22"/>
      <c r="D133" s="21" t="str">
        <f>"D="&amp;G148&amp;"mm"</f>
        <v>D=1100mm</v>
      </c>
      <c r="F133" s="21" t="str">
        <f>"D="&amp;G149&amp;"mm"</f>
        <v>D=1100mm</v>
      </c>
      <c r="G133" s="21"/>
      <c r="I133" s="21"/>
      <c r="J133" s="22"/>
      <c r="K133" s="21"/>
      <c r="L133" s="22"/>
      <c r="M133" s="22"/>
      <c r="N133" s="22"/>
      <c r="O133" s="22"/>
      <c r="P133" s="22"/>
      <c r="Q133" s="22"/>
    </row>
    <row r="134" spans="1:17" ht="15" customHeight="1">
      <c r="A134" s="37"/>
      <c r="B134" s="22"/>
      <c r="C134" s="22" t="str">
        <f>"                            펌프양정="&amp;Q148&amp;"m"</f>
        <v xml:space="preserve">                            펌프양정=24m</v>
      </c>
      <c r="D134" s="21" t="str">
        <f>"L="&amp;D148&amp;"m"</f>
        <v>L=8m</v>
      </c>
      <c r="F134" s="21" t="str">
        <f>"L="&amp;D149&amp;"m"</f>
        <v>L=5064m</v>
      </c>
      <c r="G134" s="22"/>
      <c r="I134" s="21"/>
      <c r="J134" s="22"/>
      <c r="K134" s="21"/>
      <c r="L134" s="22"/>
      <c r="M134" s="22"/>
      <c r="N134" s="22"/>
      <c r="O134" s="22"/>
      <c r="P134" s="22"/>
      <c r="Q134" s="22"/>
    </row>
    <row r="135" spans="1:17" ht="15" customHeight="1">
      <c r="A135" s="37"/>
      <c r="B135" s="22"/>
      <c r="C135" s="22"/>
      <c r="D135" s="22"/>
      <c r="E135" s="22"/>
      <c r="F135" s="22"/>
      <c r="G135" s="21"/>
      <c r="H135" s="21"/>
      <c r="I135" s="21"/>
      <c r="J135" s="22"/>
      <c r="K135" s="21"/>
      <c r="L135" s="22"/>
      <c r="M135" s="22"/>
      <c r="N135" s="22"/>
      <c r="O135" s="22"/>
      <c r="P135" s="22"/>
      <c r="Q135" s="22"/>
    </row>
    <row r="136" spans="1:17" ht="15" customHeight="1">
      <c r="A136" s="37"/>
      <c r="B136" s="22"/>
      <c r="C136" s="22"/>
      <c r="D136" s="21"/>
      <c r="E136" s="21"/>
      <c r="F136" s="21"/>
      <c r="G136" s="22"/>
      <c r="H136" s="21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 ht="15" customHeight="1">
      <c r="A137" s="37"/>
      <c r="B137" s="22"/>
      <c r="C137" s="22"/>
      <c r="D137" s="22"/>
      <c r="E137" s="22"/>
      <c r="F137" s="22"/>
      <c r="G137" s="21"/>
      <c r="H137" s="21"/>
      <c r="I137" s="21"/>
      <c r="J137" s="22"/>
      <c r="K137" s="22"/>
      <c r="L137" s="22"/>
      <c r="M137" s="22"/>
      <c r="N137" s="22"/>
      <c r="O137" s="22"/>
      <c r="P137" s="22"/>
      <c r="Q137" s="22"/>
    </row>
    <row r="138" spans="1:17" ht="15" customHeight="1">
      <c r="A138" s="37"/>
      <c r="B138" s="22"/>
      <c r="C138" s="22"/>
      <c r="D138" s="22"/>
      <c r="E138" s="22"/>
      <c r="F138" s="22"/>
      <c r="G138" s="21"/>
      <c r="H138" s="21"/>
      <c r="I138" s="21"/>
      <c r="J138" s="22"/>
      <c r="K138" s="22"/>
      <c r="L138" s="22"/>
      <c r="M138" s="22"/>
      <c r="N138" s="22"/>
      <c r="O138" s="22"/>
      <c r="P138" s="22"/>
      <c r="Q138" s="22"/>
    </row>
    <row r="139" spans="1:17" ht="15" customHeight="1">
      <c r="A139" s="37"/>
      <c r="B139" s="22"/>
      <c r="C139" s="22"/>
      <c r="D139" s="22"/>
      <c r="E139" s="22"/>
      <c r="F139" s="22"/>
      <c r="G139" s="21"/>
      <c r="H139" s="21"/>
      <c r="I139" s="21"/>
      <c r="J139" s="22"/>
      <c r="K139" s="22"/>
      <c r="L139" s="22"/>
      <c r="M139" s="22"/>
      <c r="N139" s="22"/>
      <c r="O139" s="22"/>
      <c r="P139" s="22"/>
      <c r="Q139" s="22"/>
    </row>
    <row r="140" spans="1:17" ht="15" customHeight="1">
      <c r="A140" s="37"/>
      <c r="B140" s="22"/>
      <c r="C140" s="22"/>
      <c r="D140" s="22"/>
      <c r="E140" s="22"/>
      <c r="F140" s="22"/>
      <c r="G140" s="21"/>
      <c r="H140" s="21"/>
      <c r="I140" s="21"/>
      <c r="J140" s="22"/>
      <c r="K140" s="22"/>
      <c r="L140" s="22"/>
      <c r="M140" s="22"/>
      <c r="N140" s="22"/>
      <c r="O140" s="22"/>
      <c r="P140" s="22"/>
      <c r="Q140" s="22"/>
    </row>
    <row r="141" spans="1:17" ht="15" customHeight="1">
      <c r="A141" s="37"/>
      <c r="B141" s="22"/>
      <c r="C141" s="22"/>
      <c r="D141" s="22"/>
      <c r="E141" s="22"/>
      <c r="F141" s="22"/>
      <c r="G141" s="21"/>
      <c r="H141" s="21"/>
      <c r="I141" s="21"/>
      <c r="J141" s="22"/>
      <c r="K141" s="22"/>
      <c r="L141" s="22"/>
      <c r="M141" s="22"/>
      <c r="N141" s="22"/>
      <c r="O141" s="22"/>
      <c r="P141" s="22"/>
      <c r="Q141" s="22"/>
    </row>
    <row r="142" spans="1:17" ht="15" customHeight="1">
      <c r="A142" s="37"/>
      <c r="B142" s="22"/>
      <c r="C142" s="22"/>
      <c r="D142" s="22"/>
      <c r="E142" s="22"/>
      <c r="F142" s="22"/>
      <c r="G142" s="21"/>
      <c r="H142" s="21"/>
      <c r="I142" s="21"/>
      <c r="J142" s="22"/>
      <c r="K142" s="22"/>
      <c r="L142" s="22"/>
      <c r="M142" s="22"/>
      <c r="N142" s="22"/>
      <c r="O142" s="22"/>
      <c r="P142" s="22"/>
      <c r="Q142" s="22"/>
    </row>
    <row r="143" spans="1:17" ht="18" customHeight="1">
      <c r="A143" s="37"/>
      <c r="B143" s="22"/>
      <c r="C143" s="22"/>
      <c r="D143" s="22"/>
      <c r="E143" s="22"/>
      <c r="F143" s="22"/>
      <c r="G143" s="21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 ht="21" customHeight="1">
      <c r="A144" s="37"/>
      <c r="B144" s="22"/>
      <c r="C144" s="22"/>
      <c r="D144" s="22"/>
      <c r="E144" s="22"/>
      <c r="F144" s="22"/>
      <c r="G144" s="21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8" ht="15" customHeight="1">
      <c r="A145" s="37"/>
      <c r="B145" s="22" t="s">
        <v>49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8" ht="15" customHeight="1">
      <c r="A146" s="37"/>
      <c r="B146" s="264" t="s">
        <v>25</v>
      </c>
      <c r="C146" s="265"/>
      <c r="D146" s="271" t="s">
        <v>26</v>
      </c>
      <c r="E146" s="273" t="s">
        <v>22</v>
      </c>
      <c r="F146" s="274"/>
      <c r="G146" s="271" t="s">
        <v>0</v>
      </c>
      <c r="H146" s="271" t="s">
        <v>27</v>
      </c>
      <c r="I146" s="271" t="s">
        <v>28</v>
      </c>
      <c r="J146" s="271" t="s">
        <v>29</v>
      </c>
      <c r="K146" s="271" t="s">
        <v>30</v>
      </c>
      <c r="L146" s="273" t="s">
        <v>31</v>
      </c>
      <c r="M146" s="274"/>
      <c r="N146" s="273" t="s">
        <v>32</v>
      </c>
      <c r="O146" s="274"/>
      <c r="P146" s="264" t="s">
        <v>33</v>
      </c>
      <c r="Q146" s="265"/>
    </row>
    <row r="147" spans="1:18" ht="15" customHeight="1">
      <c r="A147" s="37"/>
      <c r="B147" s="266"/>
      <c r="C147" s="267"/>
      <c r="D147" s="272"/>
      <c r="E147" s="6" t="s">
        <v>4</v>
      </c>
      <c r="F147" s="6" t="s">
        <v>5</v>
      </c>
      <c r="G147" s="272"/>
      <c r="H147" s="272"/>
      <c r="I147" s="272"/>
      <c r="J147" s="272"/>
      <c r="K147" s="272"/>
      <c r="L147" s="6" t="s">
        <v>34</v>
      </c>
      <c r="M147" s="6" t="s">
        <v>35</v>
      </c>
      <c r="N147" s="6" t="s">
        <v>36</v>
      </c>
      <c r="O147" s="6" t="s">
        <v>37</v>
      </c>
      <c r="P147" s="266"/>
      <c r="Q147" s="267"/>
    </row>
    <row r="148" spans="1:18" ht="15" customHeight="1">
      <c r="A148" s="37"/>
      <c r="B148" s="268" t="s">
        <v>94</v>
      </c>
      <c r="C148" s="269"/>
      <c r="D148" s="4">
        <v>8</v>
      </c>
      <c r="E148" s="4">
        <v>55200</v>
      </c>
      <c r="F148" s="13">
        <f t="shared" ref="F148:F155" si="7">E148/24/60/60</f>
        <v>0.63888888888888895</v>
      </c>
      <c r="G148" s="4">
        <v>1100</v>
      </c>
      <c r="H148" s="51">
        <f t="shared" ref="H148:H155" si="8">IF(G148&lt;=600,100,IF(G148&gt;=1000,120,110))</f>
        <v>120</v>
      </c>
      <c r="I148" s="14">
        <f t="shared" ref="I148:I155" si="9">10.666*H148^(-1.85)*(G148/1000)^(-4.87)*F148^1.85</f>
        <v>4.1684132494877664E-4</v>
      </c>
      <c r="J148" s="15">
        <f t="shared" ref="J148:J155" si="10">0.35464*H148*(G148/1000)^(0.63)*I148^(0.54)</f>
        <v>0.6758192694267543</v>
      </c>
      <c r="K148" s="16">
        <f t="shared" ref="K148:K155" si="11">I148*D148</f>
        <v>3.3347305995902131E-3</v>
      </c>
      <c r="L148" s="17">
        <f>O148+Q148</f>
        <v>106.7</v>
      </c>
      <c r="M148" s="17">
        <f t="shared" ref="M148:M155" si="12">L148-K148</f>
        <v>106.69666526940041</v>
      </c>
      <c r="N148" s="17">
        <f>O148+4</f>
        <v>86.7</v>
      </c>
      <c r="O148" s="18">
        <v>82.7</v>
      </c>
      <c r="P148" s="19" t="s">
        <v>38</v>
      </c>
      <c r="Q148" s="20">
        <v>24</v>
      </c>
    </row>
    <row r="149" spans="1:18" ht="15" customHeight="1">
      <c r="A149" s="37"/>
      <c r="B149" s="268" t="s">
        <v>95</v>
      </c>
      <c r="C149" s="269"/>
      <c r="D149" s="4">
        <v>5064</v>
      </c>
      <c r="E149" s="4">
        <f>E148</f>
        <v>55200</v>
      </c>
      <c r="F149" s="13">
        <f>E149/24/60/60</f>
        <v>0.63888888888888895</v>
      </c>
      <c r="G149" s="4">
        <v>1100</v>
      </c>
      <c r="H149" s="51">
        <f t="shared" si="8"/>
        <v>120</v>
      </c>
      <c r="I149" s="14">
        <f>10.666*H149^(-1.85)*(G149/1000)^(-4.87)*F149^1.85</f>
        <v>4.1684132494877664E-4</v>
      </c>
      <c r="J149" s="15">
        <f>0.35464*H149*(G149/1000)^(0.63)*I149^(0.54)</f>
        <v>0.6758192694267543</v>
      </c>
      <c r="K149" s="16">
        <f>I149*D149</f>
        <v>2.110884469540605</v>
      </c>
      <c r="L149" s="17">
        <f>M148</f>
        <v>106.69666526940041</v>
      </c>
      <c r="M149" s="17">
        <f>L149-K149</f>
        <v>104.5857807998598</v>
      </c>
      <c r="N149" s="17">
        <v>95</v>
      </c>
      <c r="O149" s="18">
        <v>90</v>
      </c>
      <c r="P149" s="19" t="s">
        <v>91</v>
      </c>
      <c r="Q149" s="20">
        <f>M149-N149</f>
        <v>9.5857807998598048</v>
      </c>
    </row>
    <row r="150" spans="1:18" ht="15" customHeight="1">
      <c r="A150" s="37"/>
      <c r="B150" s="268" t="s">
        <v>101</v>
      </c>
      <c r="C150" s="269"/>
      <c r="D150" s="4">
        <v>150</v>
      </c>
      <c r="E150" s="4">
        <v>34400</v>
      </c>
      <c r="F150" s="13">
        <f>E150/24/60/60</f>
        <v>0.39814814814814814</v>
      </c>
      <c r="G150" s="4">
        <v>800</v>
      </c>
      <c r="H150" s="51">
        <f t="shared" si="8"/>
        <v>110</v>
      </c>
      <c r="I150" s="14">
        <f>10.666*H150^(-1.85)*(G150/1000)^(-4.87)*F150^1.85</f>
        <v>9.6263039487441335E-4</v>
      </c>
      <c r="J150" s="15">
        <f>0.35464*H150*(G150/1000)^(0.63)*I150^(0.54)</f>
        <v>0.79651739226739471</v>
      </c>
      <c r="K150" s="16">
        <f>I150*D150</f>
        <v>0.14439455923116201</v>
      </c>
      <c r="L150" s="17">
        <f>O150+Q150</f>
        <v>121.7</v>
      </c>
      <c r="M150" s="17">
        <f>L150-K150</f>
        <v>121.55560544076884</v>
      </c>
      <c r="N150" s="17">
        <f>O150+4</f>
        <v>86.7</v>
      </c>
      <c r="O150" s="18">
        <v>82.7</v>
      </c>
      <c r="P150" s="19" t="s">
        <v>38</v>
      </c>
      <c r="Q150" s="20">
        <v>39</v>
      </c>
    </row>
    <row r="151" spans="1:18" ht="15" customHeight="1">
      <c r="A151" s="37"/>
      <c r="B151" s="268" t="s">
        <v>102</v>
      </c>
      <c r="C151" s="269"/>
      <c r="D151" s="4">
        <v>1397</v>
      </c>
      <c r="E151" s="4">
        <f>E150</f>
        <v>34400</v>
      </c>
      <c r="F151" s="13">
        <f t="shared" si="7"/>
        <v>0.39814814814814814</v>
      </c>
      <c r="G151" s="4">
        <v>800</v>
      </c>
      <c r="H151" s="51">
        <f t="shared" si="8"/>
        <v>110</v>
      </c>
      <c r="I151" s="14">
        <f t="shared" si="9"/>
        <v>9.6263039487441335E-4</v>
      </c>
      <c r="J151" s="15">
        <f t="shared" si="10"/>
        <v>0.79651739226739471</v>
      </c>
      <c r="K151" s="16">
        <f t="shared" si="11"/>
        <v>1.3447946616395554</v>
      </c>
      <c r="L151" s="17">
        <f>M150</f>
        <v>121.55560544076884</v>
      </c>
      <c r="M151" s="17">
        <f t="shared" si="12"/>
        <v>120.21081077912929</v>
      </c>
      <c r="N151" s="17"/>
      <c r="O151" s="18"/>
      <c r="P151" s="19"/>
      <c r="Q151" s="20"/>
    </row>
    <row r="152" spans="1:18" ht="15" customHeight="1">
      <c r="A152" s="37"/>
      <c r="B152" s="268" t="s">
        <v>96</v>
      </c>
      <c r="C152" s="269"/>
      <c r="D152" s="4">
        <v>131</v>
      </c>
      <c r="E152" s="4">
        <f>E151</f>
        <v>34400</v>
      </c>
      <c r="F152" s="13">
        <f t="shared" si="7"/>
        <v>0.39814814814814814</v>
      </c>
      <c r="G152" s="4">
        <v>1100</v>
      </c>
      <c r="H152" s="51">
        <f t="shared" si="8"/>
        <v>120</v>
      </c>
      <c r="I152" s="14">
        <f t="shared" si="9"/>
        <v>1.7378672242545078E-4</v>
      </c>
      <c r="J152" s="15">
        <f t="shared" si="10"/>
        <v>0.42136195077021865</v>
      </c>
      <c r="K152" s="16">
        <f t="shared" si="11"/>
        <v>2.2766060637734051E-2</v>
      </c>
      <c r="L152" s="17">
        <f>M151</f>
        <v>120.21081077912929</v>
      </c>
      <c r="M152" s="17">
        <f t="shared" si="12"/>
        <v>120.18804471849155</v>
      </c>
      <c r="N152" s="17"/>
      <c r="O152" s="18"/>
      <c r="P152" s="19"/>
      <c r="Q152" s="20"/>
    </row>
    <row r="153" spans="1:18" ht="15" customHeight="1">
      <c r="A153" s="37"/>
      <c r="B153" s="49" t="s">
        <v>97</v>
      </c>
      <c r="C153" s="50"/>
      <c r="D153" s="4">
        <v>1910</v>
      </c>
      <c r="E153" s="4">
        <f>E152</f>
        <v>34400</v>
      </c>
      <c r="F153" s="13">
        <f t="shared" si="7"/>
        <v>0.39814814814814814</v>
      </c>
      <c r="G153" s="4">
        <v>1000</v>
      </c>
      <c r="H153" s="51">
        <f t="shared" si="8"/>
        <v>120</v>
      </c>
      <c r="I153" s="14">
        <f t="shared" si="9"/>
        <v>2.7643878107533592E-4</v>
      </c>
      <c r="J153" s="15">
        <f t="shared" si="10"/>
        <v>0.5098382417844376</v>
      </c>
      <c r="K153" s="16">
        <f t="shared" si="11"/>
        <v>0.52799807185389158</v>
      </c>
      <c r="L153" s="17">
        <f>M152</f>
        <v>120.18804471849155</v>
      </c>
      <c r="M153" s="17">
        <f t="shared" si="12"/>
        <v>119.66004664663767</v>
      </c>
      <c r="N153" s="17"/>
      <c r="O153" s="18"/>
      <c r="P153" s="19"/>
      <c r="Q153" s="20"/>
    </row>
    <row r="154" spans="1:18" ht="15" customHeight="1">
      <c r="A154" s="37"/>
      <c r="B154" s="268" t="s">
        <v>98</v>
      </c>
      <c r="C154" s="269"/>
      <c r="D154" s="4">
        <v>4590</v>
      </c>
      <c r="E154" s="4">
        <f>E153</f>
        <v>34400</v>
      </c>
      <c r="F154" s="13">
        <f t="shared" si="7"/>
        <v>0.39814814814814814</v>
      </c>
      <c r="G154" s="4">
        <v>800</v>
      </c>
      <c r="H154" s="51">
        <f t="shared" si="8"/>
        <v>110</v>
      </c>
      <c r="I154" s="14">
        <f t="shared" si="9"/>
        <v>9.6263039487441335E-4</v>
      </c>
      <c r="J154" s="15">
        <f t="shared" si="10"/>
        <v>0.79651739226739471</v>
      </c>
      <c r="K154" s="16">
        <f t="shared" si="11"/>
        <v>4.4184735124735575</v>
      </c>
      <c r="L154" s="17">
        <f>M153</f>
        <v>119.66004664663767</v>
      </c>
      <c r="M154" s="17">
        <f t="shared" si="12"/>
        <v>115.24157313416411</v>
      </c>
      <c r="N154" s="17"/>
      <c r="O154" s="18"/>
      <c r="P154" s="19"/>
      <c r="Q154" s="20"/>
    </row>
    <row r="155" spans="1:18" ht="15" customHeight="1">
      <c r="A155" s="37"/>
      <c r="B155" s="268" t="s">
        <v>99</v>
      </c>
      <c r="C155" s="269"/>
      <c r="D155" s="4">
        <v>4272</v>
      </c>
      <c r="E155" s="4">
        <f>E154</f>
        <v>34400</v>
      </c>
      <c r="F155" s="13">
        <f t="shared" si="7"/>
        <v>0.39814814814814814</v>
      </c>
      <c r="G155" s="4">
        <v>700</v>
      </c>
      <c r="H155" s="51">
        <f t="shared" si="8"/>
        <v>110</v>
      </c>
      <c r="I155" s="14">
        <f t="shared" si="9"/>
        <v>1.8445071884453258E-3</v>
      </c>
      <c r="J155" s="15">
        <f t="shared" si="10"/>
        <v>1.0403214635573714</v>
      </c>
      <c r="K155" s="16">
        <f t="shared" si="11"/>
        <v>7.8797347090384315</v>
      </c>
      <c r="L155" s="17">
        <f>M154</f>
        <v>115.24157313416411</v>
      </c>
      <c r="M155" s="17">
        <f t="shared" si="12"/>
        <v>107.36183842512568</v>
      </c>
      <c r="N155" s="17">
        <v>104</v>
      </c>
      <c r="O155" s="18">
        <v>100</v>
      </c>
      <c r="P155" s="19" t="s">
        <v>92</v>
      </c>
      <c r="Q155" s="20">
        <f>M155-N155</f>
        <v>3.3618384251256828</v>
      </c>
    </row>
    <row r="156" spans="1:18" ht="15" customHeight="1">
      <c r="A156" s="37"/>
      <c r="B156" s="27"/>
      <c r="C156" s="27"/>
      <c r="D156" s="5"/>
      <c r="E156" s="5"/>
      <c r="F156" s="28"/>
      <c r="G156" s="5"/>
      <c r="H156" s="5"/>
      <c r="I156" s="29"/>
      <c r="J156" s="30"/>
      <c r="K156" s="31"/>
      <c r="L156" s="23"/>
      <c r="M156" s="23"/>
      <c r="N156" s="23"/>
      <c r="O156" s="32"/>
      <c r="P156" s="22"/>
      <c r="Q156" s="24"/>
    </row>
    <row r="157" spans="1:18" ht="18" customHeight="1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9"/>
    </row>
    <row r="158" spans="1:18" ht="18" customHeight="1">
      <c r="A158" s="80"/>
      <c r="B158" s="48" t="s">
        <v>141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81"/>
    </row>
    <row r="159" spans="1:18" ht="18" customHeight="1">
      <c r="A159" s="80"/>
      <c r="B159" s="48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81"/>
    </row>
    <row r="160" spans="1:18" ht="18" customHeight="1">
      <c r="A160" s="80"/>
      <c r="B160" s="48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87" t="s">
        <v>77</v>
      </c>
      <c r="N160" s="22"/>
      <c r="O160" s="22"/>
      <c r="P160" s="22"/>
      <c r="Q160" s="22"/>
      <c r="R160" s="81"/>
    </row>
    <row r="161" spans="1:18" ht="18" customHeight="1">
      <c r="A161" s="80"/>
      <c r="B161" s="48"/>
      <c r="C161" s="22"/>
      <c r="D161" s="22"/>
      <c r="E161" s="22"/>
      <c r="F161" s="22"/>
      <c r="G161" s="22"/>
      <c r="H161" s="22"/>
      <c r="I161" s="22"/>
      <c r="L161" s="22"/>
      <c r="M161" s="87" t="str">
        <f>"D="&amp;G182&amp;"mm"</f>
        <v>D=100mm</v>
      </c>
      <c r="N161" s="22"/>
      <c r="O161" s="22"/>
      <c r="P161" s="22"/>
      <c r="Q161" s="22"/>
      <c r="R161" s="81"/>
    </row>
    <row r="162" spans="1:18" ht="18" customHeight="1">
      <c r="A162" s="80"/>
      <c r="B162" s="48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87" t="str">
        <f>"L="&amp;D182&amp;"m"</f>
        <v>L=293m</v>
      </c>
      <c r="N162" s="22"/>
      <c r="O162" s="22"/>
      <c r="P162" s="104" t="str">
        <f>"펌프양정="&amp;Q182&amp;"m"</f>
        <v>펌프양정=100m</v>
      </c>
      <c r="Q162" s="22"/>
      <c r="R162" s="81"/>
    </row>
    <row r="163" spans="1:18" ht="18" customHeight="1">
      <c r="A163" s="80"/>
      <c r="B163" s="22"/>
      <c r="C163" s="22"/>
      <c r="D163" s="21"/>
      <c r="E163" s="22"/>
      <c r="F163" s="22"/>
      <c r="G163" s="22"/>
      <c r="H163" s="22"/>
      <c r="I163" s="22"/>
      <c r="J163" s="22"/>
      <c r="K163" s="270" t="s">
        <v>76</v>
      </c>
      <c r="L163" s="270"/>
      <c r="M163" s="270" t="s">
        <v>149</v>
      </c>
      <c r="N163" s="270"/>
      <c r="O163" s="86"/>
      <c r="P163" s="22"/>
      <c r="Q163" s="22"/>
      <c r="R163" s="81"/>
    </row>
    <row r="164" spans="1:18" ht="18" customHeight="1">
      <c r="A164" s="80"/>
      <c r="B164" s="22"/>
      <c r="C164" s="22"/>
      <c r="D164" s="21"/>
      <c r="E164" s="22"/>
      <c r="F164" s="22"/>
      <c r="G164" s="22"/>
      <c r="H164" s="22"/>
      <c r="I164" s="22"/>
      <c r="J164" s="22"/>
      <c r="K164" s="270" t="str">
        <f>"D="&amp;G181&amp;"mm"</f>
        <v>D=250mm</v>
      </c>
      <c r="L164" s="270"/>
      <c r="M164" s="270" t="str">
        <f>"       D="&amp;G183&amp;"mm"</f>
        <v xml:space="preserve">       D=200mm</v>
      </c>
      <c r="N164" s="270"/>
      <c r="O164" s="86"/>
      <c r="P164" s="22"/>
      <c r="Q164" s="22"/>
      <c r="R164" s="81"/>
    </row>
    <row r="165" spans="1:18" ht="18" customHeight="1">
      <c r="A165" s="80"/>
      <c r="B165" s="22"/>
      <c r="C165" s="86"/>
      <c r="D165" s="21"/>
      <c r="E165" s="22"/>
      <c r="F165" s="22"/>
      <c r="G165" s="22"/>
      <c r="H165" s="286"/>
      <c r="I165" s="286"/>
      <c r="J165" s="22"/>
      <c r="K165" s="270" t="str">
        <f>"L="&amp;D181&amp;"m"</f>
        <v>L=396m</v>
      </c>
      <c r="L165" s="270"/>
      <c r="M165" s="270" t="str">
        <f>"       L="&amp;D183&amp;"m"</f>
        <v xml:space="preserve">       L=3655m</v>
      </c>
      <c r="N165" s="270"/>
      <c r="O165" s="86"/>
      <c r="P165" s="22"/>
      <c r="Q165" s="22"/>
      <c r="R165" s="81"/>
    </row>
    <row r="166" spans="1:18" ht="18" customHeight="1">
      <c r="A166" s="80"/>
      <c r="B166" s="22"/>
      <c r="C166" s="86"/>
      <c r="D166" s="21"/>
      <c r="E166" s="22"/>
      <c r="F166" s="22"/>
      <c r="G166" s="22"/>
      <c r="H166" s="22"/>
      <c r="I166" s="22"/>
      <c r="J166" s="291" t="str">
        <f>"펌프양정="&amp;Q179&amp;"m"</f>
        <v>펌프양정=65m</v>
      </c>
      <c r="K166" s="291"/>
      <c r="L166" s="22"/>
      <c r="M166" s="22"/>
      <c r="N166" s="22"/>
      <c r="O166" s="22"/>
      <c r="P166" s="22"/>
      <c r="Q166" s="22"/>
      <c r="R166" s="81"/>
    </row>
    <row r="167" spans="1:18" ht="18" customHeight="1">
      <c r="A167" s="80"/>
      <c r="B167" s="22"/>
      <c r="C167" s="86"/>
      <c r="D167" s="87" t="s">
        <v>138</v>
      </c>
      <c r="E167" s="86"/>
      <c r="F167" s="270" t="s">
        <v>70</v>
      </c>
      <c r="G167" s="270"/>
      <c r="J167" s="86"/>
      <c r="K167" s="87" t="s">
        <v>71</v>
      </c>
      <c r="L167" s="86"/>
      <c r="M167" s="87" t="s">
        <v>72</v>
      </c>
      <c r="N167" s="86"/>
      <c r="O167" s="86"/>
      <c r="P167" s="22"/>
      <c r="Q167" s="22"/>
      <c r="R167" s="81"/>
    </row>
    <row r="168" spans="1:18" ht="18" customHeight="1">
      <c r="A168" s="80"/>
      <c r="B168" s="22"/>
      <c r="C168" s="86"/>
      <c r="D168" s="87" t="str">
        <f>"D="&amp;G177&amp;"mm"</f>
        <v>D=1100mm</v>
      </c>
      <c r="E168" s="86"/>
      <c r="F168" s="270" t="str">
        <f>"D="&amp;G178&amp;"mm"</f>
        <v>D=1100mm</v>
      </c>
      <c r="G168" s="270"/>
      <c r="J168" s="87"/>
      <c r="K168" s="87" t="str">
        <f>"D="&amp;G179&amp;"mm"</f>
        <v>D=300mm</v>
      </c>
      <c r="L168" s="86"/>
      <c r="M168" s="87" t="str">
        <f>"D="&amp;G180&amp;"mm"</f>
        <v>D=300mm</v>
      </c>
      <c r="N168" s="86"/>
      <c r="O168" s="86"/>
      <c r="P168" s="22"/>
      <c r="Q168" s="22"/>
      <c r="R168" s="81"/>
    </row>
    <row r="169" spans="1:18" ht="18" customHeight="1">
      <c r="A169" s="80"/>
      <c r="B169" s="22"/>
      <c r="C169" s="102" t="str">
        <f>"                펌프양정="&amp;Q177&amp;"m"</f>
        <v xml:space="preserve">                펌프양정=24m</v>
      </c>
      <c r="D169" s="87" t="str">
        <f>"L="&amp;D177&amp;"m"</f>
        <v>L=1775m</v>
      </c>
      <c r="E169" s="86"/>
      <c r="F169" s="270" t="str">
        <f>"L="&amp;D178&amp;"m"</f>
        <v>L=3629m</v>
      </c>
      <c r="G169" s="270"/>
      <c r="J169" s="86"/>
      <c r="K169" s="87" t="str">
        <f>"L="&amp;D179&amp;"m"</f>
        <v>L=1048m</v>
      </c>
      <c r="L169" s="86"/>
      <c r="M169" s="87" t="str">
        <f>"L="&amp;D180&amp;"m"</f>
        <v>L=1170m</v>
      </c>
      <c r="N169" s="86"/>
      <c r="O169" s="86"/>
      <c r="P169" s="22"/>
      <c r="Q169" s="22"/>
      <c r="R169" s="81"/>
    </row>
    <row r="170" spans="1:18" ht="18" customHeight="1">
      <c r="A170" s="80"/>
      <c r="B170" s="22"/>
      <c r="C170" s="88"/>
      <c r="D170" s="87"/>
      <c r="E170" s="86"/>
      <c r="F170" s="87"/>
      <c r="G170" s="87"/>
      <c r="H170" s="292" t="s">
        <v>143</v>
      </c>
      <c r="I170" s="292"/>
      <c r="J170" s="103" t="str">
        <f>"펌프양정="&amp;Q184&amp;"m"</f>
        <v>펌프양정=35.4300388637638m</v>
      </c>
      <c r="K170" s="87"/>
      <c r="L170" s="86"/>
      <c r="M170" s="87"/>
      <c r="N170" s="86"/>
      <c r="O170" s="86"/>
      <c r="P170" s="22"/>
      <c r="Q170" s="22"/>
      <c r="R170" s="81"/>
    </row>
    <row r="171" spans="1:18" ht="18" customHeight="1">
      <c r="A171" s="80"/>
      <c r="B171" s="22"/>
      <c r="C171" s="22"/>
      <c r="D171" s="86"/>
      <c r="E171" s="270"/>
      <c r="F171" s="270"/>
      <c r="G171" s="86"/>
      <c r="H171" s="86"/>
      <c r="I171" s="86"/>
      <c r="J171" s="86"/>
      <c r="K171" s="270" t="s">
        <v>148</v>
      </c>
      <c r="L171" s="270"/>
      <c r="M171" s="270"/>
      <c r="N171" s="270"/>
      <c r="O171" s="270"/>
      <c r="P171" s="24"/>
      <c r="Q171" s="24"/>
      <c r="R171" s="81"/>
    </row>
    <row r="172" spans="1:18" ht="18" customHeight="1">
      <c r="A172" s="80"/>
      <c r="B172" s="22"/>
      <c r="C172" s="22"/>
      <c r="D172" s="86"/>
      <c r="E172" s="87"/>
      <c r="F172" s="87"/>
      <c r="G172" s="86"/>
      <c r="H172" s="86"/>
      <c r="I172" s="86"/>
      <c r="J172" s="87"/>
      <c r="K172" s="270" t="str">
        <f>"D="&amp;G184&amp;"mm"</f>
        <v>D=300mm</v>
      </c>
      <c r="L172" s="270"/>
      <c r="M172" s="87"/>
      <c r="N172" s="87"/>
      <c r="O172" s="87"/>
      <c r="P172" s="24"/>
      <c r="Q172" s="24"/>
      <c r="R172" s="81"/>
    </row>
    <row r="173" spans="1:18" ht="15" customHeight="1">
      <c r="A173" s="80"/>
      <c r="B173" s="48"/>
      <c r="C173" s="87"/>
      <c r="D173" s="87"/>
      <c r="E173" s="86"/>
      <c r="F173" s="86"/>
      <c r="G173" s="86"/>
      <c r="H173" s="86"/>
      <c r="I173" s="86"/>
      <c r="K173" s="270" t="str">
        <f>"L="&amp;D184&amp;"m"</f>
        <v>L=598m</v>
      </c>
      <c r="L173" s="270"/>
      <c r="M173" s="86"/>
      <c r="N173" s="86"/>
      <c r="O173" s="86"/>
      <c r="P173" s="22"/>
      <c r="Q173" s="22"/>
      <c r="R173" s="81"/>
    </row>
    <row r="174" spans="1:18" ht="18" customHeight="1">
      <c r="A174" s="80"/>
      <c r="B174" s="22" t="s">
        <v>178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81"/>
    </row>
    <row r="175" spans="1:18" ht="15" customHeight="1">
      <c r="A175" s="80"/>
      <c r="B175" s="264" t="s">
        <v>25</v>
      </c>
      <c r="C175" s="265"/>
      <c r="D175" s="271" t="s">
        <v>26</v>
      </c>
      <c r="E175" s="273" t="s">
        <v>22</v>
      </c>
      <c r="F175" s="274"/>
      <c r="G175" s="271" t="s">
        <v>0</v>
      </c>
      <c r="H175" s="271" t="s">
        <v>27</v>
      </c>
      <c r="I175" s="271" t="s">
        <v>28</v>
      </c>
      <c r="J175" s="271" t="s">
        <v>29</v>
      </c>
      <c r="K175" s="271" t="s">
        <v>30</v>
      </c>
      <c r="L175" s="273" t="s">
        <v>31</v>
      </c>
      <c r="M175" s="274"/>
      <c r="N175" s="273" t="s">
        <v>32</v>
      </c>
      <c r="O175" s="274"/>
      <c r="P175" s="264" t="s">
        <v>33</v>
      </c>
      <c r="Q175" s="265"/>
      <c r="R175" s="81"/>
    </row>
    <row r="176" spans="1:18" ht="15" customHeight="1">
      <c r="A176" s="80"/>
      <c r="B176" s="266"/>
      <c r="C176" s="267"/>
      <c r="D176" s="272"/>
      <c r="E176" s="6" t="s">
        <v>4</v>
      </c>
      <c r="F176" s="6" t="s">
        <v>188</v>
      </c>
      <c r="G176" s="272"/>
      <c r="H176" s="272"/>
      <c r="I176" s="272"/>
      <c r="J176" s="272"/>
      <c r="K176" s="272"/>
      <c r="L176" s="6" t="s">
        <v>34</v>
      </c>
      <c r="M176" s="6" t="s">
        <v>35</v>
      </c>
      <c r="N176" s="6" t="s">
        <v>36</v>
      </c>
      <c r="O176" s="6" t="s">
        <v>37</v>
      </c>
      <c r="P176" s="266"/>
      <c r="Q176" s="267"/>
      <c r="R176" s="81"/>
    </row>
    <row r="177" spans="1:19" ht="15" customHeight="1">
      <c r="A177" s="80"/>
      <c r="B177" s="268" t="s">
        <v>137</v>
      </c>
      <c r="C177" s="269"/>
      <c r="D177" s="4">
        <v>1775</v>
      </c>
      <c r="E177" s="4">
        <f>E178</f>
        <v>70210</v>
      </c>
      <c r="F177" s="13">
        <f t="shared" ref="F177:F184" si="13">E177/24/60/60</f>
        <v>0.81261574074074072</v>
      </c>
      <c r="G177" s="4">
        <v>1100</v>
      </c>
      <c r="H177" s="51">
        <f t="shared" ref="H177:H184" si="14">IF(G177&lt;=600,100,IF(G177&gt;=1000,120,110))</f>
        <v>120</v>
      </c>
      <c r="I177" s="14">
        <f t="shared" ref="I177:I184" si="15">10.666*H177^(-1.85)*(G177/1000)^(-4.87)*F177^1.85</f>
        <v>6.5046146653072341E-4</v>
      </c>
      <c r="J177" s="15">
        <f t="shared" ref="J177:J184" si="16">0.35464*H177*(G177/1000)^(0.63)*I177^(0.54)</f>
        <v>0.85938151105548355</v>
      </c>
      <c r="K177" s="16">
        <f t="shared" ref="K177:K184" si="17">I177*D177</f>
        <v>1.154569103092034</v>
      </c>
      <c r="L177" s="17">
        <f>O177+Q177</f>
        <v>106.7</v>
      </c>
      <c r="M177" s="17">
        <f t="shared" ref="M177:M184" si="18">L177-K177</f>
        <v>105.54543089690797</v>
      </c>
      <c r="N177" s="17">
        <v>85.3</v>
      </c>
      <c r="O177" s="18">
        <v>82.7</v>
      </c>
      <c r="P177" s="19" t="s">
        <v>38</v>
      </c>
      <c r="Q177" s="20">
        <v>24</v>
      </c>
      <c r="R177" s="81"/>
    </row>
    <row r="178" spans="1:19" ht="15" customHeight="1">
      <c r="A178" s="80"/>
      <c r="B178" s="268" t="s">
        <v>144</v>
      </c>
      <c r="C178" s="269"/>
      <c r="D178" s="4">
        <v>3629</v>
      </c>
      <c r="E178" s="4">
        <v>70210</v>
      </c>
      <c r="F178" s="13">
        <f t="shared" si="13"/>
        <v>0.81261574074074072</v>
      </c>
      <c r="G178" s="4">
        <v>1100</v>
      </c>
      <c r="H178" s="51">
        <f t="shared" si="14"/>
        <v>120</v>
      </c>
      <c r="I178" s="14">
        <f t="shared" si="15"/>
        <v>6.5046146653072341E-4</v>
      </c>
      <c r="J178" s="15">
        <f t="shared" si="16"/>
        <v>0.85938151105548355</v>
      </c>
      <c r="K178" s="16">
        <f t="shared" si="17"/>
        <v>2.3605246620399951</v>
      </c>
      <c r="L178" s="17">
        <f>M177</f>
        <v>105.54543089690797</v>
      </c>
      <c r="M178" s="17">
        <f t="shared" si="18"/>
        <v>103.18490623486798</v>
      </c>
      <c r="N178" s="17">
        <v>95</v>
      </c>
      <c r="O178" s="18">
        <v>90</v>
      </c>
      <c r="P178" s="19" t="s">
        <v>92</v>
      </c>
      <c r="Q178" s="20">
        <f>M178-N178</f>
        <v>8.1849062348679809</v>
      </c>
      <c r="R178" s="81"/>
    </row>
    <row r="179" spans="1:19" ht="15" customHeight="1">
      <c r="A179" s="80"/>
      <c r="B179" s="268" t="s">
        <v>145</v>
      </c>
      <c r="C179" s="269"/>
      <c r="D179" s="4">
        <v>1048</v>
      </c>
      <c r="E179" s="4">
        <f>E180+E182+E184</f>
        <v>6230</v>
      </c>
      <c r="F179" s="13">
        <f t="shared" si="13"/>
        <v>7.210648148148148E-2</v>
      </c>
      <c r="G179" s="4">
        <v>300</v>
      </c>
      <c r="H179" s="51">
        <f t="shared" si="14"/>
        <v>100</v>
      </c>
      <c r="I179" s="14">
        <f t="shared" si="15"/>
        <v>5.7766164360001041E-3</v>
      </c>
      <c r="J179" s="15">
        <f t="shared" si="16"/>
        <v>1.0272539403936918</v>
      </c>
      <c r="K179" s="16">
        <f t="shared" si="17"/>
        <v>6.053894024928109</v>
      </c>
      <c r="L179" s="17">
        <f>O178+Q179</f>
        <v>155</v>
      </c>
      <c r="M179" s="17">
        <f t="shared" si="18"/>
        <v>148.9461059750719</v>
      </c>
      <c r="N179" s="17"/>
      <c r="O179" s="18"/>
      <c r="P179" s="19" t="s">
        <v>38</v>
      </c>
      <c r="Q179" s="20">
        <v>65</v>
      </c>
      <c r="R179" s="81"/>
    </row>
    <row r="180" spans="1:19" ht="15" customHeight="1">
      <c r="A180" s="80"/>
      <c r="B180" s="268" t="s">
        <v>146</v>
      </c>
      <c r="C180" s="269"/>
      <c r="D180" s="4">
        <v>1170</v>
      </c>
      <c r="E180" s="4">
        <v>2500</v>
      </c>
      <c r="F180" s="13">
        <f t="shared" si="13"/>
        <v>2.8935185185185185E-2</v>
      </c>
      <c r="G180" s="4">
        <v>300</v>
      </c>
      <c r="H180" s="51">
        <f t="shared" si="14"/>
        <v>100</v>
      </c>
      <c r="I180" s="14">
        <f t="shared" si="15"/>
        <v>1.0667426552196046E-3</v>
      </c>
      <c r="J180" s="15">
        <f t="shared" si="16"/>
        <v>0.41259724700213912</v>
      </c>
      <c r="K180" s="16">
        <f t="shared" si="17"/>
        <v>1.2480889066069374</v>
      </c>
      <c r="L180" s="17">
        <f>M179</f>
        <v>148.9461059750719</v>
      </c>
      <c r="M180" s="17">
        <f t="shared" si="18"/>
        <v>147.69801706846496</v>
      </c>
      <c r="N180" s="17">
        <v>139</v>
      </c>
      <c r="O180" s="18">
        <v>135</v>
      </c>
      <c r="P180" s="19" t="s">
        <v>92</v>
      </c>
      <c r="Q180" s="20">
        <f>M180-N180</f>
        <v>8.6980170684649636</v>
      </c>
      <c r="R180" s="81"/>
    </row>
    <row r="181" spans="1:19" ht="15" customHeight="1">
      <c r="A181" s="80"/>
      <c r="B181" s="268" t="s">
        <v>165</v>
      </c>
      <c r="C181" s="269"/>
      <c r="D181" s="4">
        <v>396</v>
      </c>
      <c r="E181" s="4">
        <f>E182</f>
        <v>1150</v>
      </c>
      <c r="F181" s="13">
        <f t="shared" si="13"/>
        <v>1.3310185185185184E-2</v>
      </c>
      <c r="G181" s="4">
        <v>250</v>
      </c>
      <c r="H181" s="51">
        <f t="shared" si="14"/>
        <v>100</v>
      </c>
      <c r="I181" s="14">
        <f t="shared" si="15"/>
        <v>6.1627467052637432E-4</v>
      </c>
      <c r="J181" s="15">
        <f t="shared" si="16"/>
        <v>0.27350675416678055</v>
      </c>
      <c r="K181" s="16">
        <f t="shared" si="17"/>
        <v>0.24404476952844423</v>
      </c>
      <c r="L181" s="17">
        <f>M179</f>
        <v>148.9461059750719</v>
      </c>
      <c r="M181" s="17">
        <f t="shared" si="18"/>
        <v>148.70206120554346</v>
      </c>
      <c r="N181" s="17"/>
      <c r="O181" s="18"/>
      <c r="P181" s="19"/>
      <c r="Q181" s="20"/>
      <c r="R181" s="81"/>
    </row>
    <row r="182" spans="1:19" ht="15" customHeight="1">
      <c r="A182" s="80"/>
      <c r="B182" s="268" t="s">
        <v>166</v>
      </c>
      <c r="C182" s="269"/>
      <c r="D182" s="4">
        <v>293</v>
      </c>
      <c r="E182" s="4">
        <f>E183+1100</f>
        <v>1150</v>
      </c>
      <c r="F182" s="13">
        <f t="shared" si="13"/>
        <v>1.3310185185185184E-2</v>
      </c>
      <c r="G182" s="4">
        <v>100</v>
      </c>
      <c r="H182" s="51">
        <f t="shared" si="14"/>
        <v>100</v>
      </c>
      <c r="I182" s="14">
        <f t="shared" si="15"/>
        <v>5.3424708402011259E-2</v>
      </c>
      <c r="J182" s="15">
        <f t="shared" si="16"/>
        <v>1.709103977614838</v>
      </c>
      <c r="K182" s="16">
        <f t="shared" si="17"/>
        <v>15.653439561789298</v>
      </c>
      <c r="L182" s="17">
        <f>M181</f>
        <v>148.70206120554346</v>
      </c>
      <c r="M182" s="17">
        <f t="shared" si="18"/>
        <v>133.04862164375416</v>
      </c>
      <c r="N182" s="105"/>
      <c r="O182" s="106"/>
      <c r="P182" s="19" t="s">
        <v>38</v>
      </c>
      <c r="Q182" s="20">
        <v>100</v>
      </c>
      <c r="R182" s="81"/>
    </row>
    <row r="183" spans="1:19" ht="15" customHeight="1">
      <c r="A183" s="80"/>
      <c r="B183" s="268" t="s">
        <v>147</v>
      </c>
      <c r="C183" s="269"/>
      <c r="D183" s="4">
        <v>3655</v>
      </c>
      <c r="E183" s="4">
        <v>50</v>
      </c>
      <c r="F183" s="13">
        <f t="shared" si="13"/>
        <v>5.7870370370370378E-4</v>
      </c>
      <c r="G183" s="4">
        <v>200</v>
      </c>
      <c r="H183" s="51">
        <f t="shared" si="14"/>
        <v>100</v>
      </c>
      <c r="I183" s="14">
        <f t="shared" si="15"/>
        <v>5.5275106103002352E-6</v>
      </c>
      <c r="J183" s="15">
        <f t="shared" si="16"/>
        <v>1.8638140935623063E-2</v>
      </c>
      <c r="K183" s="16">
        <f t="shared" si="17"/>
        <v>2.0203051280647359E-2</v>
      </c>
      <c r="L183" s="17">
        <f>S183+Q182</f>
        <v>195</v>
      </c>
      <c r="M183" s="17">
        <f t="shared" si="18"/>
        <v>194.97979694871935</v>
      </c>
      <c r="N183" s="17">
        <v>185.5</v>
      </c>
      <c r="O183" s="18">
        <v>180</v>
      </c>
      <c r="P183" s="19" t="s">
        <v>92</v>
      </c>
      <c r="Q183" s="20">
        <f>M183-N183</f>
        <v>9.4797969487193541</v>
      </c>
      <c r="R183" s="81"/>
      <c r="S183" s="2">
        <v>95</v>
      </c>
    </row>
    <row r="184" spans="1:19" ht="15" customHeight="1">
      <c r="A184" s="80"/>
      <c r="B184" s="268" t="s">
        <v>164</v>
      </c>
      <c r="C184" s="269"/>
      <c r="D184" s="4">
        <v>598</v>
      </c>
      <c r="E184" s="4">
        <v>2580</v>
      </c>
      <c r="F184" s="13">
        <f t="shared" si="13"/>
        <v>2.9861111111111113E-2</v>
      </c>
      <c r="G184" s="4">
        <v>300</v>
      </c>
      <c r="H184" s="51">
        <f t="shared" si="14"/>
        <v>100</v>
      </c>
      <c r="I184" s="14">
        <f t="shared" si="15"/>
        <v>1.1307513145570882E-3</v>
      </c>
      <c r="J184" s="15">
        <f t="shared" si="16"/>
        <v>0.42578694697369901</v>
      </c>
      <c r="K184" s="16">
        <f t="shared" si="17"/>
        <v>0.67618928610513873</v>
      </c>
      <c r="L184" s="17">
        <f>L256</f>
        <v>169.90622814986892</v>
      </c>
      <c r="M184" s="17">
        <f t="shared" si="18"/>
        <v>169.23003886376378</v>
      </c>
      <c r="N184" s="17">
        <v>133.80000000000001</v>
      </c>
      <c r="O184" s="18">
        <v>128.80000000000001</v>
      </c>
      <c r="P184" s="19" t="s">
        <v>92</v>
      </c>
      <c r="Q184" s="20">
        <f>M184-N184</f>
        <v>35.43003886376377</v>
      </c>
      <c r="R184" s="81"/>
      <c r="S184" s="2">
        <v>48</v>
      </c>
    </row>
    <row r="185" spans="1:19" ht="15" customHeight="1">
      <c r="A185" s="80"/>
      <c r="B185" s="27"/>
      <c r="C185" s="27"/>
      <c r="D185" s="5"/>
      <c r="E185" s="5"/>
      <c r="F185" s="28"/>
      <c r="G185" s="5"/>
      <c r="H185" s="73"/>
      <c r="I185" s="29"/>
      <c r="J185" s="30"/>
      <c r="K185" s="31"/>
      <c r="L185" s="23"/>
      <c r="M185" s="23"/>
      <c r="N185" s="23"/>
      <c r="O185" s="32"/>
      <c r="P185" s="22"/>
      <c r="Q185" s="24"/>
      <c r="R185" s="81"/>
    </row>
    <row r="186" spans="1:19" ht="15" customHeight="1">
      <c r="A186" s="80"/>
      <c r="B186" s="27"/>
      <c r="C186" s="27"/>
      <c r="D186" s="5"/>
      <c r="E186" s="5"/>
      <c r="F186" s="28"/>
      <c r="G186" s="5"/>
      <c r="H186" s="73"/>
      <c r="I186" s="29"/>
      <c r="J186" s="30"/>
      <c r="K186" s="31"/>
      <c r="L186" s="23"/>
      <c r="M186" s="23"/>
      <c r="N186" s="23"/>
      <c r="O186" s="32"/>
      <c r="P186" s="22"/>
      <c r="Q186" s="24"/>
      <c r="R186" s="81"/>
    </row>
    <row r="187" spans="1:19" ht="18" customHeight="1">
      <c r="A187" s="80"/>
      <c r="B187" s="48" t="s">
        <v>142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81"/>
    </row>
    <row r="188" spans="1:19" ht="15" customHeight="1">
      <c r="A188" s="80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81"/>
    </row>
    <row r="189" spans="1:19" ht="15" customHeight="1">
      <c r="A189" s="80"/>
      <c r="B189" s="22"/>
      <c r="C189" s="22"/>
      <c r="D189" s="87"/>
      <c r="E189" s="86"/>
      <c r="F189" s="86"/>
      <c r="G189" s="87"/>
      <c r="H189" s="86"/>
      <c r="I189" s="87"/>
      <c r="J189" s="87"/>
      <c r="K189" s="86"/>
      <c r="L189" s="22"/>
      <c r="M189" s="22"/>
      <c r="N189" s="22"/>
      <c r="O189" s="21"/>
      <c r="P189" s="22"/>
      <c r="Q189" s="22"/>
      <c r="R189" s="81"/>
    </row>
    <row r="190" spans="1:19" ht="15" customHeight="1">
      <c r="A190" s="80"/>
      <c r="B190" s="22"/>
      <c r="C190" s="22"/>
      <c r="D190" s="270" t="s">
        <v>76</v>
      </c>
      <c r="E190" s="270"/>
      <c r="F190" s="270"/>
      <c r="G190" s="270"/>
      <c r="H190" s="86"/>
      <c r="I190" s="86"/>
      <c r="J190" s="270" t="s">
        <v>77</v>
      </c>
      <c r="K190" s="270"/>
      <c r="L190" s="270"/>
      <c r="M190" s="270"/>
      <c r="N190" s="270"/>
      <c r="O190" s="22"/>
      <c r="P190" s="22"/>
      <c r="Q190" s="22"/>
      <c r="R190" s="81"/>
    </row>
    <row r="191" spans="1:19" ht="18" customHeight="1">
      <c r="A191" s="80"/>
      <c r="B191" s="22"/>
      <c r="C191" s="22"/>
      <c r="D191" s="270" t="str">
        <f>"D="&amp;G197&amp;"mm"</f>
        <v>D=800mm</v>
      </c>
      <c r="E191" s="270"/>
      <c r="F191" s="270"/>
      <c r="G191" s="270"/>
      <c r="H191" s="86"/>
      <c r="I191" s="86"/>
      <c r="J191" s="270" t="str">
        <f>"D="&amp;G198&amp;"mm"</f>
        <v>D=800mm</v>
      </c>
      <c r="K191" s="270"/>
      <c r="L191" s="270"/>
      <c r="M191" s="270"/>
      <c r="N191" s="270"/>
      <c r="O191" s="22"/>
      <c r="P191" s="22"/>
      <c r="Q191" s="22"/>
      <c r="R191" s="81"/>
    </row>
    <row r="192" spans="1:19" ht="18" customHeight="1">
      <c r="A192" s="80"/>
      <c r="B192" s="22"/>
      <c r="C192" s="88" t="str">
        <f>"                펌프양정="&amp;Q197&amp;"m"</f>
        <v xml:space="preserve">                펌프양정=50m</v>
      </c>
      <c r="D192" s="270" t="str">
        <f>"L="&amp;D197&amp;"m"</f>
        <v>L=1795m</v>
      </c>
      <c r="E192" s="270"/>
      <c r="F192" s="270"/>
      <c r="G192" s="270"/>
      <c r="H192" s="86"/>
      <c r="I192" s="86"/>
      <c r="J192" s="270" t="str">
        <f>"L="&amp;D198&amp;"m"</f>
        <v>L=1513m</v>
      </c>
      <c r="K192" s="270"/>
      <c r="L192" s="270"/>
      <c r="M192" s="270"/>
      <c r="N192" s="270"/>
      <c r="O192" s="22"/>
      <c r="P192" s="22"/>
      <c r="Q192" s="22"/>
      <c r="R192" s="81"/>
    </row>
    <row r="193" spans="1:18" ht="15" customHeight="1">
      <c r="A193" s="80"/>
      <c r="B193" s="22"/>
      <c r="C193" s="22"/>
      <c r="D193" s="22"/>
      <c r="E193" s="22"/>
      <c r="F193" s="22"/>
      <c r="G193" s="21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81"/>
    </row>
    <row r="194" spans="1:18" ht="15" customHeight="1">
      <c r="A194" s="80"/>
      <c r="B194" s="22" t="s">
        <v>178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81"/>
    </row>
    <row r="195" spans="1:18" ht="15" customHeight="1">
      <c r="A195" s="80"/>
      <c r="B195" s="264" t="s">
        <v>25</v>
      </c>
      <c r="C195" s="265"/>
      <c r="D195" s="271" t="s">
        <v>26</v>
      </c>
      <c r="E195" s="273" t="s">
        <v>22</v>
      </c>
      <c r="F195" s="274"/>
      <c r="G195" s="271" t="s">
        <v>0</v>
      </c>
      <c r="H195" s="271" t="s">
        <v>27</v>
      </c>
      <c r="I195" s="271" t="s">
        <v>28</v>
      </c>
      <c r="J195" s="271" t="s">
        <v>29</v>
      </c>
      <c r="K195" s="271" t="s">
        <v>192</v>
      </c>
      <c r="L195" s="273" t="s">
        <v>31</v>
      </c>
      <c r="M195" s="274"/>
      <c r="N195" s="273" t="s">
        <v>32</v>
      </c>
      <c r="O195" s="274"/>
      <c r="P195" s="264" t="s">
        <v>33</v>
      </c>
      <c r="Q195" s="265"/>
      <c r="R195" s="81"/>
    </row>
    <row r="196" spans="1:18" ht="15" customHeight="1">
      <c r="A196" s="80"/>
      <c r="B196" s="266"/>
      <c r="C196" s="267"/>
      <c r="D196" s="272"/>
      <c r="E196" s="6" t="s">
        <v>4</v>
      </c>
      <c r="F196" s="6" t="s">
        <v>5</v>
      </c>
      <c r="G196" s="272"/>
      <c r="H196" s="272"/>
      <c r="I196" s="272"/>
      <c r="J196" s="272"/>
      <c r="K196" s="272"/>
      <c r="L196" s="6" t="s">
        <v>34</v>
      </c>
      <c r="M196" s="6" t="s">
        <v>35</v>
      </c>
      <c r="N196" s="6" t="s">
        <v>36</v>
      </c>
      <c r="O196" s="6" t="s">
        <v>37</v>
      </c>
      <c r="P196" s="266"/>
      <c r="Q196" s="267"/>
      <c r="R196" s="81"/>
    </row>
    <row r="197" spans="1:18" ht="15" customHeight="1">
      <c r="A197" s="80"/>
      <c r="B197" s="268" t="s">
        <v>140</v>
      </c>
      <c r="C197" s="269"/>
      <c r="D197" s="4">
        <v>1795</v>
      </c>
      <c r="E197" s="4">
        <f>E198</f>
        <v>12230</v>
      </c>
      <c r="F197" s="13">
        <f>E197/24/60/60</f>
        <v>0.14155092592592591</v>
      </c>
      <c r="G197" s="4">
        <v>800</v>
      </c>
      <c r="H197" s="51">
        <f>IF(G197&lt;=600,100,IF(G197&gt;=1000,120,110))</f>
        <v>110</v>
      </c>
      <c r="I197" s="14">
        <f>10.666*H197^(-1.85)*(G197/1000)^(-4.87)*F197^1.85</f>
        <v>1.4209061601430203E-4</v>
      </c>
      <c r="J197" s="15">
        <f>0.35464*H197*(G197/1000)^(0.63)*I197^(0.54)</f>
        <v>0.28347346330160167</v>
      </c>
      <c r="K197" s="16">
        <f>I197*D197</f>
        <v>0.25505265574567215</v>
      </c>
      <c r="L197" s="17">
        <f>O197+Q197</f>
        <v>90.7</v>
      </c>
      <c r="M197" s="17">
        <f>L197-K197</f>
        <v>90.444947344254331</v>
      </c>
      <c r="N197" s="17">
        <v>44.5</v>
      </c>
      <c r="O197" s="18">
        <v>40.700000000000003</v>
      </c>
      <c r="P197" s="19" t="s">
        <v>38</v>
      </c>
      <c r="Q197" s="20">
        <v>50</v>
      </c>
      <c r="R197" s="81"/>
    </row>
    <row r="198" spans="1:18" ht="15" customHeight="1">
      <c r="A198" s="80"/>
      <c r="B198" s="268" t="s">
        <v>139</v>
      </c>
      <c r="C198" s="269"/>
      <c r="D198" s="4">
        <v>1513</v>
      </c>
      <c r="E198" s="4">
        <f>9410+2820</f>
        <v>12230</v>
      </c>
      <c r="F198" s="13">
        <f>E198/24/60/60</f>
        <v>0.14155092592592591</v>
      </c>
      <c r="G198" s="4">
        <v>800</v>
      </c>
      <c r="H198" s="51">
        <f>IF(G198&lt;=600,100,IF(G198&gt;=1000,120,110))</f>
        <v>110</v>
      </c>
      <c r="I198" s="14">
        <f>10.666*H198^(-1.85)*(G198/1000)^(-4.87)*F198^1.85</f>
        <v>1.4209061601430203E-4</v>
      </c>
      <c r="J198" s="15">
        <f>0.35464*H198*(G198/1000)^(0.63)*I198^(0.54)</f>
        <v>0.28347346330160167</v>
      </c>
      <c r="K198" s="16">
        <f>I198*D198</f>
        <v>0.21498310202963897</v>
      </c>
      <c r="L198" s="17">
        <f>M197</f>
        <v>90.444947344254331</v>
      </c>
      <c r="M198" s="17">
        <f>L198-K198</f>
        <v>90.229964242224696</v>
      </c>
      <c r="N198" s="17">
        <v>86.9</v>
      </c>
      <c r="O198" s="18">
        <v>82.9</v>
      </c>
      <c r="P198" s="19" t="s">
        <v>92</v>
      </c>
      <c r="Q198" s="20">
        <f>M198-N198</f>
        <v>3.3299642422246905</v>
      </c>
      <c r="R198" s="81"/>
    </row>
    <row r="199" spans="1:18" ht="15" customHeight="1">
      <c r="A199" s="82"/>
      <c r="B199" s="83"/>
      <c r="C199" s="83"/>
      <c r="D199" s="84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5"/>
    </row>
    <row r="200" spans="1:18" ht="18" customHeight="1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9"/>
    </row>
    <row r="201" spans="1:18" ht="18" customHeight="1">
      <c r="A201" s="80"/>
      <c r="B201" s="48" t="s">
        <v>129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81"/>
    </row>
    <row r="202" spans="1:18" ht="18" customHeight="1">
      <c r="A202" s="80"/>
      <c r="B202" s="48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78" t="str">
        <f>"       펌프양정="&amp;Q232&amp;"m"</f>
        <v xml:space="preserve">       펌프양정=28m</v>
      </c>
      <c r="O202" s="278"/>
      <c r="P202" s="22"/>
      <c r="Q202" s="22"/>
      <c r="R202" s="81"/>
    </row>
    <row r="203" spans="1:18" ht="18" customHeight="1">
      <c r="A203" s="80"/>
      <c r="B203" s="22"/>
      <c r="C203" s="22"/>
      <c r="D203" s="21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81"/>
    </row>
    <row r="204" spans="1:18" ht="18" customHeight="1">
      <c r="A204" s="80"/>
      <c r="B204" s="22"/>
      <c r="C204" s="22"/>
      <c r="D204" s="21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87" t="s">
        <v>168</v>
      </c>
      <c r="Q204" s="22"/>
      <c r="R204" s="81"/>
    </row>
    <row r="205" spans="1:18" ht="18" customHeight="1">
      <c r="A205" s="80"/>
      <c r="B205" s="22"/>
      <c r="C205" s="22"/>
      <c r="D205" s="21"/>
      <c r="E205" s="22"/>
      <c r="F205" s="22"/>
      <c r="G205" s="22"/>
      <c r="H205" s="22"/>
      <c r="I205" s="22"/>
      <c r="J205" s="22"/>
      <c r="K205" s="22"/>
      <c r="L205" s="22"/>
      <c r="M205" s="22"/>
      <c r="N205" s="87" t="s">
        <v>121</v>
      </c>
      <c r="O205" s="22"/>
      <c r="P205" s="87" t="str">
        <f>"D="&amp;G233&amp;"mm"</f>
        <v>D=300mm</v>
      </c>
      <c r="Q205" s="22"/>
      <c r="R205" s="81"/>
    </row>
    <row r="206" spans="1:18" ht="18" customHeight="1">
      <c r="A206" s="80"/>
      <c r="B206" s="22"/>
      <c r="C206" s="22"/>
      <c r="D206" s="21"/>
      <c r="E206" s="22"/>
      <c r="F206" s="22"/>
      <c r="G206" s="22"/>
      <c r="H206" s="22"/>
      <c r="I206" s="22"/>
      <c r="J206" s="22"/>
      <c r="K206" s="22"/>
      <c r="L206" s="22"/>
      <c r="M206" s="22"/>
      <c r="N206" s="87" t="str">
        <f>"D="&amp;G232&amp;"mm"</f>
        <v>D=300mm</v>
      </c>
      <c r="P206" s="90" t="str">
        <f>"L="&amp;D233&amp;"m"</f>
        <v>L=105m</v>
      </c>
      <c r="Q206" s="22"/>
      <c r="R206" s="81"/>
    </row>
    <row r="207" spans="1:18" ht="18" customHeight="1">
      <c r="A207" s="80"/>
      <c r="B207" s="22"/>
      <c r="C207" s="22"/>
      <c r="D207" s="21"/>
      <c r="E207" s="22"/>
      <c r="F207" s="22"/>
      <c r="G207" s="22"/>
      <c r="H207" s="21"/>
      <c r="I207" s="21"/>
      <c r="J207" s="22"/>
      <c r="K207" s="22"/>
      <c r="L207" s="22"/>
      <c r="M207" s="22"/>
      <c r="N207" s="90" t="str">
        <f>"L="&amp;D232&amp;"m"</f>
        <v>L=101m</v>
      </c>
      <c r="O207" s="22"/>
      <c r="Q207" s="22"/>
      <c r="R207" s="81"/>
    </row>
    <row r="208" spans="1:18" ht="18" customHeight="1">
      <c r="A208" s="80"/>
      <c r="B208" s="22"/>
      <c r="C208" s="270" t="s">
        <v>150</v>
      </c>
      <c r="D208" s="270"/>
      <c r="E208" s="270" t="s">
        <v>70</v>
      </c>
      <c r="F208" s="270"/>
      <c r="G208" s="270" t="s">
        <v>71</v>
      </c>
      <c r="H208" s="270"/>
      <c r="I208" s="270"/>
      <c r="J208" s="270"/>
      <c r="K208" s="270"/>
      <c r="L208" s="270" t="s">
        <v>72</v>
      </c>
      <c r="M208" s="270"/>
      <c r="N208" s="22"/>
      <c r="O208" s="22"/>
      <c r="Q208" s="22"/>
      <c r="R208" s="81"/>
    </row>
    <row r="209" spans="1:18" ht="18" customHeight="1">
      <c r="A209" s="80"/>
      <c r="B209" s="22"/>
      <c r="C209" s="270" t="str">
        <f>"                      D="&amp;G228&amp;"mm"</f>
        <v xml:space="preserve">                      D=1450mm</v>
      </c>
      <c r="D209" s="270"/>
      <c r="E209" s="270" t="str">
        <f>"D="&amp;G229&amp;"mm"</f>
        <v>D=1450mm</v>
      </c>
      <c r="F209" s="270"/>
      <c r="G209" s="270" t="str">
        <f>"D="&amp;G230&amp;"mm"</f>
        <v>D=1450mm</v>
      </c>
      <c r="H209" s="270"/>
      <c r="I209" s="270"/>
      <c r="J209" s="270"/>
      <c r="K209" s="270"/>
      <c r="L209" s="270" t="str">
        <f>"D="&amp;G231&amp;"mm"</f>
        <v>D=500mm</v>
      </c>
      <c r="M209" s="270"/>
      <c r="N209" s="22"/>
      <c r="O209" s="22"/>
      <c r="P209" s="22"/>
      <c r="Q209" s="22"/>
      <c r="R209" s="81"/>
    </row>
    <row r="210" spans="1:18" ht="18" customHeight="1">
      <c r="A210" s="80"/>
      <c r="B210" s="22"/>
      <c r="C210" s="281" t="str">
        <f>"                      L="&amp;D228&amp;"m"</f>
        <v xml:space="preserve">                      L=935m</v>
      </c>
      <c r="D210" s="281"/>
      <c r="E210" s="281" t="str">
        <f>"L="&amp;D229&amp;"m"</f>
        <v>L=907m</v>
      </c>
      <c r="F210" s="281"/>
      <c r="G210" s="276" t="str">
        <f>"L="&amp;D230&amp;"m"</f>
        <v>L=3767m</v>
      </c>
      <c r="H210" s="276"/>
      <c r="I210" s="276"/>
      <c r="J210" s="276"/>
      <c r="K210" s="276"/>
      <c r="L210" s="276" t="str">
        <f>"L="&amp;D231&amp;"m"</f>
        <v>L=309m</v>
      </c>
      <c r="M210" s="276"/>
      <c r="N210" s="22"/>
      <c r="O210" s="22"/>
      <c r="P210" s="22"/>
      <c r="Q210" s="22"/>
      <c r="R210" s="81"/>
    </row>
    <row r="211" spans="1:18" ht="18" customHeight="1">
      <c r="A211" s="80"/>
      <c r="G211" s="87" t="s">
        <v>76</v>
      </c>
      <c r="J211" s="270" t="s">
        <v>131</v>
      </c>
      <c r="K211" s="270"/>
      <c r="N211" s="22"/>
      <c r="O211" s="22"/>
      <c r="P211" s="24"/>
      <c r="Q211" s="24"/>
      <c r="R211" s="81"/>
    </row>
    <row r="212" spans="1:18" ht="18" customHeight="1">
      <c r="A212" s="80"/>
      <c r="G212" s="87" t="str">
        <f>"D="&amp;G234&amp;"mm"</f>
        <v>D=1000mm</v>
      </c>
      <c r="J212" s="270" t="str">
        <f>"D="&amp;G236&amp;"mm"</f>
        <v>D=500mm</v>
      </c>
      <c r="K212" s="270"/>
      <c r="N212" s="22"/>
      <c r="O212" s="277"/>
      <c r="P212" s="277"/>
      <c r="Q212" s="22"/>
      <c r="R212" s="81"/>
    </row>
    <row r="213" spans="1:18" ht="15" customHeight="1">
      <c r="A213" s="80"/>
      <c r="B213" s="48"/>
      <c r="C213" s="86"/>
      <c r="D213" s="87"/>
      <c r="E213" s="86"/>
      <c r="F213" s="86"/>
      <c r="G213" s="90" t="str">
        <f>"L="&amp;D234&amp;"m"</f>
        <v>L=88m</v>
      </c>
      <c r="H213" s="86"/>
      <c r="I213" s="87" t="s">
        <v>130</v>
      </c>
      <c r="J213" s="275" t="str">
        <f>"L="&amp;D236&amp;"m"</f>
        <v>L=372m</v>
      </c>
      <c r="K213" s="275"/>
      <c r="L213" s="87" t="s">
        <v>132</v>
      </c>
      <c r="M213" s="86"/>
      <c r="N213" s="270" t="s">
        <v>152</v>
      </c>
      <c r="O213" s="270"/>
      <c r="P213" s="22"/>
      <c r="Q213" s="22"/>
      <c r="R213" s="81"/>
    </row>
    <row r="214" spans="1:18" ht="18" customHeight="1">
      <c r="A214" s="80"/>
      <c r="B214" s="22"/>
      <c r="C214" s="86"/>
      <c r="D214" s="86"/>
      <c r="E214" s="87" t="s">
        <v>154</v>
      </c>
      <c r="F214" s="86"/>
      <c r="G214" s="108"/>
      <c r="H214" s="87"/>
      <c r="I214" s="87" t="str">
        <f>"D="&amp;G235&amp;"mm"</f>
        <v>D=800mm</v>
      </c>
      <c r="J214" s="87"/>
      <c r="K214" s="86"/>
      <c r="L214" s="87" t="str">
        <f>"D="&amp;G237&amp;"mm"</f>
        <v>D=300mm</v>
      </c>
      <c r="M214" s="86"/>
      <c r="N214" s="270" t="str">
        <f>"D="&amp;G239&amp;"mm"</f>
        <v>D=100mm</v>
      </c>
      <c r="O214" s="270"/>
      <c r="P214" s="21"/>
      <c r="Q214" s="22"/>
      <c r="R214" s="81"/>
    </row>
    <row r="215" spans="1:18" ht="18" customHeight="1">
      <c r="A215" s="80"/>
      <c r="B215" s="22"/>
      <c r="C215" s="86"/>
      <c r="D215" s="87"/>
      <c r="E215" s="87" t="str">
        <f>"D="&amp;G240&amp;"mm"</f>
        <v>D=1200mm</v>
      </c>
      <c r="G215" s="87"/>
      <c r="H215" s="87"/>
      <c r="I215" s="109" t="str">
        <f>"L="&amp;D235&amp;"m"</f>
        <v>L=1981m</v>
      </c>
      <c r="J215" s="87"/>
      <c r="K215" s="86"/>
      <c r="L215" s="90" t="str">
        <f>"L="&amp;D237&amp;"m"</f>
        <v>L=761m</v>
      </c>
      <c r="M215" s="86"/>
      <c r="N215" s="275" t="str">
        <f>"L="&amp;D239&amp;"m"</f>
        <v>L=466m</v>
      </c>
      <c r="O215" s="275"/>
      <c r="P215" s="21"/>
      <c r="Q215" s="22"/>
      <c r="R215" s="81"/>
    </row>
    <row r="216" spans="1:18" ht="15" customHeight="1">
      <c r="A216" s="80"/>
      <c r="B216" s="22"/>
      <c r="C216" s="86"/>
      <c r="D216" s="87"/>
      <c r="E216" s="87" t="str">
        <f>"L="&amp;D240&amp;"m"</f>
        <v>L=841m</v>
      </c>
      <c r="G216" s="87"/>
      <c r="H216" s="87"/>
      <c r="I216" s="87"/>
      <c r="K216" s="86"/>
      <c r="L216" s="86"/>
      <c r="M216" s="86"/>
      <c r="N216" s="86"/>
      <c r="O216" s="22"/>
      <c r="P216" s="291" t="str">
        <f>"펌프양정="&amp;Q238&amp;"m"</f>
        <v>펌프양정=50m</v>
      </c>
      <c r="Q216" s="291"/>
      <c r="R216" s="81"/>
    </row>
    <row r="217" spans="1:18" ht="15" customHeight="1">
      <c r="A217" s="80"/>
      <c r="B217" s="22"/>
      <c r="C217" s="87"/>
      <c r="D217" s="87"/>
      <c r="E217" s="86"/>
      <c r="G217" s="87"/>
      <c r="H217" s="87"/>
      <c r="I217" s="87"/>
      <c r="K217" s="86"/>
      <c r="L217" s="270" t="s">
        <v>151</v>
      </c>
      <c r="M217" s="270"/>
      <c r="N217" s="86"/>
      <c r="O217" s="22"/>
      <c r="P217" s="21"/>
      <c r="Q217" s="22"/>
      <c r="R217" s="81"/>
    </row>
    <row r="218" spans="1:18" ht="15" customHeight="1">
      <c r="A218" s="80"/>
      <c r="B218" s="22"/>
      <c r="C218" s="86"/>
      <c r="D218" s="86"/>
      <c r="E218" s="86"/>
      <c r="F218" s="86"/>
      <c r="G218" s="87"/>
      <c r="H218" s="86"/>
      <c r="I218" s="87"/>
      <c r="K218" s="108"/>
      <c r="L218" s="270" t="str">
        <f>"D="&amp;G238&amp;"mm"</f>
        <v>D=150mm</v>
      </c>
      <c r="M218" s="270"/>
      <c r="N218" s="108"/>
      <c r="O218" s="21"/>
      <c r="P218" s="22"/>
      <c r="Q218" s="22"/>
      <c r="R218" s="81"/>
    </row>
    <row r="219" spans="1:18" ht="18" customHeight="1">
      <c r="A219" s="80"/>
      <c r="B219" s="22"/>
      <c r="C219" s="86"/>
      <c r="D219" s="87"/>
      <c r="E219" s="86"/>
      <c r="F219" s="87"/>
      <c r="G219" s="87"/>
      <c r="H219" s="87"/>
      <c r="I219" s="86"/>
      <c r="J219" s="87"/>
      <c r="K219" s="87"/>
      <c r="L219" s="275" t="str">
        <f>"L="&amp;D238&amp;"m"</f>
        <v>L=779m</v>
      </c>
      <c r="M219" s="275"/>
      <c r="N219" s="86"/>
      <c r="O219" s="22"/>
      <c r="P219" s="22"/>
      <c r="Q219" s="22"/>
      <c r="R219" s="81"/>
    </row>
    <row r="220" spans="1:18" ht="15" customHeight="1">
      <c r="A220" s="80"/>
      <c r="B220" s="22"/>
      <c r="C220" s="86"/>
      <c r="D220" s="86"/>
      <c r="E220" s="86"/>
      <c r="F220" s="86"/>
      <c r="G220" s="87"/>
      <c r="H220" s="87"/>
      <c r="I220" s="87"/>
      <c r="J220" s="86"/>
      <c r="K220" s="86"/>
      <c r="L220" s="86"/>
      <c r="M220" s="86"/>
      <c r="N220" s="86"/>
      <c r="O220" s="22"/>
      <c r="P220" s="22"/>
      <c r="Q220" s="22"/>
      <c r="R220" s="81"/>
    </row>
    <row r="221" spans="1:18" ht="15" customHeight="1">
      <c r="A221" s="80"/>
      <c r="B221" s="22"/>
      <c r="C221" s="86"/>
      <c r="D221" s="86"/>
      <c r="E221" s="86"/>
      <c r="F221" s="270" t="s">
        <v>153</v>
      </c>
      <c r="G221" s="270"/>
      <c r="J221" s="87"/>
      <c r="K221" s="86"/>
      <c r="L221" s="87"/>
      <c r="M221" s="86"/>
      <c r="N221" s="87" t="s">
        <v>155</v>
      </c>
      <c r="O221" s="22"/>
      <c r="P221" s="22"/>
      <c r="Q221" s="22"/>
      <c r="R221" s="81"/>
    </row>
    <row r="222" spans="1:18" ht="15" customHeight="1">
      <c r="A222" s="80"/>
      <c r="B222" s="22"/>
      <c r="C222" s="86"/>
      <c r="D222" s="86"/>
      <c r="E222" s="86"/>
      <c r="F222" s="270" t="str">
        <f>"D="&amp;G241&amp;"mm"</f>
        <v>D=1000mm</v>
      </c>
      <c r="G222" s="270"/>
      <c r="J222" s="87"/>
      <c r="K222" s="86"/>
      <c r="L222" s="87"/>
      <c r="M222" s="89"/>
      <c r="N222" s="87" t="str">
        <f>"D="&amp;G242&amp;"mm"</f>
        <v>D=1000mm</v>
      </c>
      <c r="O222" s="22"/>
      <c r="P222" s="22"/>
      <c r="Q222" s="22"/>
      <c r="R222" s="81"/>
    </row>
    <row r="223" spans="1:18" ht="15" customHeight="1">
      <c r="A223" s="80"/>
      <c r="B223" s="22"/>
      <c r="C223" s="22"/>
      <c r="D223" s="22"/>
      <c r="E223" s="22"/>
      <c r="F223" s="270" t="str">
        <f>"L="&amp;D241&amp;"m"</f>
        <v>L=1776m</v>
      </c>
      <c r="G223" s="270"/>
      <c r="J223" s="22"/>
      <c r="K223" s="22"/>
      <c r="L223" s="291" t="str">
        <f>"  펌프양정="&amp;Q241&amp;"m"</f>
        <v xml:space="preserve">  펌프양정=44m</v>
      </c>
      <c r="M223" s="291"/>
      <c r="N223" s="90" t="str">
        <f>"L="&amp;D242&amp;"m"</f>
        <v>L=77m</v>
      </c>
      <c r="O223" s="22"/>
      <c r="P223" s="22"/>
      <c r="Q223" s="22"/>
      <c r="R223" s="81"/>
    </row>
    <row r="224" spans="1:18" ht="15" customHeight="1">
      <c r="A224" s="80"/>
      <c r="B224" s="22"/>
      <c r="C224" s="22"/>
      <c r="D224" s="22"/>
      <c r="E224" s="22"/>
      <c r="F224" s="87"/>
      <c r="G224" s="87"/>
      <c r="J224" s="22"/>
      <c r="K224" s="22"/>
      <c r="L224" s="107"/>
      <c r="M224" s="107"/>
      <c r="N224" s="90"/>
      <c r="O224" s="22"/>
      <c r="P224" s="22"/>
      <c r="Q224" s="22"/>
      <c r="R224" s="81"/>
    </row>
    <row r="225" spans="1:19" ht="15" customHeight="1">
      <c r="A225" s="80"/>
      <c r="B225" s="22" t="s">
        <v>178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81"/>
    </row>
    <row r="226" spans="1:19" ht="15" customHeight="1">
      <c r="A226" s="80"/>
      <c r="B226" s="280" t="s">
        <v>25</v>
      </c>
      <c r="C226" s="280"/>
      <c r="D226" s="280" t="s">
        <v>26</v>
      </c>
      <c r="E226" s="280" t="s">
        <v>22</v>
      </c>
      <c r="F226" s="280"/>
      <c r="G226" s="280" t="s">
        <v>0</v>
      </c>
      <c r="H226" s="280" t="s">
        <v>27</v>
      </c>
      <c r="I226" s="280" t="s">
        <v>28</v>
      </c>
      <c r="J226" s="280" t="s">
        <v>29</v>
      </c>
      <c r="K226" s="280" t="s">
        <v>30</v>
      </c>
      <c r="L226" s="280" t="s">
        <v>31</v>
      </c>
      <c r="M226" s="280"/>
      <c r="N226" s="280" t="s">
        <v>32</v>
      </c>
      <c r="O226" s="280"/>
      <c r="P226" s="280" t="s">
        <v>33</v>
      </c>
      <c r="Q226" s="293"/>
      <c r="R226" s="81"/>
    </row>
    <row r="227" spans="1:19" ht="15" customHeight="1">
      <c r="A227" s="80"/>
      <c r="B227" s="280"/>
      <c r="C227" s="280"/>
      <c r="D227" s="280"/>
      <c r="E227" s="6" t="s">
        <v>4</v>
      </c>
      <c r="F227" s="6" t="s">
        <v>5</v>
      </c>
      <c r="G227" s="280"/>
      <c r="H227" s="280"/>
      <c r="I227" s="280"/>
      <c r="J227" s="280"/>
      <c r="K227" s="280"/>
      <c r="L227" s="6" t="s">
        <v>34</v>
      </c>
      <c r="M227" s="6" t="s">
        <v>35</v>
      </c>
      <c r="N227" s="6" t="s">
        <v>36</v>
      </c>
      <c r="O227" s="6" t="s">
        <v>37</v>
      </c>
      <c r="P227" s="293"/>
      <c r="Q227" s="293"/>
      <c r="R227" s="81"/>
    </row>
    <row r="228" spans="1:19" ht="15" customHeight="1">
      <c r="A228" s="80"/>
      <c r="B228" s="279" t="s">
        <v>133</v>
      </c>
      <c r="C228" s="279"/>
      <c r="D228" s="4">
        <v>935</v>
      </c>
      <c r="E228" s="4">
        <f>E233+E242+E234</f>
        <v>111180</v>
      </c>
      <c r="F228" s="13">
        <f t="shared" ref="F228:F242" si="19">E228/24/60/60</f>
        <v>1.2868055555555555</v>
      </c>
      <c r="G228" s="4">
        <v>1450</v>
      </c>
      <c r="H228" s="51">
        <f t="shared" ref="H228:H242" si="20">IF(G228&lt;=600,100,IF(G228&gt;=1000,120,110))</f>
        <v>120</v>
      </c>
      <c r="I228" s="14">
        <f t="shared" ref="I228:I242" si="21">10.666*H228^(-1.85)*(G228/1000)^(-4.87)*F228^1.85</f>
        <v>3.9650897189262043E-4</v>
      </c>
      <c r="J228" s="15">
        <f t="shared" ref="J228:J242" si="22">0.35464*H228*(G228/1000)^(0.63)*I228^(0.54)</f>
        <v>0.78286600688333352</v>
      </c>
      <c r="K228" s="16">
        <f t="shared" ref="K228:K242" si="23">I228*D228</f>
        <v>0.37073588871960012</v>
      </c>
      <c r="L228" s="17">
        <f>O228</f>
        <v>91</v>
      </c>
      <c r="M228" s="17">
        <f t="shared" ref="M228:M242" si="24">L228-K228</f>
        <v>90.629264111280406</v>
      </c>
      <c r="N228" s="17">
        <v>94</v>
      </c>
      <c r="O228" s="18">
        <v>91</v>
      </c>
      <c r="P228" s="19"/>
      <c r="Q228" s="20"/>
      <c r="R228" s="81"/>
    </row>
    <row r="229" spans="1:19" ht="15" customHeight="1">
      <c r="A229" s="80"/>
      <c r="B229" s="279" t="s">
        <v>134</v>
      </c>
      <c r="C229" s="279"/>
      <c r="D229" s="4">
        <v>907</v>
      </c>
      <c r="E229" s="4">
        <f>E233+E234</f>
        <v>58450</v>
      </c>
      <c r="F229" s="13">
        <f t="shared" si="19"/>
        <v>0.67650462962962965</v>
      </c>
      <c r="G229" s="4">
        <v>1450</v>
      </c>
      <c r="H229" s="51">
        <f t="shared" si="20"/>
        <v>120</v>
      </c>
      <c r="I229" s="14">
        <f t="shared" si="21"/>
        <v>1.206854831333223E-4</v>
      </c>
      <c r="J229" s="15">
        <f t="shared" si="22"/>
        <v>0.41183620544333577</v>
      </c>
      <c r="K229" s="16">
        <f t="shared" si="23"/>
        <v>0.10946173320192333</v>
      </c>
      <c r="L229" s="17">
        <f>M228</f>
        <v>90.629264111280406</v>
      </c>
      <c r="M229" s="17">
        <f t="shared" si="24"/>
        <v>90.519802378078481</v>
      </c>
      <c r="N229" s="17"/>
      <c r="O229" s="18"/>
      <c r="P229" s="19"/>
      <c r="Q229" s="20"/>
      <c r="R229" s="81"/>
    </row>
    <row r="230" spans="1:19" ht="15" customHeight="1">
      <c r="A230" s="80"/>
      <c r="B230" s="279" t="s">
        <v>135</v>
      </c>
      <c r="C230" s="279"/>
      <c r="D230" s="4">
        <v>3767</v>
      </c>
      <c r="E230" s="4">
        <f>E231</f>
        <v>320</v>
      </c>
      <c r="F230" s="13">
        <f t="shared" si="19"/>
        <v>3.7037037037037038E-3</v>
      </c>
      <c r="G230" s="4">
        <v>1450</v>
      </c>
      <c r="H230" s="51">
        <f t="shared" si="20"/>
        <v>120</v>
      </c>
      <c r="I230" s="14">
        <f t="shared" si="21"/>
        <v>7.9000736404450307E-9</v>
      </c>
      <c r="J230" s="15">
        <f t="shared" si="22"/>
        <v>2.2664785911140394E-3</v>
      </c>
      <c r="K230" s="16">
        <f t="shared" si="23"/>
        <v>2.9759577403556429E-5</v>
      </c>
      <c r="L230" s="17">
        <f>M229</f>
        <v>90.519802378078481</v>
      </c>
      <c r="M230" s="17">
        <f t="shared" si="24"/>
        <v>90.519772618501079</v>
      </c>
      <c r="N230" s="17"/>
      <c r="O230" s="18"/>
      <c r="P230" s="19"/>
      <c r="Q230" s="20"/>
      <c r="R230" s="81"/>
    </row>
    <row r="231" spans="1:19" ht="15" customHeight="1">
      <c r="A231" s="80"/>
      <c r="B231" s="279" t="s">
        <v>170</v>
      </c>
      <c r="C231" s="279"/>
      <c r="D231" s="4">
        <v>309</v>
      </c>
      <c r="E231" s="4">
        <f>E232</f>
        <v>320</v>
      </c>
      <c r="F231" s="13">
        <f t="shared" si="19"/>
        <v>3.7037037037037038E-3</v>
      </c>
      <c r="G231" s="4">
        <v>500</v>
      </c>
      <c r="H231" s="51">
        <f t="shared" si="20"/>
        <v>100</v>
      </c>
      <c r="I231" s="14">
        <f t="shared" si="21"/>
        <v>1.9769454890415735E-6</v>
      </c>
      <c r="J231" s="15">
        <f t="shared" si="22"/>
        <v>1.9053552285018156E-2</v>
      </c>
      <c r="K231" s="16">
        <f t="shared" si="23"/>
        <v>6.1087615611384624E-4</v>
      </c>
      <c r="L231" s="17">
        <f>M230</f>
        <v>90.519772618501079</v>
      </c>
      <c r="M231" s="17">
        <f t="shared" si="24"/>
        <v>90.519161742344963</v>
      </c>
      <c r="N231" s="17"/>
      <c r="O231" s="18"/>
      <c r="P231" s="19"/>
      <c r="Q231" s="20"/>
      <c r="R231" s="81"/>
    </row>
    <row r="232" spans="1:19" ht="15" customHeight="1">
      <c r="A232" s="80"/>
      <c r="B232" s="279" t="s">
        <v>169</v>
      </c>
      <c r="C232" s="279"/>
      <c r="D232" s="4">
        <v>101</v>
      </c>
      <c r="E232" s="4">
        <f>E233</f>
        <v>320</v>
      </c>
      <c r="F232" s="13">
        <f>E232/24/60/60</f>
        <v>3.7037037037037038E-3</v>
      </c>
      <c r="G232" s="4">
        <v>300</v>
      </c>
      <c r="H232" s="51">
        <f>IF(G232&lt;=600,100,IF(G232&gt;=1000,120,110))</f>
        <v>100</v>
      </c>
      <c r="I232" s="14">
        <f>10.666*H232^(-1.85)*(G232/1000)^(-4.87)*F232^1.85</f>
        <v>2.3790200661649431E-5</v>
      </c>
      <c r="J232" s="15">
        <f>0.35464*H232*(G232/1000)^(0.63)*I232^(0.54)</f>
        <v>5.29211271552954E-2</v>
      </c>
      <c r="K232" s="16">
        <f>I232*D232</f>
        <v>2.4028102668265925E-3</v>
      </c>
      <c r="L232" s="17">
        <f>M231</f>
        <v>90.519161742344963</v>
      </c>
      <c r="M232" s="17">
        <f>L232-K232</f>
        <v>90.516758932078133</v>
      </c>
      <c r="N232" s="17"/>
      <c r="O232" s="18"/>
      <c r="P232" s="19" t="s">
        <v>38</v>
      </c>
      <c r="Q232" s="20">
        <v>28</v>
      </c>
      <c r="R232" s="81"/>
    </row>
    <row r="233" spans="1:19" ht="15" customHeight="1">
      <c r="A233" s="80"/>
      <c r="B233" s="279" t="s">
        <v>167</v>
      </c>
      <c r="C233" s="279"/>
      <c r="D233" s="4">
        <v>105</v>
      </c>
      <c r="E233" s="4">
        <v>320</v>
      </c>
      <c r="F233" s="13">
        <f t="shared" si="19"/>
        <v>3.7037037037037038E-3</v>
      </c>
      <c r="G233" s="4">
        <v>300</v>
      </c>
      <c r="H233" s="51">
        <f t="shared" si="20"/>
        <v>100</v>
      </c>
      <c r="I233" s="14">
        <f t="shared" si="21"/>
        <v>2.3790200661649431E-5</v>
      </c>
      <c r="J233" s="15">
        <f t="shared" si="22"/>
        <v>5.29211271552954E-2</v>
      </c>
      <c r="K233" s="16">
        <f t="shared" si="23"/>
        <v>2.4979710694731901E-3</v>
      </c>
      <c r="L233" s="17">
        <f>M232+Q232</f>
        <v>118.51675893207813</v>
      </c>
      <c r="M233" s="17">
        <f t="shared" si="24"/>
        <v>118.51426096100866</v>
      </c>
      <c r="N233" s="17">
        <v>102.05</v>
      </c>
      <c r="O233" s="18">
        <v>98</v>
      </c>
      <c r="P233" s="19" t="s">
        <v>124</v>
      </c>
      <c r="Q233" s="20">
        <f>M233-N233</f>
        <v>16.464260961008662</v>
      </c>
      <c r="R233" s="81"/>
    </row>
    <row r="234" spans="1:19" ht="15" customHeight="1">
      <c r="A234" s="80"/>
      <c r="B234" s="279" t="s">
        <v>136</v>
      </c>
      <c r="C234" s="279"/>
      <c r="D234" s="4">
        <v>88</v>
      </c>
      <c r="E234" s="4">
        <v>58130</v>
      </c>
      <c r="F234" s="13">
        <f t="shared" si="19"/>
        <v>0.672800925925926</v>
      </c>
      <c r="G234" s="4">
        <v>1000</v>
      </c>
      <c r="H234" s="51">
        <f t="shared" si="20"/>
        <v>120</v>
      </c>
      <c r="I234" s="14">
        <f t="shared" si="21"/>
        <v>7.2963632634349658E-4</v>
      </c>
      <c r="J234" s="15">
        <f t="shared" si="22"/>
        <v>0.86108583739048195</v>
      </c>
      <c r="K234" s="16">
        <f t="shared" si="23"/>
        <v>6.4207996718227703E-2</v>
      </c>
      <c r="L234" s="17">
        <f>M229</f>
        <v>90.519802378078481</v>
      </c>
      <c r="M234" s="17">
        <f t="shared" si="24"/>
        <v>90.455594381360257</v>
      </c>
      <c r="N234" s="17">
        <v>85.3</v>
      </c>
      <c r="O234" s="18">
        <v>80</v>
      </c>
      <c r="P234" s="19" t="s">
        <v>92</v>
      </c>
      <c r="Q234" s="20">
        <f>M234-N234</f>
        <v>5.1555943813602596</v>
      </c>
      <c r="R234" s="81"/>
    </row>
    <row r="235" spans="1:19" ht="15" customHeight="1">
      <c r="A235" s="80"/>
      <c r="B235" s="279" t="s">
        <v>159</v>
      </c>
      <c r="C235" s="279"/>
      <c r="D235" s="4">
        <v>1981</v>
      </c>
      <c r="E235" s="4">
        <f>E236</f>
        <v>70</v>
      </c>
      <c r="F235" s="13">
        <f t="shared" si="19"/>
        <v>8.1018518518518516E-4</v>
      </c>
      <c r="G235" s="4">
        <v>800</v>
      </c>
      <c r="H235" s="51">
        <f t="shared" si="20"/>
        <v>110</v>
      </c>
      <c r="I235" s="14">
        <f>10.666*H235^(-1.85)*(G235/1000)^(-4.87)*F235^1.85</f>
        <v>1.0098522224486058E-8</v>
      </c>
      <c r="J235" s="15">
        <f>0.35464*H235*(G235/1000)^(0.63)*I235^(0.54)</f>
        <v>1.6308962009636337E-3</v>
      </c>
      <c r="K235" s="16">
        <f>I235*D235</f>
        <v>2.0005172526706882E-5</v>
      </c>
      <c r="L235" s="17">
        <f>O234</f>
        <v>80</v>
      </c>
      <c r="M235" s="17">
        <f>L235-K235</f>
        <v>79.99997999482747</v>
      </c>
      <c r="N235" s="17"/>
      <c r="O235" s="18"/>
      <c r="P235" s="19"/>
      <c r="Q235" s="20"/>
      <c r="R235" s="81"/>
    </row>
    <row r="236" spans="1:19" ht="15" customHeight="1">
      <c r="A236" s="80"/>
      <c r="B236" s="279" t="s">
        <v>160</v>
      </c>
      <c r="C236" s="279"/>
      <c r="D236" s="4">
        <v>372</v>
      </c>
      <c r="E236" s="4">
        <f>E237</f>
        <v>70</v>
      </c>
      <c r="F236" s="13">
        <f t="shared" si="19"/>
        <v>8.1018518518518516E-4</v>
      </c>
      <c r="G236" s="4">
        <v>500</v>
      </c>
      <c r="H236" s="51">
        <f t="shared" si="20"/>
        <v>100</v>
      </c>
      <c r="I236" s="14">
        <f>10.666*H236^(-1.85)*(G236/1000)^(-4.87)*F236^1.85</f>
        <v>1.1882247895231379E-7</v>
      </c>
      <c r="J236" s="15">
        <f>0.35464*H236*(G236/1000)^(0.63)*I236^(0.54)</f>
        <v>4.1743039583986971E-3</v>
      </c>
      <c r="K236" s="16">
        <f>I236*D236</f>
        <v>4.4201962170260728E-5</v>
      </c>
      <c r="L236" s="17">
        <f>M235</f>
        <v>79.99997999482747</v>
      </c>
      <c r="M236" s="17">
        <f>L236-K236</f>
        <v>79.999935792865301</v>
      </c>
      <c r="N236" s="17"/>
      <c r="O236" s="18"/>
      <c r="P236" s="19"/>
      <c r="Q236" s="20"/>
      <c r="R236" s="81"/>
    </row>
    <row r="237" spans="1:19" ht="15" customHeight="1">
      <c r="A237" s="80"/>
      <c r="B237" s="279" t="s">
        <v>161</v>
      </c>
      <c r="C237" s="279"/>
      <c r="D237" s="4">
        <v>761</v>
      </c>
      <c r="E237" s="4">
        <f>E238</f>
        <v>70</v>
      </c>
      <c r="F237" s="13">
        <f t="shared" si="19"/>
        <v>8.1018518518518516E-4</v>
      </c>
      <c r="G237" s="4">
        <v>300</v>
      </c>
      <c r="H237" s="51">
        <f t="shared" si="20"/>
        <v>100</v>
      </c>
      <c r="I237" s="14">
        <f>10.666*H237^(-1.85)*(G237/1000)^(-4.87)*F237^1.85</f>
        <v>1.4298879928958503E-6</v>
      </c>
      <c r="J237" s="15">
        <f>0.35464*H237*(G237/1000)^(0.63)*I237^(0.54)</f>
        <v>1.1594104199717729E-2</v>
      </c>
      <c r="K237" s="16">
        <f>I237*D237</f>
        <v>1.0881447625937422E-3</v>
      </c>
      <c r="L237" s="17">
        <f>M236</f>
        <v>79.999935792865301</v>
      </c>
      <c r="M237" s="17">
        <f>L237-K237</f>
        <v>79.998847648102711</v>
      </c>
      <c r="N237" s="17"/>
      <c r="O237" s="18"/>
      <c r="P237" s="19"/>
      <c r="Q237" s="20"/>
      <c r="R237" s="81"/>
    </row>
    <row r="238" spans="1:19" ht="15" customHeight="1">
      <c r="A238" s="80"/>
      <c r="B238" s="279" t="s">
        <v>162</v>
      </c>
      <c r="C238" s="279"/>
      <c r="D238" s="4">
        <v>779</v>
      </c>
      <c r="E238" s="4">
        <f>E239</f>
        <v>70</v>
      </c>
      <c r="F238" s="13">
        <f t="shared" si="19"/>
        <v>8.1018518518518516E-4</v>
      </c>
      <c r="G238" s="4">
        <v>150</v>
      </c>
      <c r="H238" s="51">
        <f t="shared" si="20"/>
        <v>100</v>
      </c>
      <c r="I238" s="14">
        <f>10.666*H238^(-1.85)*(G238/1000)^(-4.87)*F238^1.85</f>
        <v>4.1813651782835882E-5</v>
      </c>
      <c r="J238" s="15">
        <f>0.35464*H238*(G238/1000)^(0.63)*I238^(0.54)</f>
        <v>4.6369988107974394E-2</v>
      </c>
      <c r="K238" s="16">
        <f>I238*D238</f>
        <v>3.2572834738829153E-2</v>
      </c>
      <c r="L238" s="17">
        <f>M237</f>
        <v>79.998847648102711</v>
      </c>
      <c r="M238" s="17">
        <f>L238-K238</f>
        <v>79.966274813363881</v>
      </c>
      <c r="N238" s="105"/>
      <c r="O238" s="106"/>
      <c r="P238" s="19" t="s">
        <v>38</v>
      </c>
      <c r="Q238" s="20">
        <v>50</v>
      </c>
      <c r="R238" s="81"/>
    </row>
    <row r="239" spans="1:19" ht="15" customHeight="1">
      <c r="A239" s="80"/>
      <c r="B239" s="279" t="s">
        <v>163</v>
      </c>
      <c r="C239" s="279"/>
      <c r="D239" s="4">
        <v>466</v>
      </c>
      <c r="E239" s="4">
        <v>70</v>
      </c>
      <c r="F239" s="13">
        <f t="shared" si="19"/>
        <v>8.1018518518518516E-4</v>
      </c>
      <c r="G239" s="4">
        <v>100</v>
      </c>
      <c r="H239" s="51">
        <f t="shared" si="20"/>
        <v>100</v>
      </c>
      <c r="I239" s="14">
        <f>10.666*H239^(-1.85)*(G239/1000)^(-4.87)*F239^1.85</f>
        <v>3.0121911609767095E-4</v>
      </c>
      <c r="J239" s="15">
        <f>0.35464*H239*(G239/1000)^(0.63)*I239^(0.54)</f>
        <v>0.10432401295047378</v>
      </c>
      <c r="K239" s="16">
        <f>I239*D239</f>
        <v>0.14036810810151465</v>
      </c>
      <c r="L239" s="17">
        <f>S239+Q238</f>
        <v>115</v>
      </c>
      <c r="M239" s="17">
        <f>L239-K239</f>
        <v>114.85963189189849</v>
      </c>
      <c r="N239" s="17">
        <v>108.2</v>
      </c>
      <c r="O239" s="18">
        <v>104.2</v>
      </c>
      <c r="P239" s="19" t="s">
        <v>92</v>
      </c>
      <c r="Q239" s="20">
        <f>M239-N239</f>
        <v>6.6596318918984849</v>
      </c>
      <c r="R239" s="81"/>
      <c r="S239" s="2">
        <v>65</v>
      </c>
    </row>
    <row r="240" spans="1:19" ht="15" customHeight="1">
      <c r="A240" s="80"/>
      <c r="B240" s="279" t="s">
        <v>156</v>
      </c>
      <c r="C240" s="279"/>
      <c r="D240" s="4">
        <v>841</v>
      </c>
      <c r="E240" s="4">
        <f>E241</f>
        <v>52730</v>
      </c>
      <c r="F240" s="13">
        <f t="shared" si="19"/>
        <v>0.610300925925926</v>
      </c>
      <c r="G240" s="4">
        <v>1200</v>
      </c>
      <c r="H240" s="51">
        <f t="shared" si="20"/>
        <v>120</v>
      </c>
      <c r="I240" s="14">
        <f t="shared" si="21"/>
        <v>2.5070330501241367E-4</v>
      </c>
      <c r="J240" s="15">
        <f t="shared" si="22"/>
        <v>0.54249979868880793</v>
      </c>
      <c r="K240" s="16">
        <f t="shared" si="23"/>
        <v>0.21084147951543988</v>
      </c>
      <c r="L240" s="17">
        <f>M228</f>
        <v>90.629264111280406</v>
      </c>
      <c r="M240" s="17">
        <f t="shared" si="24"/>
        <v>90.418422631764969</v>
      </c>
      <c r="N240" s="17"/>
      <c r="O240" s="18"/>
      <c r="P240" s="19"/>
      <c r="Q240" s="20"/>
      <c r="R240" s="81"/>
    </row>
    <row r="241" spans="1:18" s="22" customFormat="1" ht="15" customHeight="1">
      <c r="A241" s="80"/>
      <c r="B241" s="279" t="s">
        <v>157</v>
      </c>
      <c r="C241" s="279"/>
      <c r="D241" s="4">
        <v>1776</v>
      </c>
      <c r="E241" s="4">
        <f>E242</f>
        <v>52730</v>
      </c>
      <c r="F241" s="13">
        <f t="shared" si="19"/>
        <v>0.610300925925926</v>
      </c>
      <c r="G241" s="4">
        <v>1000</v>
      </c>
      <c r="H241" s="51">
        <f t="shared" si="20"/>
        <v>120</v>
      </c>
      <c r="I241" s="14">
        <f t="shared" si="21"/>
        <v>6.0921800138259675E-4</v>
      </c>
      <c r="J241" s="15">
        <f t="shared" si="22"/>
        <v>0.78117122472177392</v>
      </c>
      <c r="K241" s="16">
        <f t="shared" si="23"/>
        <v>1.0819711704554917</v>
      </c>
      <c r="L241" s="17">
        <f>M240</f>
        <v>90.418422631764969</v>
      </c>
      <c r="M241" s="17">
        <f t="shared" si="24"/>
        <v>89.33645146130948</v>
      </c>
      <c r="N241" s="17">
        <v>79.2</v>
      </c>
      <c r="O241" s="18">
        <v>75.2</v>
      </c>
      <c r="P241" s="19" t="s">
        <v>38</v>
      </c>
      <c r="Q241" s="20">
        <v>44</v>
      </c>
      <c r="R241" s="81"/>
    </row>
    <row r="242" spans="1:18" s="22" customFormat="1" ht="15" customHeight="1">
      <c r="A242" s="80"/>
      <c r="B242" s="279" t="s">
        <v>158</v>
      </c>
      <c r="C242" s="279"/>
      <c r="D242" s="4">
        <v>77</v>
      </c>
      <c r="E242" s="4">
        <v>52730</v>
      </c>
      <c r="F242" s="13">
        <f t="shared" si="19"/>
        <v>0.610300925925926</v>
      </c>
      <c r="G242" s="4">
        <v>1000</v>
      </c>
      <c r="H242" s="51">
        <f t="shared" si="20"/>
        <v>120</v>
      </c>
      <c r="I242" s="14">
        <f t="shared" si="21"/>
        <v>6.0921800138259675E-4</v>
      </c>
      <c r="J242" s="15">
        <f t="shared" si="22"/>
        <v>0.78117122472177392</v>
      </c>
      <c r="K242" s="16">
        <f t="shared" si="23"/>
        <v>4.6909786106459947E-2</v>
      </c>
      <c r="L242" s="17">
        <f>O241+Q241</f>
        <v>119.2</v>
      </c>
      <c r="M242" s="17">
        <f t="shared" si="24"/>
        <v>119.15309021389355</v>
      </c>
      <c r="N242" s="17">
        <v>116</v>
      </c>
      <c r="O242" s="18">
        <v>111</v>
      </c>
      <c r="P242" s="19" t="s">
        <v>92</v>
      </c>
      <c r="Q242" s="20">
        <f>M242-N242</f>
        <v>3.1530902138935488</v>
      </c>
      <c r="R242" s="81"/>
    </row>
    <row r="243" spans="1:18" s="22" customFormat="1" ht="15" customHeight="1">
      <c r="A243" s="82"/>
      <c r="B243" s="290"/>
      <c r="C243" s="290"/>
      <c r="D243" s="93"/>
      <c r="E243" s="93"/>
      <c r="F243" s="94"/>
      <c r="G243" s="93"/>
      <c r="H243" s="95"/>
      <c r="I243" s="96"/>
      <c r="J243" s="97"/>
      <c r="K243" s="98"/>
      <c r="L243" s="99"/>
      <c r="M243" s="99"/>
      <c r="N243" s="99"/>
      <c r="O243" s="100"/>
      <c r="P243" s="83"/>
      <c r="Q243" s="101"/>
      <c r="R243" s="85"/>
    </row>
    <row r="244" spans="1:18" ht="18" customHeight="1">
      <c r="A244" s="80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81"/>
    </row>
    <row r="245" spans="1:18" ht="18" customHeight="1">
      <c r="A245" s="80"/>
      <c r="B245" s="22"/>
      <c r="C245" s="22"/>
      <c r="D245" s="86"/>
      <c r="E245" s="270"/>
      <c r="F245" s="270"/>
      <c r="G245" s="86"/>
      <c r="H245" s="86"/>
      <c r="I245" s="86"/>
      <c r="J245" s="86"/>
      <c r="K245" s="270"/>
      <c r="L245" s="270"/>
      <c r="M245" s="270"/>
      <c r="N245" s="270"/>
      <c r="O245" s="270"/>
      <c r="P245" s="24"/>
      <c r="Q245" s="24"/>
      <c r="R245" s="81"/>
    </row>
    <row r="246" spans="1:18" ht="18" customHeight="1">
      <c r="A246" s="80"/>
      <c r="B246" s="48" t="s">
        <v>171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81"/>
    </row>
    <row r="247" spans="1:18" ht="15" customHeight="1">
      <c r="A247" s="80"/>
      <c r="B247" s="48"/>
      <c r="C247" s="87"/>
      <c r="D247" s="87"/>
      <c r="E247" s="86"/>
      <c r="F247" s="86"/>
      <c r="G247" s="86"/>
      <c r="H247" s="86"/>
      <c r="I247" s="86"/>
      <c r="K247" s="270"/>
      <c r="L247" s="270"/>
      <c r="M247" s="86"/>
      <c r="N247" s="86"/>
      <c r="O247" s="86"/>
      <c r="P247" s="22"/>
      <c r="Q247" s="22"/>
      <c r="R247" s="81"/>
    </row>
    <row r="248" spans="1:18" ht="18" customHeight="1">
      <c r="A248" s="80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81"/>
    </row>
    <row r="249" spans="1:18" ht="15" customHeight="1">
      <c r="A249" s="80"/>
      <c r="B249" s="264" t="s">
        <v>25</v>
      </c>
      <c r="C249" s="265"/>
      <c r="D249" s="271" t="s">
        <v>26</v>
      </c>
      <c r="E249" s="273" t="s">
        <v>22</v>
      </c>
      <c r="F249" s="274"/>
      <c r="G249" s="271" t="s">
        <v>0</v>
      </c>
      <c r="H249" s="271" t="s">
        <v>27</v>
      </c>
      <c r="I249" s="271" t="s">
        <v>28</v>
      </c>
      <c r="J249" s="271" t="s">
        <v>29</v>
      </c>
      <c r="K249" s="271" t="s">
        <v>30</v>
      </c>
      <c r="L249" s="273" t="s">
        <v>31</v>
      </c>
      <c r="M249" s="274"/>
      <c r="N249" s="273" t="s">
        <v>32</v>
      </c>
      <c r="O249" s="274"/>
      <c r="P249" s="264" t="s">
        <v>33</v>
      </c>
      <c r="Q249" s="265"/>
      <c r="R249" s="81"/>
    </row>
    <row r="250" spans="1:18" ht="15" customHeight="1">
      <c r="A250" s="80"/>
      <c r="B250" s="266"/>
      <c r="C250" s="267"/>
      <c r="D250" s="272"/>
      <c r="E250" s="6" t="s">
        <v>4</v>
      </c>
      <c r="F250" s="6" t="s">
        <v>5</v>
      </c>
      <c r="G250" s="272"/>
      <c r="H250" s="272"/>
      <c r="I250" s="272"/>
      <c r="J250" s="272"/>
      <c r="K250" s="272"/>
      <c r="L250" s="6" t="s">
        <v>34</v>
      </c>
      <c r="M250" s="6" t="s">
        <v>35</v>
      </c>
      <c r="N250" s="6" t="s">
        <v>36</v>
      </c>
      <c r="O250" s="6" t="s">
        <v>37</v>
      </c>
      <c r="P250" s="266"/>
      <c r="Q250" s="267"/>
      <c r="R250" s="81"/>
    </row>
    <row r="251" spans="1:18" ht="15" customHeight="1">
      <c r="A251" s="80"/>
      <c r="B251" s="268" t="s">
        <v>172</v>
      </c>
      <c r="C251" s="269"/>
      <c r="D251" s="4">
        <v>1253</v>
      </c>
      <c r="E251" s="4">
        <v>2580</v>
      </c>
      <c r="F251" s="13">
        <f t="shared" ref="F251:F256" si="25">E251/24/60/60</f>
        <v>2.9861111111111113E-2</v>
      </c>
      <c r="G251" s="4">
        <v>1200</v>
      </c>
      <c r="H251" s="51">
        <f t="shared" ref="H251:H256" si="26">IF(G251&lt;=600,100,IF(G251&gt;=1000,120,110))</f>
        <v>120</v>
      </c>
      <c r="I251" s="14">
        <f t="shared" ref="I251:I256" si="27">10.666*H251^(-1.85)*(G251/1000)^(-4.87)*F251^1.85</f>
        <v>9.4373407964440215E-7</v>
      </c>
      <c r="J251" s="15">
        <f t="shared" ref="J251:J256" si="28">0.35464*H251*(G251/1000)^(0.63)*I251^(0.54)</f>
        <v>2.6623917205904218E-2</v>
      </c>
      <c r="K251" s="16">
        <f t="shared" ref="K251:K256" si="29">I251*D251</f>
        <v>1.1824988017944359E-3</v>
      </c>
      <c r="L251" s="17">
        <f>O251+Q251</f>
        <v>90</v>
      </c>
      <c r="M251" s="17">
        <f t="shared" ref="M251:M256" si="30">L251-K251</f>
        <v>89.998817501198204</v>
      </c>
      <c r="N251" s="17">
        <v>95</v>
      </c>
      <c r="O251" s="18">
        <v>90</v>
      </c>
      <c r="P251" s="19"/>
      <c r="Q251" s="20"/>
      <c r="R251" s="81"/>
    </row>
    <row r="252" spans="1:18" ht="15" customHeight="1">
      <c r="A252" s="80"/>
      <c r="B252" s="268" t="s">
        <v>173</v>
      </c>
      <c r="C252" s="269"/>
      <c r="D252" s="4">
        <v>792</v>
      </c>
      <c r="E252" s="4">
        <f>E251</f>
        <v>2580</v>
      </c>
      <c r="F252" s="13">
        <f t="shared" si="25"/>
        <v>2.9861111111111113E-2</v>
      </c>
      <c r="G252" s="4">
        <v>1100</v>
      </c>
      <c r="H252" s="51">
        <f t="shared" si="26"/>
        <v>120</v>
      </c>
      <c r="I252" s="14">
        <f t="shared" si="27"/>
        <v>1.4417167026116816E-6</v>
      </c>
      <c r="J252" s="15">
        <f t="shared" si="28"/>
        <v>3.1684110418349141E-2</v>
      </c>
      <c r="K252" s="16">
        <f t="shared" si="29"/>
        <v>1.1418396284684517E-3</v>
      </c>
      <c r="L252" s="17">
        <f>M251</f>
        <v>89.998817501198204</v>
      </c>
      <c r="M252" s="17">
        <f t="shared" si="30"/>
        <v>89.99767566156973</v>
      </c>
      <c r="N252" s="17"/>
      <c r="O252" s="18"/>
      <c r="P252" s="19"/>
      <c r="Q252" s="20"/>
      <c r="R252" s="81"/>
    </row>
    <row r="253" spans="1:18" ht="15" customHeight="1">
      <c r="A253" s="80"/>
      <c r="B253" s="268" t="s">
        <v>174</v>
      </c>
      <c r="C253" s="269"/>
      <c r="D253" s="4">
        <v>157</v>
      </c>
      <c r="E253" s="4">
        <f>E252</f>
        <v>2580</v>
      </c>
      <c r="F253" s="13">
        <f t="shared" si="25"/>
        <v>2.9861111111111113E-2</v>
      </c>
      <c r="G253" s="4">
        <v>800</v>
      </c>
      <c r="H253" s="51">
        <f t="shared" si="26"/>
        <v>110</v>
      </c>
      <c r="I253" s="14">
        <f t="shared" si="27"/>
        <v>7.9858823468372931E-6</v>
      </c>
      <c r="J253" s="15">
        <f t="shared" si="28"/>
        <v>5.9893744465071855E-2</v>
      </c>
      <c r="K253" s="16">
        <f t="shared" si="29"/>
        <v>1.2537835284534551E-3</v>
      </c>
      <c r="L253" s="17">
        <f>M252</f>
        <v>89.99767566156973</v>
      </c>
      <c r="M253" s="17">
        <f t="shared" si="30"/>
        <v>89.996421878041275</v>
      </c>
      <c r="N253" s="17"/>
      <c r="O253" s="18"/>
      <c r="P253" s="19"/>
      <c r="Q253" s="20"/>
      <c r="R253" s="81"/>
    </row>
    <row r="254" spans="1:18" ht="15" customHeight="1">
      <c r="A254" s="80"/>
      <c r="B254" s="268" t="s">
        <v>176</v>
      </c>
      <c r="C254" s="269"/>
      <c r="D254" s="4">
        <v>996</v>
      </c>
      <c r="E254" s="4">
        <f>E253</f>
        <v>2580</v>
      </c>
      <c r="F254" s="13">
        <f t="shared" si="25"/>
        <v>2.9861111111111113E-2</v>
      </c>
      <c r="G254" s="4">
        <v>600</v>
      </c>
      <c r="H254" s="51">
        <f t="shared" si="26"/>
        <v>100</v>
      </c>
      <c r="I254" s="14">
        <f t="shared" si="27"/>
        <v>3.8667938787878836E-5</v>
      </c>
      <c r="J254" s="15">
        <f t="shared" si="28"/>
        <v>0.10646149441741573</v>
      </c>
      <c r="K254" s="16">
        <f t="shared" si="29"/>
        <v>3.8513267032727318E-2</v>
      </c>
      <c r="L254" s="17">
        <f>M253</f>
        <v>89.996421878041275</v>
      </c>
      <c r="M254" s="17">
        <f t="shared" si="30"/>
        <v>89.957908611008548</v>
      </c>
      <c r="N254" s="17"/>
      <c r="O254" s="18"/>
      <c r="P254" s="19"/>
      <c r="Q254" s="20"/>
      <c r="R254" s="81"/>
    </row>
    <row r="255" spans="1:18" ht="15" customHeight="1">
      <c r="A255" s="80"/>
      <c r="B255" s="268" t="s">
        <v>177</v>
      </c>
      <c r="C255" s="269"/>
      <c r="D255" s="4">
        <v>550</v>
      </c>
      <c r="E255" s="4">
        <f>E254</f>
        <v>2580</v>
      </c>
      <c r="F255" s="13">
        <f t="shared" si="25"/>
        <v>2.9861111111111113E-2</v>
      </c>
      <c r="G255" s="4">
        <v>500</v>
      </c>
      <c r="H255" s="51">
        <f t="shared" si="26"/>
        <v>100</v>
      </c>
      <c r="I255" s="14">
        <f t="shared" si="27"/>
        <v>9.3964474799283884E-5</v>
      </c>
      <c r="J255" s="15">
        <f t="shared" si="28"/>
        <v>0.15329896191808237</v>
      </c>
      <c r="K255" s="16">
        <f t="shared" si="29"/>
        <v>5.1680461139606136E-2</v>
      </c>
      <c r="L255" s="17">
        <f>M254</f>
        <v>89.957908611008548</v>
      </c>
      <c r="M255" s="17">
        <f t="shared" si="30"/>
        <v>89.906228149868937</v>
      </c>
      <c r="N255" s="17"/>
      <c r="O255" s="18"/>
      <c r="P255" s="19" t="s">
        <v>38</v>
      </c>
      <c r="Q255" s="20">
        <v>80</v>
      </c>
      <c r="R255" s="81"/>
    </row>
    <row r="256" spans="1:18" ht="15" customHeight="1">
      <c r="A256" s="80"/>
      <c r="B256" s="268" t="s">
        <v>175</v>
      </c>
      <c r="C256" s="269"/>
      <c r="D256" s="4">
        <v>598</v>
      </c>
      <c r="E256" s="4">
        <f>E255</f>
        <v>2580</v>
      </c>
      <c r="F256" s="13">
        <f t="shared" si="25"/>
        <v>2.9861111111111113E-2</v>
      </c>
      <c r="G256" s="4">
        <v>300</v>
      </c>
      <c r="H256" s="51">
        <f t="shared" si="26"/>
        <v>100</v>
      </c>
      <c r="I256" s="14">
        <f t="shared" si="27"/>
        <v>1.1307513145570882E-3</v>
      </c>
      <c r="J256" s="15">
        <f t="shared" si="28"/>
        <v>0.42578694697369901</v>
      </c>
      <c r="K256" s="16">
        <f t="shared" si="29"/>
        <v>0.67618928610513873</v>
      </c>
      <c r="L256" s="17">
        <f>M255+Q255</f>
        <v>169.90622814986892</v>
      </c>
      <c r="M256" s="17">
        <f t="shared" si="30"/>
        <v>169.23003886376378</v>
      </c>
      <c r="N256" s="17">
        <v>133.80000000000001</v>
      </c>
      <c r="O256" s="18">
        <v>128.80000000000001</v>
      </c>
      <c r="P256" s="19" t="s">
        <v>92</v>
      </c>
      <c r="Q256" s="20">
        <f>M256-N256</f>
        <v>35.43003886376377</v>
      </c>
      <c r="R256" s="81"/>
    </row>
    <row r="257" spans="1:18" ht="15" customHeight="1">
      <c r="A257" s="80"/>
      <c r="B257" s="268"/>
      <c r="C257" s="269"/>
      <c r="D257" s="4"/>
      <c r="E257" s="4"/>
      <c r="F257" s="13"/>
      <c r="G257" s="4"/>
      <c r="H257" s="51"/>
      <c r="I257" s="14"/>
      <c r="J257" s="15"/>
      <c r="K257" s="16"/>
      <c r="L257" s="17"/>
      <c r="M257" s="17"/>
      <c r="N257" s="17"/>
      <c r="O257" s="18"/>
      <c r="P257" s="19"/>
      <c r="Q257" s="20"/>
      <c r="R257" s="81"/>
    </row>
    <row r="258" spans="1:18" ht="15" customHeight="1">
      <c r="A258" s="80"/>
      <c r="B258" s="268"/>
      <c r="C258" s="269"/>
      <c r="D258" s="4"/>
      <c r="E258" s="4"/>
      <c r="F258" s="13"/>
      <c r="G258" s="4"/>
      <c r="H258" s="51"/>
      <c r="I258" s="14"/>
      <c r="J258" s="15"/>
      <c r="K258" s="16"/>
      <c r="L258" s="17"/>
      <c r="M258" s="17"/>
      <c r="N258" s="17"/>
      <c r="O258" s="18"/>
      <c r="P258" s="19"/>
      <c r="Q258" s="20"/>
      <c r="R258" s="81"/>
    </row>
    <row r="259" spans="1:18" ht="15" customHeight="1">
      <c r="A259" s="80"/>
      <c r="B259" s="27"/>
      <c r="C259" s="27"/>
      <c r="D259" s="5"/>
      <c r="E259" s="5"/>
      <c r="F259" s="28"/>
      <c r="G259" s="5"/>
      <c r="H259" s="73"/>
      <c r="I259" s="29"/>
      <c r="J259" s="30"/>
      <c r="K259" s="31"/>
      <c r="L259" s="23"/>
      <c r="M259" s="23"/>
      <c r="N259" s="23"/>
      <c r="O259" s="32"/>
      <c r="P259" s="22"/>
      <c r="Q259" s="24"/>
      <c r="R259" s="81"/>
    </row>
    <row r="260" spans="1:18" ht="15" customHeight="1">
      <c r="A260" s="80"/>
      <c r="B260" s="27"/>
      <c r="C260" s="27"/>
      <c r="D260" s="5"/>
      <c r="E260" s="5"/>
      <c r="F260" s="28"/>
      <c r="G260" s="5"/>
      <c r="H260" s="73"/>
      <c r="I260" s="29"/>
      <c r="J260" s="30"/>
      <c r="K260" s="31"/>
      <c r="L260" s="23"/>
      <c r="M260" s="23"/>
      <c r="N260" s="23"/>
      <c r="O260" s="32"/>
      <c r="P260" s="22"/>
      <c r="Q260" s="24"/>
      <c r="R260" s="81"/>
    </row>
    <row r="261" spans="1:18" ht="18" customHeight="1">
      <c r="A261" s="80"/>
      <c r="B261" s="48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81"/>
    </row>
    <row r="262" spans="1:18" ht="15" customHeight="1">
      <c r="A262" s="80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81"/>
    </row>
    <row r="263" spans="1:18" ht="15" customHeight="1">
      <c r="A263" s="80"/>
      <c r="B263" s="22"/>
      <c r="C263" s="22"/>
      <c r="D263" s="87"/>
      <c r="E263" s="86"/>
      <c r="F263" s="86"/>
      <c r="G263" s="87"/>
      <c r="H263" s="86"/>
      <c r="I263" s="87"/>
      <c r="J263" s="87"/>
      <c r="K263" s="86"/>
      <c r="L263" s="22"/>
      <c r="M263" s="22"/>
      <c r="N263" s="22"/>
      <c r="O263" s="21"/>
      <c r="P263" s="22"/>
      <c r="Q263" s="22"/>
      <c r="R263" s="81"/>
    </row>
    <row r="264" spans="1:18" ht="15" customHeight="1">
      <c r="A264" s="80"/>
      <c r="B264" s="22"/>
      <c r="C264" s="22"/>
      <c r="D264" s="270"/>
      <c r="E264" s="270"/>
      <c r="F264" s="270"/>
      <c r="G264" s="270"/>
      <c r="H264" s="86"/>
      <c r="I264" s="86"/>
      <c r="J264" s="270"/>
      <c r="K264" s="270"/>
      <c r="L264" s="270"/>
      <c r="M264" s="270"/>
      <c r="N264" s="270"/>
      <c r="O264" s="22"/>
      <c r="P264" s="22"/>
      <c r="Q264" s="22"/>
      <c r="R264" s="81"/>
    </row>
    <row r="265" spans="1:18" ht="18" customHeight="1">
      <c r="A265" s="80"/>
      <c r="B265" s="22"/>
      <c r="C265" s="22"/>
      <c r="D265" s="270"/>
      <c r="E265" s="270"/>
      <c r="F265" s="270"/>
      <c r="G265" s="270"/>
      <c r="H265" s="86"/>
      <c r="I265" s="86"/>
      <c r="J265" s="270"/>
      <c r="K265" s="270"/>
      <c r="L265" s="270"/>
      <c r="M265" s="270"/>
      <c r="N265" s="270"/>
      <c r="O265" s="22"/>
      <c r="P265" s="22"/>
      <c r="Q265" s="22"/>
      <c r="R265" s="81"/>
    </row>
  </sheetData>
  <mergeCells count="211">
    <mergeCell ref="P216:Q216"/>
    <mergeCell ref="L217:M217"/>
    <mergeCell ref="L218:M218"/>
    <mergeCell ref="H226:H227"/>
    <mergeCell ref="F221:G221"/>
    <mergeCell ref="F222:G222"/>
    <mergeCell ref="F223:G223"/>
    <mergeCell ref="L226:M226"/>
    <mergeCell ref="I226:I227"/>
    <mergeCell ref="P226:Q227"/>
    <mergeCell ref="N226:O226"/>
    <mergeCell ref="M163:N163"/>
    <mergeCell ref="M164:N164"/>
    <mergeCell ref="M165:N165"/>
    <mergeCell ref="K163:L163"/>
    <mergeCell ref="K164:L164"/>
    <mergeCell ref="K165:L165"/>
    <mergeCell ref="E208:F208"/>
    <mergeCell ref="E209:F209"/>
    <mergeCell ref="E210:F210"/>
    <mergeCell ref="G208:K208"/>
    <mergeCell ref="G209:K209"/>
    <mergeCell ref="H165:I165"/>
    <mergeCell ref="J166:K166"/>
    <mergeCell ref="F167:G167"/>
    <mergeCell ref="H170:I170"/>
    <mergeCell ref="K171:L171"/>
    <mergeCell ref="F168:G168"/>
    <mergeCell ref="F169:G169"/>
    <mergeCell ref="B243:C243"/>
    <mergeCell ref="B230:C230"/>
    <mergeCell ref="B231:C231"/>
    <mergeCell ref="B229:C229"/>
    <mergeCell ref="E226:F226"/>
    <mergeCell ref="M171:O171"/>
    <mergeCell ref="L175:M175"/>
    <mergeCell ref="J175:J176"/>
    <mergeCell ref="H175:H176"/>
    <mergeCell ref="B233:C233"/>
    <mergeCell ref="J213:K213"/>
    <mergeCell ref="B226:C227"/>
    <mergeCell ref="J211:K211"/>
    <mergeCell ref="B242:C242"/>
    <mergeCell ref="B198:C198"/>
    <mergeCell ref="B195:C196"/>
    <mergeCell ref="B238:C238"/>
    <mergeCell ref="B239:C239"/>
    <mergeCell ref="B235:C235"/>
    <mergeCell ref="B236:C236"/>
    <mergeCell ref="B228:C228"/>
    <mergeCell ref="L209:M209"/>
    <mergeCell ref="L223:M223"/>
    <mergeCell ref="L208:M208"/>
    <mergeCell ref="B148:C148"/>
    <mergeCell ref="B152:C152"/>
    <mergeCell ref="J146:J147"/>
    <mergeCell ref="B110:C110"/>
    <mergeCell ref="B149:C149"/>
    <mergeCell ref="B146:C147"/>
    <mergeCell ref="D146:D147"/>
    <mergeCell ref="B150:C150"/>
    <mergeCell ref="B151:C151"/>
    <mergeCell ref="B107:C107"/>
    <mergeCell ref="B99:C100"/>
    <mergeCell ref="D99:D100"/>
    <mergeCell ref="E99:F99"/>
    <mergeCell ref="E66:F66"/>
    <mergeCell ref="B105:C105"/>
    <mergeCell ref="B106:C106"/>
    <mergeCell ref="B104:C104"/>
    <mergeCell ref="B109:C109"/>
    <mergeCell ref="B108:C108"/>
    <mergeCell ref="B51:C52"/>
    <mergeCell ref="D51:D52"/>
    <mergeCell ref="E51:F51"/>
    <mergeCell ref="D66:D67"/>
    <mergeCell ref="J66:J67"/>
    <mergeCell ref="K66:K67"/>
    <mergeCell ref="H51:H52"/>
    <mergeCell ref="B68:C68"/>
    <mergeCell ref="G66:G67"/>
    <mergeCell ref="B54:C54"/>
    <mergeCell ref="B55:C55"/>
    <mergeCell ref="B66:C67"/>
    <mergeCell ref="B15:C15"/>
    <mergeCell ref="B16:B19"/>
    <mergeCell ref="B20:B21"/>
    <mergeCell ref="B22:B26"/>
    <mergeCell ref="F43:G43"/>
    <mergeCell ref="B27:C27"/>
    <mergeCell ref="F36:G36"/>
    <mergeCell ref="F39:G39"/>
    <mergeCell ref="F40:G40"/>
    <mergeCell ref="N51:O51"/>
    <mergeCell ref="P99:Q100"/>
    <mergeCell ref="I66:I67"/>
    <mergeCell ref="L51:M51"/>
    <mergeCell ref="P66:Q67"/>
    <mergeCell ref="K51:K52"/>
    <mergeCell ref="B101:C101"/>
    <mergeCell ref="B102:C102"/>
    <mergeCell ref="B103:C103"/>
    <mergeCell ref="L99:M99"/>
    <mergeCell ref="N99:O99"/>
    <mergeCell ref="J99:J100"/>
    <mergeCell ref="K99:K100"/>
    <mergeCell ref="H99:H100"/>
    <mergeCell ref="I99:I100"/>
    <mergeCell ref="G99:G100"/>
    <mergeCell ref="H66:H67"/>
    <mergeCell ref="N66:O66"/>
    <mergeCell ref="J51:J52"/>
    <mergeCell ref="P51:Q52"/>
    <mergeCell ref="B53:C53"/>
    <mergeCell ref="G51:G52"/>
    <mergeCell ref="L66:M66"/>
    <mergeCell ref="I51:I52"/>
    <mergeCell ref="B154:C154"/>
    <mergeCell ref="B155:C155"/>
    <mergeCell ref="B197:C197"/>
    <mergeCell ref="B178:C178"/>
    <mergeCell ref="P146:Q147"/>
    <mergeCell ref="L146:M146"/>
    <mergeCell ref="N146:O146"/>
    <mergeCell ref="H146:H147"/>
    <mergeCell ref="I146:I147"/>
    <mergeCell ref="E146:F146"/>
    <mergeCell ref="G146:G147"/>
    <mergeCell ref="K146:K147"/>
    <mergeCell ref="E195:F195"/>
    <mergeCell ref="H195:H196"/>
    <mergeCell ref="J190:N190"/>
    <mergeCell ref="B179:C179"/>
    <mergeCell ref="D195:D196"/>
    <mergeCell ref="K195:K196"/>
    <mergeCell ref="I195:I196"/>
    <mergeCell ref="G195:G196"/>
    <mergeCell ref="B180:C180"/>
    <mergeCell ref="D190:G190"/>
    <mergeCell ref="N175:O175"/>
    <mergeCell ref="E171:F171"/>
    <mergeCell ref="B241:C241"/>
    <mergeCell ref="L219:M219"/>
    <mergeCell ref="D226:D227"/>
    <mergeCell ref="C208:D208"/>
    <mergeCell ref="C209:D209"/>
    <mergeCell ref="G210:K210"/>
    <mergeCell ref="C210:D210"/>
    <mergeCell ref="B232:C232"/>
    <mergeCell ref="J226:J227"/>
    <mergeCell ref="K226:K227"/>
    <mergeCell ref="B237:C237"/>
    <mergeCell ref="G226:G227"/>
    <mergeCell ref="B234:C234"/>
    <mergeCell ref="B240:C240"/>
    <mergeCell ref="B175:C176"/>
    <mergeCell ref="B182:C182"/>
    <mergeCell ref="B183:C183"/>
    <mergeCell ref="D191:G191"/>
    <mergeCell ref="D192:G192"/>
    <mergeCell ref="J191:N191"/>
    <mergeCell ref="B177:C177"/>
    <mergeCell ref="B184:C184"/>
    <mergeCell ref="D175:D176"/>
    <mergeCell ref="I175:I176"/>
    <mergeCell ref="E175:F175"/>
    <mergeCell ref="G175:G176"/>
    <mergeCell ref="B181:C181"/>
    <mergeCell ref="N214:O214"/>
    <mergeCell ref="N215:O215"/>
    <mergeCell ref="J212:K212"/>
    <mergeCell ref="K172:L172"/>
    <mergeCell ref="K173:L173"/>
    <mergeCell ref="J195:J196"/>
    <mergeCell ref="L195:M195"/>
    <mergeCell ref="N213:O213"/>
    <mergeCell ref="L210:M210"/>
    <mergeCell ref="J192:N192"/>
    <mergeCell ref="K175:K176"/>
    <mergeCell ref="O212:P212"/>
    <mergeCell ref="P195:Q196"/>
    <mergeCell ref="N202:O202"/>
    <mergeCell ref="P175:Q176"/>
    <mergeCell ref="N195:O195"/>
    <mergeCell ref="E245:F245"/>
    <mergeCell ref="M245:O245"/>
    <mergeCell ref="K247:L247"/>
    <mergeCell ref="B249:C250"/>
    <mergeCell ref="D249:D250"/>
    <mergeCell ref="E249:F249"/>
    <mergeCell ref="G249:G250"/>
    <mergeCell ref="H249:H250"/>
    <mergeCell ref="I249:I250"/>
    <mergeCell ref="J249:J250"/>
    <mergeCell ref="K249:K250"/>
    <mergeCell ref="N249:O249"/>
    <mergeCell ref="L249:M249"/>
    <mergeCell ref="K245:L245"/>
    <mergeCell ref="P249:Q250"/>
    <mergeCell ref="B251:C251"/>
    <mergeCell ref="B252:C252"/>
    <mergeCell ref="B253:C253"/>
    <mergeCell ref="J264:N264"/>
    <mergeCell ref="D265:G265"/>
    <mergeCell ref="J265:N265"/>
    <mergeCell ref="B254:C254"/>
    <mergeCell ref="B255:C255"/>
    <mergeCell ref="B256:C256"/>
    <mergeCell ref="B257:C257"/>
    <mergeCell ref="B258:C258"/>
    <mergeCell ref="D264:G264"/>
  </mergeCells>
  <phoneticPr fontId="2" type="noConversion"/>
  <pageMargins left="0.48" right="0.41" top="0.23622047244094491" bottom="0.23622047244094491" header="0.15748031496062992" footer="0.15748031496062992"/>
  <pageSetup paperSize="9" scale="77" orientation="landscape" horizontalDpi="300" verticalDpi="300" r:id="rId1"/>
  <headerFooter alignWithMargins="0"/>
  <rowBreaks count="5" manualBreakCount="5">
    <brk id="34" max="17" man="1"/>
    <brk id="70" max="17" man="1"/>
    <brk id="114" max="16383" man="1"/>
    <brk id="156" max="17" man="1"/>
    <brk id="199" max="17" man="1"/>
  </rowBreaks>
  <ignoredErrors>
    <ignoredError sqref="A1:Q157 A194 A225 A190:B193 A197:A198 C197:C198 D173:I173 A158 D158:Q158 A201 C228:C229 A228:A230 A233 F233 F228:F230 H228:K228 H229:M230 H233:K233 R233:IV233 M228 O229 M233 R228:IV230 O207 R1:IV158 C201:O201 R197:IV198 C225:IV225 R207:IV219 R173:IV179 P171:IV171 Q207 A199:IV200 A226:IV227 A196:IV196 K219 P197 A266:IV65536 A221:E221 S223:IV223 S220:IV221 K215:K217 O217:Q218 J221 A223:E223 J223 D166:I166 P190:IV195 A195:B195 A174:A179 A173:B173 J167:J168 O167:IV167 H197:M198 F197:F198 Q201:IV201 O216 D165:G165 J165 L166:IV166 A165:B169 P168:IV169 A171:B171 M173:Q173 A163:J164 P163:IV165 A213:B220 A207:A212 P215:Q215 N219:Q219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7"/>
  </sheetPr>
  <dimension ref="A1:O13"/>
  <sheetViews>
    <sheetView workbookViewId="0"/>
  </sheetViews>
  <sheetFormatPr defaultRowHeight="13.5"/>
  <cols>
    <col min="1" max="1" width="19.21875" style="55" customWidth="1"/>
    <col min="2" max="3" width="5.6640625" style="55" customWidth="1"/>
    <col min="4" max="4" width="7.44140625" style="55" bestFit="1" customWidth="1"/>
    <col min="5" max="6" width="6.77734375" customWidth="1"/>
    <col min="7" max="7" width="6.77734375" style="63" customWidth="1"/>
    <col min="8" max="14" width="6.77734375" customWidth="1"/>
  </cols>
  <sheetData>
    <row r="1" spans="1:15" s="55" customFormat="1" ht="39.950000000000003" customHeight="1" thickBot="1">
      <c r="A1" s="52" t="s">
        <v>120</v>
      </c>
      <c r="B1" s="52"/>
      <c r="C1" s="52"/>
      <c r="D1" s="52"/>
      <c r="E1" s="53"/>
      <c r="F1" s="53"/>
      <c r="G1" s="54"/>
      <c r="H1" s="53"/>
      <c r="I1" s="53"/>
      <c r="J1" s="53"/>
      <c r="K1" s="53"/>
      <c r="L1" s="53"/>
      <c r="M1" s="53"/>
      <c r="N1" s="53"/>
      <c r="O1" s="53"/>
    </row>
    <row r="2" spans="1:15" s="56" customFormat="1" ht="39.950000000000003" customHeight="1">
      <c r="A2" s="294" t="s">
        <v>103</v>
      </c>
      <c r="B2" s="296" t="s">
        <v>104</v>
      </c>
      <c r="C2" s="296"/>
      <c r="D2" s="305" t="s">
        <v>125</v>
      </c>
      <c r="E2" s="305" t="s">
        <v>105</v>
      </c>
      <c r="F2" s="305"/>
      <c r="G2" s="305"/>
      <c r="H2" s="305"/>
      <c r="I2" s="305"/>
      <c r="J2" s="64" t="s">
        <v>106</v>
      </c>
      <c r="K2" s="64"/>
      <c r="L2" s="64"/>
      <c r="M2" s="64"/>
      <c r="N2" s="64"/>
      <c r="O2" s="307" t="s">
        <v>107</v>
      </c>
    </row>
    <row r="3" spans="1:15" s="56" customFormat="1" ht="39.950000000000003" customHeight="1">
      <c r="A3" s="295"/>
      <c r="B3" s="297"/>
      <c r="C3" s="297"/>
      <c r="D3" s="306"/>
      <c r="E3" s="65" t="s">
        <v>114</v>
      </c>
      <c r="F3" s="65" t="s">
        <v>115</v>
      </c>
      <c r="G3" s="66" t="s">
        <v>116</v>
      </c>
      <c r="H3" s="65" t="s">
        <v>117</v>
      </c>
      <c r="I3" s="65" t="s">
        <v>118</v>
      </c>
      <c r="J3" s="65" t="s">
        <v>41</v>
      </c>
      <c r="K3" s="65" t="s">
        <v>108</v>
      </c>
      <c r="L3" s="65" t="s">
        <v>109</v>
      </c>
      <c r="M3" s="65" t="s">
        <v>110</v>
      </c>
      <c r="N3" s="65" t="s">
        <v>53</v>
      </c>
      <c r="O3" s="308"/>
    </row>
    <row r="4" spans="1:15" s="56" customFormat="1" ht="39.950000000000003" customHeight="1">
      <c r="A4" s="298">
        <v>125000</v>
      </c>
      <c r="B4" s="297" t="s">
        <v>111</v>
      </c>
      <c r="C4" s="297"/>
      <c r="D4" s="57">
        <v>35000</v>
      </c>
      <c r="E4" s="74">
        <v>10000</v>
      </c>
      <c r="F4" s="91">
        <v>73600</v>
      </c>
      <c r="G4" s="91">
        <v>72300</v>
      </c>
      <c r="H4" s="75">
        <v>10000</v>
      </c>
      <c r="I4" s="75">
        <v>10000</v>
      </c>
      <c r="J4" s="76">
        <f>24/((E4)/$D4)</f>
        <v>84</v>
      </c>
      <c r="K4" s="76">
        <f>24/((F4)/$D4)</f>
        <v>11.413043478260871</v>
      </c>
      <c r="L4" s="76">
        <f>24/((G4)/$D4)</f>
        <v>11.618257261410788</v>
      </c>
      <c r="M4" s="76">
        <f>24/((H4)/$D4)</f>
        <v>84</v>
      </c>
      <c r="N4" s="76">
        <f>24/((I4)/$D4)</f>
        <v>84</v>
      </c>
      <c r="O4" s="67"/>
    </row>
    <row r="5" spans="1:15" s="56" customFormat="1" ht="39.950000000000003" customHeight="1">
      <c r="A5" s="299"/>
      <c r="B5" s="297" t="s">
        <v>119</v>
      </c>
      <c r="C5" s="297"/>
      <c r="D5" s="57">
        <v>8400</v>
      </c>
      <c r="E5" s="75">
        <v>10000</v>
      </c>
      <c r="F5" s="91">
        <v>19670</v>
      </c>
      <c r="G5" s="91">
        <v>0</v>
      </c>
      <c r="H5" s="75">
        <v>10000</v>
      </c>
      <c r="I5" s="75">
        <v>10000</v>
      </c>
      <c r="J5" s="76">
        <f t="shared" ref="J5:N6" si="0">24/((E5)/$D5)</f>
        <v>20.16</v>
      </c>
      <c r="K5" s="76">
        <f t="shared" si="0"/>
        <v>10.249110320284696</v>
      </c>
      <c r="L5" s="76" t="e">
        <f t="shared" si="0"/>
        <v>#DIV/0!</v>
      </c>
      <c r="M5" s="76">
        <f t="shared" si="0"/>
        <v>20.16</v>
      </c>
      <c r="N5" s="76">
        <f t="shared" si="0"/>
        <v>20.16</v>
      </c>
      <c r="O5" s="68"/>
    </row>
    <row r="6" spans="1:15" ht="39.950000000000003" customHeight="1">
      <c r="A6" s="300"/>
      <c r="B6" s="297" t="s">
        <v>112</v>
      </c>
      <c r="C6" s="297"/>
      <c r="D6" s="57">
        <v>20000</v>
      </c>
      <c r="E6" s="75">
        <v>10000</v>
      </c>
      <c r="F6" s="91">
        <v>18110</v>
      </c>
      <c r="G6" s="91">
        <v>48220</v>
      </c>
      <c r="H6" s="75">
        <v>10000</v>
      </c>
      <c r="I6" s="75">
        <v>10000</v>
      </c>
      <c r="J6" s="76">
        <f t="shared" si="0"/>
        <v>48</v>
      </c>
      <c r="K6" s="76">
        <f t="shared" si="0"/>
        <v>26.50469353948095</v>
      </c>
      <c r="L6" s="76">
        <f t="shared" si="0"/>
        <v>9.9543757776856072</v>
      </c>
      <c r="M6" s="76">
        <f t="shared" si="0"/>
        <v>48</v>
      </c>
      <c r="N6" s="76">
        <f t="shared" si="0"/>
        <v>48</v>
      </c>
      <c r="O6" s="69" t="s">
        <v>113</v>
      </c>
    </row>
    <row r="7" spans="1:15" s="56" customFormat="1" ht="39.950000000000003" customHeight="1">
      <c r="A7" s="301">
        <v>181000</v>
      </c>
      <c r="B7" s="297" t="s">
        <v>122</v>
      </c>
      <c r="C7" s="297"/>
      <c r="D7" s="57">
        <v>22000</v>
      </c>
      <c r="E7" s="74">
        <v>10000</v>
      </c>
      <c r="F7" s="91">
        <v>66200</v>
      </c>
      <c r="G7" s="91">
        <v>60120</v>
      </c>
      <c r="H7" s="75">
        <v>10000</v>
      </c>
      <c r="I7" s="75">
        <v>10000</v>
      </c>
      <c r="J7" s="76">
        <f t="shared" ref="J7:N10" si="1">24/((E7)/$D7)</f>
        <v>52.800000000000004</v>
      </c>
      <c r="K7" s="76">
        <f t="shared" si="1"/>
        <v>7.9758308157099691</v>
      </c>
      <c r="L7" s="76">
        <f t="shared" si="1"/>
        <v>8.7824351297405183</v>
      </c>
      <c r="M7" s="76">
        <f t="shared" si="1"/>
        <v>52.800000000000004</v>
      </c>
      <c r="N7" s="76">
        <f t="shared" si="1"/>
        <v>52.800000000000004</v>
      </c>
      <c r="O7" s="67"/>
    </row>
    <row r="8" spans="1:15" s="56" customFormat="1" ht="39.950000000000003" customHeight="1">
      <c r="A8" s="302"/>
      <c r="B8" s="297" t="s">
        <v>123</v>
      </c>
      <c r="C8" s="297"/>
      <c r="D8" s="57">
        <v>36000</v>
      </c>
      <c r="E8" s="75">
        <v>10000</v>
      </c>
      <c r="F8" s="91">
        <v>80170</v>
      </c>
      <c r="G8" s="91">
        <v>72840</v>
      </c>
      <c r="H8" s="75">
        <v>10000</v>
      </c>
      <c r="I8" s="75">
        <v>10000</v>
      </c>
      <c r="J8" s="76">
        <f t="shared" ref="J8:N9" si="2">24/((E8)/$D8)</f>
        <v>86.399999999999991</v>
      </c>
      <c r="K8" s="76">
        <f t="shared" si="2"/>
        <v>10.777098665336162</v>
      </c>
      <c r="L8" s="76">
        <f t="shared" si="2"/>
        <v>11.86161449752883</v>
      </c>
      <c r="M8" s="76">
        <f t="shared" si="2"/>
        <v>86.399999999999991</v>
      </c>
      <c r="N8" s="76">
        <f t="shared" si="2"/>
        <v>86.399999999999991</v>
      </c>
      <c r="O8" s="68"/>
    </row>
    <row r="9" spans="1:15" s="56" customFormat="1" ht="39.950000000000003" customHeight="1">
      <c r="A9" s="302"/>
      <c r="B9" s="297" t="s">
        <v>128</v>
      </c>
      <c r="C9" s="297"/>
      <c r="D9" s="57">
        <v>10000</v>
      </c>
      <c r="E9" s="75">
        <v>10000</v>
      </c>
      <c r="F9" s="91">
        <v>58700</v>
      </c>
      <c r="G9" s="91">
        <v>111500</v>
      </c>
      <c r="H9" s="75">
        <v>10000</v>
      </c>
      <c r="I9" s="75">
        <v>10000</v>
      </c>
      <c r="J9" s="76">
        <f t="shared" si="2"/>
        <v>24</v>
      </c>
      <c r="K9" s="76">
        <f t="shared" si="2"/>
        <v>4.0885860306643949</v>
      </c>
      <c r="L9" s="76">
        <f t="shared" si="2"/>
        <v>2.1524663677130045</v>
      </c>
      <c r="M9" s="76">
        <f t="shared" si="2"/>
        <v>24</v>
      </c>
      <c r="N9" s="76">
        <f t="shared" si="2"/>
        <v>24</v>
      </c>
      <c r="O9" s="68"/>
    </row>
    <row r="10" spans="1:15" s="56" customFormat="1" ht="39.950000000000003" customHeight="1" thickBot="1">
      <c r="A10" s="303"/>
      <c r="B10" s="304" t="s">
        <v>127</v>
      </c>
      <c r="C10" s="304"/>
      <c r="D10" s="92">
        <v>17000</v>
      </c>
      <c r="E10" s="77">
        <v>10000</v>
      </c>
      <c r="F10" s="92">
        <v>28300</v>
      </c>
      <c r="G10" s="92">
        <v>49500</v>
      </c>
      <c r="H10" s="77">
        <v>10000</v>
      </c>
      <c r="I10" s="77">
        <v>10000</v>
      </c>
      <c r="J10" s="78">
        <f t="shared" si="1"/>
        <v>40.799999999999997</v>
      </c>
      <c r="K10" s="78">
        <f t="shared" si="1"/>
        <v>14.416961130742049</v>
      </c>
      <c r="L10" s="78">
        <f t="shared" si="1"/>
        <v>8.2424242424242422</v>
      </c>
      <c r="M10" s="78">
        <f t="shared" si="1"/>
        <v>40.799999999999997</v>
      </c>
      <c r="N10" s="78">
        <f t="shared" si="1"/>
        <v>40.799999999999997</v>
      </c>
      <c r="O10" s="70" t="s">
        <v>126</v>
      </c>
    </row>
    <row r="11" spans="1:15">
      <c r="A11" s="58"/>
      <c r="B11" s="58"/>
      <c r="C11" s="58"/>
      <c r="D11" s="58"/>
      <c r="E11" s="59"/>
      <c r="F11" s="59"/>
      <c r="G11" s="59"/>
      <c r="H11" s="60"/>
      <c r="I11" s="61"/>
    </row>
    <row r="12" spans="1:15">
      <c r="A12" s="58"/>
      <c r="B12" s="62"/>
      <c r="E12" s="60"/>
      <c r="F12" s="60"/>
      <c r="G12" s="60"/>
      <c r="H12" s="60"/>
      <c r="I12" s="60"/>
    </row>
    <row r="13" spans="1:15">
      <c r="A13" s="58"/>
    </row>
  </sheetData>
  <mergeCells count="14">
    <mergeCell ref="D2:D3"/>
    <mergeCell ref="E2:I2"/>
    <mergeCell ref="O2:O3"/>
    <mergeCell ref="B6:C6"/>
    <mergeCell ref="B4:C4"/>
    <mergeCell ref="B5:C5"/>
    <mergeCell ref="A2:A3"/>
    <mergeCell ref="B2:C3"/>
    <mergeCell ref="B8:C8"/>
    <mergeCell ref="B9:C9"/>
    <mergeCell ref="A4:A6"/>
    <mergeCell ref="A7:A10"/>
    <mergeCell ref="B7:C7"/>
    <mergeCell ref="B10:C10"/>
  </mergeCells>
  <phoneticPr fontId="2" type="noConversion"/>
  <pageMargins left="0.78740157480314965" right="0.39370078740157483" top="0.51181102362204722" bottom="0.6692913385826772" header="0.3149606299212598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2:P50"/>
  <sheetViews>
    <sheetView topLeftCell="A4" workbookViewId="0">
      <selection activeCell="A12" sqref="A12:A14"/>
    </sheetView>
  </sheetViews>
  <sheetFormatPr defaultColWidth="8.77734375" defaultRowHeight="20.100000000000001" customHeight="1"/>
  <cols>
    <col min="1" max="1" width="15.77734375" style="140" customWidth="1"/>
    <col min="2" max="2" width="10.77734375" style="140" customWidth="1"/>
    <col min="3" max="3" width="9.77734375" style="140" customWidth="1"/>
    <col min="4" max="4" width="5.77734375" style="140" customWidth="1"/>
    <col min="5" max="5" width="2.77734375" style="140" customWidth="1"/>
    <col min="6" max="6" width="9.77734375" style="140" customWidth="1"/>
    <col min="7" max="7" width="4.77734375" style="140" customWidth="1"/>
    <col min="8" max="8" width="2.77734375" style="140" customWidth="1"/>
    <col min="9" max="9" width="9.77734375" style="140" customWidth="1"/>
    <col min="10" max="10" width="4.77734375" style="140" customWidth="1"/>
    <col min="11" max="16384" width="8.77734375" style="140"/>
  </cols>
  <sheetData>
    <row r="2" spans="1:16" ht="20.100000000000001" customHeight="1">
      <c r="A2" s="140" t="s">
        <v>389</v>
      </c>
    </row>
    <row r="3" spans="1:16" ht="20.100000000000001" customHeight="1">
      <c r="A3" s="314" t="s">
        <v>392</v>
      </c>
      <c r="B3" s="141" t="s">
        <v>399</v>
      </c>
      <c r="C3" s="310">
        <f>'2030'!L27</f>
        <v>6063</v>
      </c>
      <c r="D3" s="310"/>
      <c r="E3" s="311"/>
      <c r="F3" s="143" t="s">
        <v>400</v>
      </c>
      <c r="G3" s="312"/>
      <c r="H3" s="312"/>
      <c r="I3" s="312"/>
      <c r="J3" s="313"/>
    </row>
    <row r="4" spans="1:16" ht="20.100000000000001" customHeight="1">
      <c r="A4" s="314"/>
      <c r="B4" s="141" t="s">
        <v>390</v>
      </c>
      <c r="C4" s="145">
        <f>ROUND(K4/60,2)</f>
        <v>1.78</v>
      </c>
      <c r="D4" s="143" t="s">
        <v>393</v>
      </c>
      <c r="E4" s="143" t="s">
        <v>394</v>
      </c>
      <c r="F4" s="143">
        <v>30</v>
      </c>
      <c r="G4" s="143" t="s">
        <v>396</v>
      </c>
      <c r="H4" s="143" t="s">
        <v>394</v>
      </c>
      <c r="I4" s="143">
        <v>4</v>
      </c>
      <c r="J4" s="144" t="s">
        <v>397</v>
      </c>
      <c r="K4" s="140">
        <v>107</v>
      </c>
      <c r="L4" s="146">
        <f>ROUND(C4*60*24*(I4-1),0)</f>
        <v>7690</v>
      </c>
    </row>
    <row r="5" spans="1:16" ht="20.100000000000001" customHeight="1">
      <c r="A5" s="314"/>
      <c r="B5" s="136" t="s">
        <v>391</v>
      </c>
      <c r="C5" s="137">
        <f>C4</f>
        <v>1.78</v>
      </c>
      <c r="D5" s="138" t="s">
        <v>393</v>
      </c>
      <c r="E5" s="138" t="s">
        <v>395</v>
      </c>
      <c r="F5" s="138">
        <f>'2030'!AJ27</f>
        <v>30</v>
      </c>
      <c r="G5" s="138" t="s">
        <v>396</v>
      </c>
      <c r="H5" s="138" t="s">
        <v>395</v>
      </c>
      <c r="I5" s="138">
        <v>4</v>
      </c>
      <c r="J5" s="139" t="s">
        <v>397</v>
      </c>
      <c r="L5" s="146">
        <f>ROUND(C5*60*24*(I5-1),-2)</f>
        <v>7700</v>
      </c>
    </row>
    <row r="6" spans="1:16" ht="20.100000000000001" customHeight="1">
      <c r="A6" s="309" t="s">
        <v>398</v>
      </c>
      <c r="B6" s="141" t="s">
        <v>399</v>
      </c>
      <c r="C6" s="310">
        <f>'2030'!L77</f>
        <v>27607</v>
      </c>
      <c r="D6" s="310"/>
      <c r="E6" s="311"/>
      <c r="F6" s="143" t="s">
        <v>400</v>
      </c>
      <c r="G6" s="312"/>
      <c r="H6" s="312"/>
      <c r="I6" s="312"/>
      <c r="J6" s="313"/>
      <c r="M6" s="320" t="s">
        <v>116</v>
      </c>
    </row>
    <row r="7" spans="1:16" ht="20.100000000000001" customHeight="1">
      <c r="A7" s="309"/>
      <c r="B7" s="141" t="s">
        <v>390</v>
      </c>
      <c r="C7" s="145">
        <v>5.4</v>
      </c>
      <c r="D7" s="143" t="s">
        <v>393</v>
      </c>
      <c r="E7" s="143" t="s">
        <v>394</v>
      </c>
      <c r="F7" s="143">
        <v>40</v>
      </c>
      <c r="G7" s="143" t="s">
        <v>396</v>
      </c>
      <c r="H7" s="143" t="s">
        <v>394</v>
      </c>
      <c r="I7" s="143">
        <v>4</v>
      </c>
      <c r="J7" s="144" t="s">
        <v>397</v>
      </c>
      <c r="L7" s="146">
        <f>ROUND(C7*60*24*(I7-1),0)</f>
        <v>23328</v>
      </c>
      <c r="M7" s="320"/>
    </row>
    <row r="8" spans="1:16" ht="20.100000000000001" customHeight="1">
      <c r="A8" s="309"/>
      <c r="B8" s="147" t="s">
        <v>403</v>
      </c>
      <c r="C8" s="148">
        <v>6.7</v>
      </c>
      <c r="D8" s="149" t="s">
        <v>393</v>
      </c>
      <c r="E8" s="149" t="s">
        <v>404</v>
      </c>
      <c r="F8" s="149">
        <f>'2030'!AJ77</f>
        <v>50</v>
      </c>
      <c r="G8" s="149" t="s">
        <v>405</v>
      </c>
      <c r="H8" s="149" t="s">
        <v>404</v>
      </c>
      <c r="I8" s="149">
        <v>4</v>
      </c>
      <c r="J8" s="150" t="s">
        <v>406</v>
      </c>
      <c r="L8" s="146">
        <f>ROUND(C8*60*24*(I8-1),-2)</f>
        <v>28900</v>
      </c>
      <c r="M8" s="320"/>
    </row>
    <row r="9" spans="1:16" ht="20.100000000000001" customHeight="1">
      <c r="A9" s="309" t="s">
        <v>351</v>
      </c>
      <c r="B9" s="141" t="s">
        <v>399</v>
      </c>
      <c r="C9" s="310">
        <f>'2030'!L130</f>
        <v>11690</v>
      </c>
      <c r="D9" s="310"/>
      <c r="E9" s="311"/>
      <c r="F9" s="143" t="s">
        <v>400</v>
      </c>
      <c r="G9" s="312"/>
      <c r="H9" s="312"/>
      <c r="I9" s="312"/>
      <c r="J9" s="313"/>
    </row>
    <row r="10" spans="1:16" ht="20.100000000000001" customHeight="1">
      <c r="A10" s="309"/>
      <c r="B10" s="141" t="s">
        <v>390</v>
      </c>
      <c r="C10" s="145">
        <f>ROUND(K10/60,2)</f>
        <v>1.9</v>
      </c>
      <c r="D10" s="143" t="s">
        <v>393</v>
      </c>
      <c r="E10" s="143" t="s">
        <v>394</v>
      </c>
      <c r="F10" s="143">
        <v>60</v>
      </c>
      <c r="G10" s="143" t="s">
        <v>396</v>
      </c>
      <c r="H10" s="143" t="s">
        <v>394</v>
      </c>
      <c r="I10" s="143">
        <v>6</v>
      </c>
      <c r="J10" s="144" t="s">
        <v>397</v>
      </c>
      <c r="K10" s="140">
        <v>114</v>
      </c>
      <c r="L10" s="146">
        <f>ROUND(C10*60*24*(I10-1),0)</f>
        <v>13680</v>
      </c>
      <c r="P10" s="140">
        <f>96*24*4</f>
        <v>9216</v>
      </c>
    </row>
    <row r="11" spans="1:16" ht="20.100000000000001" customHeight="1">
      <c r="A11" s="309"/>
      <c r="B11" s="147" t="s">
        <v>391</v>
      </c>
      <c r="C11" s="148">
        <v>1.9</v>
      </c>
      <c r="D11" s="149" t="s">
        <v>393</v>
      </c>
      <c r="E11" s="149" t="s">
        <v>395</v>
      </c>
      <c r="F11" s="149">
        <f>'2030'!AJ130</f>
        <v>80</v>
      </c>
      <c r="G11" s="149" t="s">
        <v>396</v>
      </c>
      <c r="H11" s="149" t="s">
        <v>395</v>
      </c>
      <c r="I11" s="149">
        <v>6</v>
      </c>
      <c r="J11" s="150" t="s">
        <v>397</v>
      </c>
      <c r="L11" s="146">
        <f>ROUND(C11*60*24*(I11-1),-2)</f>
        <v>13700</v>
      </c>
    </row>
    <row r="12" spans="1:16" ht="20.100000000000001" customHeight="1">
      <c r="A12" s="309" t="s">
        <v>401</v>
      </c>
      <c r="B12" s="141" t="s">
        <v>399</v>
      </c>
      <c r="C12" s="310">
        <f>'2030'!L156</f>
        <v>2578</v>
      </c>
      <c r="D12" s="310"/>
      <c r="E12" s="311"/>
      <c r="F12" s="143" t="s">
        <v>400</v>
      </c>
      <c r="G12" s="312"/>
      <c r="H12" s="312"/>
      <c r="I12" s="312"/>
      <c r="J12" s="313"/>
    </row>
    <row r="13" spans="1:16" ht="20.100000000000001" customHeight="1">
      <c r="A13" s="309"/>
      <c r="B13" s="141" t="s">
        <v>390</v>
      </c>
      <c r="C13" s="145">
        <f>ROUND(K13/60,2)</f>
        <v>2.57</v>
      </c>
      <c r="D13" s="143" t="s">
        <v>393</v>
      </c>
      <c r="E13" s="143" t="s">
        <v>394</v>
      </c>
      <c r="F13" s="143">
        <v>28</v>
      </c>
      <c r="G13" s="143" t="s">
        <v>396</v>
      </c>
      <c r="H13" s="143" t="s">
        <v>394</v>
      </c>
      <c r="I13" s="143">
        <v>3</v>
      </c>
      <c r="J13" s="144" t="s">
        <v>397</v>
      </c>
      <c r="K13" s="140">
        <v>154</v>
      </c>
      <c r="L13" s="146">
        <f>ROUND(C13*60*24*(I13-1),0)</f>
        <v>7402</v>
      </c>
    </row>
    <row r="14" spans="1:16" ht="20.100000000000001" customHeight="1">
      <c r="A14" s="309"/>
      <c r="B14" s="136" t="s">
        <v>391</v>
      </c>
      <c r="C14" s="137">
        <f>C13</f>
        <v>2.57</v>
      </c>
      <c r="D14" s="138" t="s">
        <v>393</v>
      </c>
      <c r="E14" s="138" t="s">
        <v>395</v>
      </c>
      <c r="F14" s="138">
        <f>'2030'!AJ156</f>
        <v>28</v>
      </c>
      <c r="G14" s="138" t="s">
        <v>396</v>
      </c>
      <c r="H14" s="138" t="s">
        <v>395</v>
      </c>
      <c r="I14" s="138">
        <v>3</v>
      </c>
      <c r="J14" s="139" t="s">
        <v>397</v>
      </c>
      <c r="L14" s="146">
        <f>ROUND(C14*60*24*(I14-1),-2)</f>
        <v>7400</v>
      </c>
    </row>
    <row r="15" spans="1:16" ht="20.100000000000001" customHeight="1">
      <c r="A15" s="309" t="s">
        <v>273</v>
      </c>
      <c r="B15" s="141" t="s">
        <v>399</v>
      </c>
      <c r="C15" s="310">
        <f>'2030'!L182</f>
        <v>8375</v>
      </c>
      <c r="D15" s="310"/>
      <c r="E15" s="311"/>
      <c r="F15" s="143" t="s">
        <v>400</v>
      </c>
      <c r="G15" s="312"/>
      <c r="H15" s="312"/>
      <c r="I15" s="312"/>
      <c r="J15" s="313"/>
      <c r="M15" s="320" t="s">
        <v>116</v>
      </c>
    </row>
    <row r="16" spans="1:16" ht="20.100000000000001" customHeight="1">
      <c r="A16" s="309"/>
      <c r="B16" s="141" t="s">
        <v>390</v>
      </c>
      <c r="C16" s="145">
        <v>1.28</v>
      </c>
      <c r="D16" s="143" t="s">
        <v>393</v>
      </c>
      <c r="E16" s="143" t="s">
        <v>394</v>
      </c>
      <c r="F16" s="143">
        <v>76</v>
      </c>
      <c r="G16" s="143" t="s">
        <v>396</v>
      </c>
      <c r="H16" s="143" t="s">
        <v>394</v>
      </c>
      <c r="I16" s="143">
        <v>4</v>
      </c>
      <c r="J16" s="144" t="s">
        <v>397</v>
      </c>
      <c r="L16" s="146">
        <f>ROUND(C16*60*24*(I16-1),0)</f>
        <v>5530</v>
      </c>
      <c r="M16" s="320"/>
    </row>
    <row r="17" spans="1:13" ht="20.100000000000001" customHeight="1">
      <c r="A17" s="309"/>
      <c r="B17" s="147" t="s">
        <v>391</v>
      </c>
      <c r="C17" s="148">
        <v>2.1</v>
      </c>
      <c r="D17" s="149" t="s">
        <v>402</v>
      </c>
      <c r="E17" s="149" t="s">
        <v>395</v>
      </c>
      <c r="F17" s="149">
        <f>'2030'!AJ182</f>
        <v>76</v>
      </c>
      <c r="G17" s="149" t="s">
        <v>396</v>
      </c>
      <c r="H17" s="149" t="s">
        <v>395</v>
      </c>
      <c r="I17" s="149">
        <v>4</v>
      </c>
      <c r="J17" s="150" t="s">
        <v>397</v>
      </c>
      <c r="L17" s="146">
        <f>ROUND(C17*60*24*(I17-1),-2)</f>
        <v>9100</v>
      </c>
      <c r="M17" s="320"/>
    </row>
    <row r="18" spans="1:13" ht="20.100000000000001" customHeight="1">
      <c r="A18" s="315" t="s">
        <v>489</v>
      </c>
      <c r="B18" s="175" t="s">
        <v>490</v>
      </c>
      <c r="C18" s="310">
        <f>'2030'!L78</f>
        <v>3765</v>
      </c>
      <c r="D18" s="310"/>
      <c r="E18" s="311"/>
      <c r="F18" s="173" t="s">
        <v>491</v>
      </c>
      <c r="G18" s="312"/>
      <c r="H18" s="312"/>
      <c r="I18" s="312"/>
      <c r="J18" s="313"/>
    </row>
    <row r="19" spans="1:13" ht="20.100000000000001" customHeight="1">
      <c r="A19" s="316"/>
      <c r="B19" s="314" t="s">
        <v>492</v>
      </c>
      <c r="C19" s="145">
        <f>ROUND(K19/60,2)</f>
        <v>4.0999999999999996</v>
      </c>
      <c r="D19" s="173" t="s">
        <v>493</v>
      </c>
      <c r="E19" s="173" t="s">
        <v>494</v>
      </c>
      <c r="F19" s="173">
        <v>41</v>
      </c>
      <c r="G19" s="173" t="s">
        <v>495</v>
      </c>
      <c r="H19" s="173" t="s">
        <v>494</v>
      </c>
      <c r="I19" s="173">
        <v>1</v>
      </c>
      <c r="J19" s="174" t="s">
        <v>496</v>
      </c>
      <c r="K19" s="140">
        <v>246</v>
      </c>
      <c r="L19" s="146">
        <f>ROUND(C19*60*24*(I19-0),0)</f>
        <v>5904</v>
      </c>
      <c r="M19" s="320" t="s">
        <v>116</v>
      </c>
    </row>
    <row r="20" spans="1:13" ht="20.100000000000001" customHeight="1">
      <c r="A20" s="316"/>
      <c r="B20" s="314"/>
      <c r="C20" s="145">
        <f>ROUND(K20/60,2)</f>
        <v>3</v>
      </c>
      <c r="D20" s="173" t="s">
        <v>493</v>
      </c>
      <c r="E20" s="173" t="s">
        <v>494</v>
      </c>
      <c r="F20" s="173">
        <v>41</v>
      </c>
      <c r="G20" s="173" t="s">
        <v>495</v>
      </c>
      <c r="H20" s="173" t="s">
        <v>494</v>
      </c>
      <c r="I20" s="173">
        <v>1</v>
      </c>
      <c r="J20" s="174" t="s">
        <v>496</v>
      </c>
      <c r="K20" s="140">
        <v>180</v>
      </c>
      <c r="L20" s="146">
        <f>ROUND(C20*60*24*(I20-0),0)</f>
        <v>4320</v>
      </c>
      <c r="M20" s="320"/>
    </row>
    <row r="21" spans="1:13" ht="20.100000000000001" customHeight="1">
      <c r="A21" s="316"/>
      <c r="B21" s="318" t="s">
        <v>497</v>
      </c>
      <c r="C21" s="137">
        <v>4.0999999999999996</v>
      </c>
      <c r="D21" s="138" t="s">
        <v>493</v>
      </c>
      <c r="E21" s="138" t="s">
        <v>494</v>
      </c>
      <c r="F21" s="138">
        <f>'2030'!AJ78</f>
        <v>41</v>
      </c>
      <c r="G21" s="138" t="s">
        <v>495</v>
      </c>
      <c r="H21" s="138" t="s">
        <v>494</v>
      </c>
      <c r="I21" s="138">
        <v>1</v>
      </c>
      <c r="J21" s="139" t="s">
        <v>496</v>
      </c>
      <c r="L21" s="146">
        <f>ROUND(C21*60*24*(I21-0),-2)</f>
        <v>5900</v>
      </c>
      <c r="M21" s="320"/>
    </row>
    <row r="22" spans="1:13" ht="20.100000000000001" customHeight="1">
      <c r="A22" s="317"/>
      <c r="B22" s="319"/>
      <c r="C22" s="137">
        <v>3</v>
      </c>
      <c r="D22" s="138" t="s">
        <v>493</v>
      </c>
      <c r="E22" s="138" t="s">
        <v>494</v>
      </c>
      <c r="F22" s="138">
        <f>F21</f>
        <v>41</v>
      </c>
      <c r="G22" s="138" t="s">
        <v>495</v>
      </c>
      <c r="H22" s="138" t="s">
        <v>494</v>
      </c>
      <c r="I22" s="138">
        <v>1</v>
      </c>
      <c r="J22" s="139" t="s">
        <v>496</v>
      </c>
      <c r="L22" s="146">
        <f>ROUND(C22*60*24*(I22-0),-2)</f>
        <v>4300</v>
      </c>
      <c r="M22" s="320"/>
    </row>
    <row r="23" spans="1:13" ht="20.100000000000001" customHeight="1">
      <c r="A23" s="309" t="s">
        <v>362</v>
      </c>
      <c r="B23" s="141" t="s">
        <v>399</v>
      </c>
      <c r="C23" s="310">
        <f>'2030'!L133</f>
        <v>0</v>
      </c>
      <c r="D23" s="310"/>
      <c r="E23" s="311"/>
      <c r="F23" s="143" t="s">
        <v>400</v>
      </c>
      <c r="G23" s="312"/>
      <c r="H23" s="312"/>
      <c r="I23" s="312"/>
      <c r="J23" s="313"/>
      <c r="M23" s="320" t="s">
        <v>116</v>
      </c>
    </row>
    <row r="24" spans="1:13" ht="20.100000000000001" customHeight="1">
      <c r="A24" s="309"/>
      <c r="B24" s="141" t="s">
        <v>390</v>
      </c>
      <c r="C24" s="145">
        <f>ROUND(K24/60,2)</f>
        <v>0.33</v>
      </c>
      <c r="D24" s="143" t="s">
        <v>393</v>
      </c>
      <c r="E24" s="143" t="s">
        <v>394</v>
      </c>
      <c r="F24" s="143">
        <v>46</v>
      </c>
      <c r="G24" s="143" t="s">
        <v>396</v>
      </c>
      <c r="H24" s="143" t="s">
        <v>394</v>
      </c>
      <c r="I24" s="143">
        <v>2</v>
      </c>
      <c r="J24" s="144" t="s">
        <v>397</v>
      </c>
      <c r="K24" s="140">
        <v>20</v>
      </c>
      <c r="L24" s="146">
        <f>ROUND(C24*60*24*(I24-1),0)</f>
        <v>475</v>
      </c>
      <c r="M24" s="320"/>
    </row>
    <row r="25" spans="1:13" ht="20.100000000000001" customHeight="1">
      <c r="A25" s="309"/>
      <c r="B25" s="147" t="s">
        <v>391</v>
      </c>
      <c r="C25" s="148">
        <v>0</v>
      </c>
      <c r="D25" s="149" t="s">
        <v>393</v>
      </c>
      <c r="E25" s="149" t="s">
        <v>394</v>
      </c>
      <c r="F25" s="149">
        <f>'2030'!AJ133</f>
        <v>46</v>
      </c>
      <c r="G25" s="149" t="s">
        <v>396</v>
      </c>
      <c r="H25" s="149" t="s">
        <v>394</v>
      </c>
      <c r="I25" s="149">
        <v>2</v>
      </c>
      <c r="J25" s="150" t="s">
        <v>397</v>
      </c>
      <c r="L25" s="146">
        <f>ROUND(C25*60*24*(I25-1),-2)</f>
        <v>0</v>
      </c>
      <c r="M25" s="320"/>
    </row>
    <row r="26" spans="1:13" ht="20.100000000000001" customHeight="1">
      <c r="A26" s="309" t="s">
        <v>459</v>
      </c>
      <c r="B26" s="141" t="s">
        <v>399</v>
      </c>
      <c r="C26" s="310">
        <f>'2030'!L187</f>
        <v>4747</v>
      </c>
      <c r="D26" s="310"/>
      <c r="E26" s="311"/>
      <c r="F26" s="143" t="s">
        <v>400</v>
      </c>
      <c r="G26" s="312"/>
      <c r="H26" s="312"/>
      <c r="I26" s="312"/>
      <c r="J26" s="313"/>
    </row>
    <row r="27" spans="1:13" ht="20.100000000000001" customHeight="1">
      <c r="A27" s="309"/>
      <c r="B27" s="141" t="s">
        <v>390</v>
      </c>
      <c r="C27" s="145"/>
      <c r="D27" s="143" t="s">
        <v>393</v>
      </c>
      <c r="E27" s="143" t="s">
        <v>394</v>
      </c>
      <c r="F27" s="143"/>
      <c r="G27" s="143" t="s">
        <v>396</v>
      </c>
      <c r="H27" s="143" t="s">
        <v>394</v>
      </c>
      <c r="I27" s="143"/>
      <c r="J27" s="144" t="s">
        <v>397</v>
      </c>
      <c r="L27" s="146">
        <f>ROUND(C27*60*24*(I27-1),0)</f>
        <v>0</v>
      </c>
    </row>
    <row r="28" spans="1:13" ht="20.100000000000001" customHeight="1">
      <c r="A28" s="309"/>
      <c r="B28" s="147" t="s">
        <v>391</v>
      </c>
      <c r="C28" s="148">
        <v>1.7</v>
      </c>
      <c r="D28" s="149" t="s">
        <v>393</v>
      </c>
      <c r="E28" s="149" t="s">
        <v>394</v>
      </c>
      <c r="F28" s="149">
        <f>'2030'!AJ187</f>
        <v>40</v>
      </c>
      <c r="G28" s="149" t="s">
        <v>396</v>
      </c>
      <c r="H28" s="149" t="s">
        <v>394</v>
      </c>
      <c r="I28" s="149">
        <v>3</v>
      </c>
      <c r="J28" s="150" t="s">
        <v>397</v>
      </c>
      <c r="L28" s="146">
        <f>ROUND(C28*60*24*(I28-1),-2)</f>
        <v>4900</v>
      </c>
    </row>
    <row r="29" spans="1:13" ht="20.100000000000001" customHeight="1">
      <c r="A29" s="309" t="s">
        <v>453</v>
      </c>
      <c r="B29" s="141" t="s">
        <v>399</v>
      </c>
      <c r="C29" s="310">
        <f>배분계획!G10+배분계획!G22</f>
        <v>3626</v>
      </c>
      <c r="D29" s="310"/>
      <c r="E29" s="311"/>
      <c r="F29" s="143" t="s">
        <v>400</v>
      </c>
      <c r="G29" s="312"/>
      <c r="H29" s="312"/>
      <c r="I29" s="312"/>
      <c r="J29" s="313"/>
    </row>
    <row r="30" spans="1:13" ht="20.100000000000001" customHeight="1">
      <c r="A30" s="309"/>
      <c r="B30" s="141" t="s">
        <v>390</v>
      </c>
      <c r="C30" s="145">
        <v>1.53</v>
      </c>
      <c r="D30" s="143" t="s">
        <v>393</v>
      </c>
      <c r="E30" s="143" t="s">
        <v>394</v>
      </c>
      <c r="F30" s="143">
        <f>'2030'!AJ240</f>
        <v>89</v>
      </c>
      <c r="G30" s="143" t="s">
        <v>396</v>
      </c>
      <c r="H30" s="143" t="s">
        <v>394</v>
      </c>
      <c r="I30" s="143">
        <v>2</v>
      </c>
      <c r="J30" s="144" t="s">
        <v>397</v>
      </c>
      <c r="L30" s="146">
        <f>ROUND(C30*60*24*(I30-1),0)</f>
        <v>2203</v>
      </c>
    </row>
    <row r="31" spans="1:13" ht="20.100000000000001" customHeight="1">
      <c r="A31" s="309"/>
      <c r="B31" s="147" t="s">
        <v>391</v>
      </c>
      <c r="C31" s="148">
        <v>2.6</v>
      </c>
      <c r="D31" s="149" t="s">
        <v>393</v>
      </c>
      <c r="E31" s="149" t="s">
        <v>394</v>
      </c>
      <c r="F31" s="149">
        <f>F30</f>
        <v>89</v>
      </c>
      <c r="G31" s="149" t="s">
        <v>396</v>
      </c>
      <c r="H31" s="149" t="s">
        <v>394</v>
      </c>
      <c r="I31" s="149">
        <v>2</v>
      </c>
      <c r="J31" s="150" t="s">
        <v>397</v>
      </c>
      <c r="L31" s="146">
        <f>ROUND(C31*60*24*(I31-1),-2)</f>
        <v>3700</v>
      </c>
    </row>
    <row r="32" spans="1:13" ht="20.100000000000001" customHeight="1">
      <c r="A32" s="309" t="s">
        <v>417</v>
      </c>
      <c r="B32" s="141" t="s">
        <v>399</v>
      </c>
      <c r="C32" s="310">
        <f>'2030'!L241</f>
        <v>2495</v>
      </c>
      <c r="D32" s="310"/>
      <c r="E32" s="311"/>
      <c r="F32" s="143" t="s">
        <v>400</v>
      </c>
      <c r="G32" s="312"/>
      <c r="H32" s="312"/>
      <c r="I32" s="312"/>
      <c r="J32" s="313"/>
    </row>
    <row r="33" spans="1:12" ht="20.100000000000001" customHeight="1">
      <c r="A33" s="309"/>
      <c r="B33" s="141" t="s">
        <v>390</v>
      </c>
      <c r="C33" s="145"/>
      <c r="D33" s="143" t="s">
        <v>393</v>
      </c>
      <c r="E33" s="143" t="s">
        <v>394</v>
      </c>
      <c r="F33" s="143"/>
      <c r="G33" s="143" t="s">
        <v>396</v>
      </c>
      <c r="H33" s="143" t="s">
        <v>394</v>
      </c>
      <c r="I33" s="143"/>
      <c r="J33" s="144" t="s">
        <v>397</v>
      </c>
      <c r="L33" s="146">
        <f>ROUND(C33*60*24*(I33-1),0)</f>
        <v>0</v>
      </c>
    </row>
    <row r="34" spans="1:12" ht="20.100000000000001" customHeight="1">
      <c r="A34" s="309"/>
      <c r="B34" s="147" t="s">
        <v>391</v>
      </c>
      <c r="C34" s="148">
        <v>1.8</v>
      </c>
      <c r="D34" s="149" t="s">
        <v>393</v>
      </c>
      <c r="E34" s="149" t="s">
        <v>394</v>
      </c>
      <c r="F34" s="149">
        <f>'2030'!AJ241</f>
        <v>50</v>
      </c>
      <c r="G34" s="149" t="s">
        <v>396</v>
      </c>
      <c r="H34" s="149" t="s">
        <v>394</v>
      </c>
      <c r="I34" s="149">
        <v>2</v>
      </c>
      <c r="J34" s="150" t="s">
        <v>397</v>
      </c>
      <c r="L34" s="146">
        <f>ROUND(C34*60*24*(I34-1),-2)</f>
        <v>2600</v>
      </c>
    </row>
    <row r="35" spans="1:12" ht="20.100000000000001" customHeight="1">
      <c r="A35" s="309" t="s">
        <v>418</v>
      </c>
      <c r="B35" s="141" t="s">
        <v>399</v>
      </c>
      <c r="C35" s="310">
        <f>'2030'!L212</f>
        <v>781</v>
      </c>
      <c r="D35" s="310"/>
      <c r="E35" s="311"/>
      <c r="F35" s="143" t="s">
        <v>400</v>
      </c>
      <c r="G35" s="312"/>
      <c r="H35" s="312"/>
      <c r="I35" s="312"/>
      <c r="J35" s="313"/>
    </row>
    <row r="36" spans="1:12" ht="20.100000000000001" customHeight="1">
      <c r="A36" s="309"/>
      <c r="B36" s="141" t="s">
        <v>390</v>
      </c>
      <c r="C36" s="142"/>
      <c r="D36" s="143" t="s">
        <v>393</v>
      </c>
      <c r="E36" s="143" t="s">
        <v>394</v>
      </c>
      <c r="F36" s="143"/>
      <c r="G36" s="143" t="s">
        <v>396</v>
      </c>
      <c r="H36" s="143" t="s">
        <v>394</v>
      </c>
      <c r="I36" s="143"/>
      <c r="J36" s="144" t="s">
        <v>397</v>
      </c>
      <c r="L36" s="146">
        <f>ROUND(C36*60*24*(I36-1),0)</f>
        <v>0</v>
      </c>
    </row>
    <row r="37" spans="1:12" ht="20.100000000000001" customHeight="1">
      <c r="A37" s="309"/>
      <c r="B37" s="147" t="s">
        <v>391</v>
      </c>
      <c r="C37" s="148">
        <v>0.55000000000000004</v>
      </c>
      <c r="D37" s="149" t="s">
        <v>393</v>
      </c>
      <c r="E37" s="149" t="s">
        <v>394</v>
      </c>
      <c r="F37" s="149">
        <f>'2030'!AJ212</f>
        <v>85</v>
      </c>
      <c r="G37" s="149" t="s">
        <v>396</v>
      </c>
      <c r="H37" s="149" t="s">
        <v>394</v>
      </c>
      <c r="I37" s="149">
        <v>2</v>
      </c>
      <c r="J37" s="150" t="s">
        <v>397</v>
      </c>
      <c r="L37" s="146">
        <f>ROUND(C37*60*24*(I37-1),-2)</f>
        <v>800</v>
      </c>
    </row>
    <row r="38" spans="1:12" ht="20.100000000000001" customHeight="1">
      <c r="A38" s="309" t="s">
        <v>419</v>
      </c>
      <c r="B38" s="141" t="s">
        <v>399</v>
      </c>
      <c r="C38" s="310">
        <f>'2030'!L213</f>
        <v>781</v>
      </c>
      <c r="D38" s="310"/>
      <c r="E38" s="311"/>
      <c r="F38" s="143" t="s">
        <v>400</v>
      </c>
      <c r="G38" s="312"/>
      <c r="H38" s="312"/>
      <c r="I38" s="312"/>
      <c r="J38" s="313"/>
    </row>
    <row r="39" spans="1:12" ht="20.100000000000001" customHeight="1">
      <c r="A39" s="309"/>
      <c r="B39" s="141" t="s">
        <v>390</v>
      </c>
      <c r="C39" s="142"/>
      <c r="D39" s="143" t="s">
        <v>393</v>
      </c>
      <c r="E39" s="143" t="s">
        <v>394</v>
      </c>
      <c r="F39" s="143"/>
      <c r="G39" s="143" t="s">
        <v>396</v>
      </c>
      <c r="H39" s="143" t="s">
        <v>394</v>
      </c>
      <c r="I39" s="143"/>
      <c r="J39" s="144" t="s">
        <v>397</v>
      </c>
      <c r="L39" s="146">
        <f>ROUND(C39*60*24*(I39-1),0)</f>
        <v>0</v>
      </c>
    </row>
    <row r="40" spans="1:12" ht="20.100000000000001" customHeight="1">
      <c r="A40" s="309"/>
      <c r="B40" s="147" t="s">
        <v>391</v>
      </c>
      <c r="C40" s="148">
        <v>0.55000000000000004</v>
      </c>
      <c r="D40" s="149" t="s">
        <v>393</v>
      </c>
      <c r="E40" s="149" t="s">
        <v>394</v>
      </c>
      <c r="F40" s="149">
        <f>'2030'!AJ213</f>
        <v>85</v>
      </c>
      <c r="G40" s="149" t="s">
        <v>396</v>
      </c>
      <c r="H40" s="149" t="s">
        <v>394</v>
      </c>
      <c r="I40" s="149">
        <v>2</v>
      </c>
      <c r="J40" s="150" t="s">
        <v>397</v>
      </c>
      <c r="L40" s="146">
        <f>ROUND(C40*60*24*(I40-1),-2)</f>
        <v>800</v>
      </c>
    </row>
    <row r="41" spans="1:12" s="170" customFormat="1" ht="20.100000000000001" customHeight="1">
      <c r="A41" s="309" t="s">
        <v>488</v>
      </c>
      <c r="B41" s="169" t="s">
        <v>399</v>
      </c>
      <c r="C41" s="310">
        <f>'2030'!L184</f>
        <v>7362</v>
      </c>
      <c r="D41" s="310"/>
      <c r="E41" s="311"/>
      <c r="F41" s="167" t="s">
        <v>400</v>
      </c>
      <c r="G41" s="312"/>
      <c r="H41" s="312"/>
      <c r="I41" s="312"/>
      <c r="J41" s="313"/>
    </row>
    <row r="42" spans="1:12" s="170" customFormat="1" ht="20.100000000000001" customHeight="1">
      <c r="A42" s="309"/>
      <c r="B42" s="169" t="s">
        <v>390</v>
      </c>
      <c r="C42" s="142"/>
      <c r="D42" s="167" t="s">
        <v>393</v>
      </c>
      <c r="E42" s="167" t="s">
        <v>394</v>
      </c>
      <c r="F42" s="167"/>
      <c r="G42" s="167" t="s">
        <v>396</v>
      </c>
      <c r="H42" s="167" t="s">
        <v>394</v>
      </c>
      <c r="I42" s="167"/>
      <c r="J42" s="168" t="s">
        <v>397</v>
      </c>
      <c r="L42" s="146">
        <f>ROUND(C42*60*24*(I42-1),0)</f>
        <v>0</v>
      </c>
    </row>
    <row r="43" spans="1:12" s="170" customFormat="1" ht="20.100000000000001" customHeight="1">
      <c r="A43" s="309"/>
      <c r="B43" s="147" t="s">
        <v>391</v>
      </c>
      <c r="C43" s="148">
        <v>1.75</v>
      </c>
      <c r="D43" s="149" t="s">
        <v>393</v>
      </c>
      <c r="E43" s="149" t="s">
        <v>394</v>
      </c>
      <c r="F43" s="149">
        <f>'2030'!AJ184</f>
        <v>80</v>
      </c>
      <c r="G43" s="149" t="s">
        <v>396</v>
      </c>
      <c r="H43" s="149" t="s">
        <v>394</v>
      </c>
      <c r="I43" s="149">
        <v>4</v>
      </c>
      <c r="J43" s="150" t="s">
        <v>397</v>
      </c>
      <c r="L43" s="146">
        <f>ROUND(C43*60*24*(I43-1),-2)</f>
        <v>7600</v>
      </c>
    </row>
    <row r="44" spans="1:12" ht="20.100000000000001" customHeight="1">
      <c r="A44" s="309" t="s">
        <v>455</v>
      </c>
      <c r="B44" s="141" t="s">
        <v>399</v>
      </c>
      <c r="C44" s="310">
        <f>배분계획!G24</f>
        <v>3675</v>
      </c>
      <c r="D44" s="310"/>
      <c r="E44" s="311"/>
      <c r="F44" s="143" t="s">
        <v>400</v>
      </c>
      <c r="G44" s="312"/>
      <c r="H44" s="312"/>
      <c r="I44" s="312"/>
      <c r="J44" s="313"/>
    </row>
    <row r="45" spans="1:12" ht="20.100000000000001" customHeight="1">
      <c r="A45" s="309"/>
      <c r="B45" s="141" t="s">
        <v>390</v>
      </c>
      <c r="C45" s="142"/>
      <c r="D45" s="143" t="s">
        <v>393</v>
      </c>
      <c r="E45" s="143" t="s">
        <v>394</v>
      </c>
      <c r="F45" s="143"/>
      <c r="G45" s="143" t="s">
        <v>396</v>
      </c>
      <c r="H45" s="143" t="s">
        <v>394</v>
      </c>
      <c r="I45" s="143"/>
      <c r="J45" s="144" t="s">
        <v>397</v>
      </c>
      <c r="L45" s="146">
        <f>ROUND(C45*60*24*(I45-1),0)</f>
        <v>0</v>
      </c>
    </row>
    <row r="46" spans="1:12" ht="20.100000000000001" customHeight="1">
      <c r="A46" s="309"/>
      <c r="B46" s="147" t="s">
        <v>391</v>
      </c>
      <c r="C46" s="148">
        <v>1.3</v>
      </c>
      <c r="D46" s="149" t="s">
        <v>393</v>
      </c>
      <c r="E46" s="149" t="s">
        <v>394</v>
      </c>
      <c r="F46" s="149">
        <v>50</v>
      </c>
      <c r="G46" s="149" t="s">
        <v>396</v>
      </c>
      <c r="H46" s="149" t="s">
        <v>394</v>
      </c>
      <c r="I46" s="149">
        <v>3</v>
      </c>
      <c r="J46" s="150" t="s">
        <v>397</v>
      </c>
      <c r="L46" s="146">
        <f>ROUND(C46*60*24*(I46-1),-2)</f>
        <v>3700</v>
      </c>
    </row>
    <row r="48" spans="1:12" ht="20.100000000000001" customHeight="1">
      <c r="A48" s="309"/>
      <c r="B48" s="141" t="s">
        <v>399</v>
      </c>
      <c r="C48" s="310">
        <v>600</v>
      </c>
      <c r="D48" s="310"/>
      <c r="E48" s="311"/>
      <c r="F48" s="143" t="s">
        <v>400</v>
      </c>
      <c r="G48" s="312"/>
      <c r="H48" s="312"/>
      <c r="I48" s="312"/>
      <c r="J48" s="313"/>
    </row>
    <row r="49" spans="1:12" ht="20.100000000000001" customHeight="1">
      <c r="A49" s="309"/>
      <c r="B49" s="141" t="s">
        <v>390</v>
      </c>
      <c r="C49" s="142">
        <v>0.3</v>
      </c>
      <c r="D49" s="143" t="s">
        <v>393</v>
      </c>
      <c r="E49" s="143" t="s">
        <v>394</v>
      </c>
      <c r="F49" s="143">
        <v>45</v>
      </c>
      <c r="G49" s="143" t="s">
        <v>396</v>
      </c>
      <c r="H49" s="143" t="s">
        <v>394</v>
      </c>
      <c r="I49" s="143">
        <v>2</v>
      </c>
      <c r="J49" s="144" t="s">
        <v>397</v>
      </c>
      <c r="L49" s="146">
        <f>ROUND(C49*60*24*(I49-1),0)</f>
        <v>432</v>
      </c>
    </row>
    <row r="50" spans="1:12" ht="20.100000000000001" customHeight="1">
      <c r="A50" s="309"/>
      <c r="B50" s="136" t="s">
        <v>391</v>
      </c>
      <c r="C50" s="137">
        <v>0.5</v>
      </c>
      <c r="D50" s="138" t="s">
        <v>393</v>
      </c>
      <c r="E50" s="138" t="s">
        <v>394</v>
      </c>
      <c r="F50" s="138">
        <v>45</v>
      </c>
      <c r="G50" s="138" t="s">
        <v>396</v>
      </c>
      <c r="H50" s="138" t="s">
        <v>394</v>
      </c>
      <c r="I50" s="138">
        <v>2</v>
      </c>
      <c r="J50" s="139" t="s">
        <v>397</v>
      </c>
      <c r="L50" s="146">
        <f>ROUND(C50*60*24*(I50-1),0)</f>
        <v>720</v>
      </c>
    </row>
  </sheetData>
  <mergeCells count="51">
    <mergeCell ref="M15:M17"/>
    <mergeCell ref="M19:M22"/>
    <mergeCell ref="M23:M25"/>
    <mergeCell ref="M6:M8"/>
    <mergeCell ref="G23:J23"/>
    <mergeCell ref="G9:J9"/>
    <mergeCell ref="A48:A50"/>
    <mergeCell ref="C48:E48"/>
    <mergeCell ref="G48:J48"/>
    <mergeCell ref="G18:J18"/>
    <mergeCell ref="G35:J35"/>
    <mergeCell ref="G38:J38"/>
    <mergeCell ref="A18:A22"/>
    <mergeCell ref="B21:B22"/>
    <mergeCell ref="A35:A37"/>
    <mergeCell ref="A44:A46"/>
    <mergeCell ref="C32:E32"/>
    <mergeCell ref="G32:J32"/>
    <mergeCell ref="A32:A34"/>
    <mergeCell ref="C38:E38"/>
    <mergeCell ref="C44:E44"/>
    <mergeCell ref="A38:A40"/>
    <mergeCell ref="G44:J44"/>
    <mergeCell ref="C35:E35"/>
    <mergeCell ref="C18:E18"/>
    <mergeCell ref="A3:A5"/>
    <mergeCell ref="A6:A8"/>
    <mergeCell ref="A9:A11"/>
    <mergeCell ref="C3:E3"/>
    <mergeCell ref="C6:E6"/>
    <mergeCell ref="C9:E9"/>
    <mergeCell ref="A12:A14"/>
    <mergeCell ref="C12:E12"/>
    <mergeCell ref="A29:A31"/>
    <mergeCell ref="C29:E29"/>
    <mergeCell ref="G29:J29"/>
    <mergeCell ref="G12:J12"/>
    <mergeCell ref="G15:J15"/>
    <mergeCell ref="A41:A43"/>
    <mergeCell ref="C41:E41"/>
    <mergeCell ref="G41:J41"/>
    <mergeCell ref="G3:J3"/>
    <mergeCell ref="G6:J6"/>
    <mergeCell ref="A23:A25"/>
    <mergeCell ref="C23:E23"/>
    <mergeCell ref="B19:B20"/>
    <mergeCell ref="A26:A28"/>
    <mergeCell ref="C26:E26"/>
    <mergeCell ref="G26:J26"/>
    <mergeCell ref="A15:A17"/>
    <mergeCell ref="C15:E15"/>
  </mergeCells>
  <phoneticPr fontId="2" type="noConversion"/>
  <printOptions horizontalCentered="1"/>
  <pageMargins left="0.55118110236220474" right="0.55118110236220474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2"/>
  <sheetViews>
    <sheetView workbookViewId="0">
      <selection activeCell="J10" sqref="J10"/>
    </sheetView>
  </sheetViews>
  <sheetFormatPr defaultRowHeight="20.100000000000001" customHeight="1"/>
  <cols>
    <col min="1" max="2" width="4.77734375" style="110" customWidth="1"/>
    <col min="3" max="6" width="6.77734375" style="110" customWidth="1"/>
    <col min="7" max="14" width="7.77734375" style="110" customWidth="1"/>
    <col min="15" max="16384" width="8.88671875" style="110"/>
  </cols>
  <sheetData>
    <row r="1" spans="1:14" ht="20.100000000000001" customHeight="1">
      <c r="A1" s="110" t="s">
        <v>450</v>
      </c>
    </row>
    <row r="2" spans="1:14" ht="20.100000000000001" customHeight="1">
      <c r="A2" s="179" t="s">
        <v>435</v>
      </c>
      <c r="B2" s="179"/>
      <c r="C2" s="179" t="s">
        <v>441</v>
      </c>
      <c r="D2" s="179"/>
      <c r="E2" s="179"/>
      <c r="F2" s="179"/>
      <c r="G2" s="179" t="s">
        <v>438</v>
      </c>
      <c r="H2" s="179"/>
      <c r="I2" s="179"/>
      <c r="J2" s="179"/>
      <c r="K2" s="179"/>
      <c r="L2" s="179"/>
      <c r="M2" s="179"/>
      <c r="N2" s="179"/>
    </row>
    <row r="3" spans="1:14" ht="20.100000000000001" customHeight="1">
      <c r="A3" s="179"/>
      <c r="B3" s="179"/>
      <c r="C3" s="179" t="s">
        <v>393</v>
      </c>
      <c r="D3" s="179" t="s">
        <v>440</v>
      </c>
      <c r="E3" s="179" t="s">
        <v>400</v>
      </c>
      <c r="F3" s="181" t="s">
        <v>442</v>
      </c>
      <c r="G3" s="179">
        <v>2015</v>
      </c>
      <c r="H3" s="179"/>
      <c r="I3" s="179">
        <v>2020</v>
      </c>
      <c r="J3" s="179"/>
      <c r="K3" s="179">
        <v>2025</v>
      </c>
      <c r="L3" s="179"/>
      <c r="M3" s="179">
        <v>2030</v>
      </c>
      <c r="N3" s="179"/>
    </row>
    <row r="4" spans="1:14" ht="20.100000000000001" customHeight="1">
      <c r="A4" s="179"/>
      <c r="B4" s="179"/>
      <c r="C4" s="179"/>
      <c r="D4" s="179"/>
      <c r="E4" s="179"/>
      <c r="F4" s="181"/>
      <c r="G4" s="120" t="s">
        <v>436</v>
      </c>
      <c r="H4" s="120" t="s">
        <v>437</v>
      </c>
      <c r="I4" s="120" t="s">
        <v>436</v>
      </c>
      <c r="J4" s="120" t="s">
        <v>437</v>
      </c>
      <c r="K4" s="120" t="s">
        <v>436</v>
      </c>
      <c r="L4" s="120" t="s">
        <v>437</v>
      </c>
      <c r="M4" s="120" t="s">
        <v>436</v>
      </c>
      <c r="N4" s="120" t="s">
        <v>437</v>
      </c>
    </row>
    <row r="5" spans="1:14" ht="20.100000000000001" customHeight="1">
      <c r="A5" s="181" t="s">
        <v>439</v>
      </c>
      <c r="B5" s="181" t="s">
        <v>439</v>
      </c>
      <c r="C5" s="324">
        <f>가압장!C7</f>
        <v>5.4</v>
      </c>
      <c r="D5" s="325">
        <f>가압장!I7</f>
        <v>4</v>
      </c>
      <c r="E5" s="326">
        <f>ROUND(C5*(D5-1)*60*24,-2)</f>
        <v>23300</v>
      </c>
      <c r="F5" s="326">
        <f>가압장!F7</f>
        <v>40</v>
      </c>
      <c r="G5" s="322">
        <f>배분계획!D14</f>
        <v>22918</v>
      </c>
      <c r="H5" s="322"/>
      <c r="I5" s="322">
        <f>배분계획!E14</f>
        <v>24317</v>
      </c>
      <c r="J5" s="322"/>
      <c r="K5" s="322">
        <f>배분계획!F14</f>
        <v>25896</v>
      </c>
      <c r="L5" s="322"/>
      <c r="M5" s="322">
        <f>배분계획!G14</f>
        <v>27607</v>
      </c>
      <c r="N5" s="322"/>
    </row>
    <row r="6" spans="1:14" ht="20.100000000000001" customHeight="1">
      <c r="A6" s="181"/>
      <c r="B6" s="181"/>
      <c r="C6" s="324"/>
      <c r="D6" s="325"/>
      <c r="E6" s="326"/>
      <c r="F6" s="326"/>
      <c r="G6" s="158"/>
      <c r="H6" s="158"/>
      <c r="I6" s="158">
        <f>가압장!L8</f>
        <v>28900</v>
      </c>
      <c r="J6" s="158">
        <f>가압장!F8</f>
        <v>50</v>
      </c>
      <c r="K6" s="158"/>
      <c r="L6" s="158"/>
      <c r="M6" s="158"/>
      <c r="N6" s="158"/>
    </row>
    <row r="7" spans="1:14" ht="20.100000000000001" customHeight="1">
      <c r="A7" s="181"/>
      <c r="B7" s="179" t="s">
        <v>426</v>
      </c>
      <c r="C7" s="324">
        <f>가압장!C16</f>
        <v>1.28</v>
      </c>
      <c r="D7" s="325">
        <f>가압장!I16</f>
        <v>4</v>
      </c>
      <c r="E7" s="326">
        <f>ROUND(C7*(D7-1)*60*24,-2)</f>
        <v>5500</v>
      </c>
      <c r="F7" s="326">
        <f>가압장!F16</f>
        <v>76</v>
      </c>
      <c r="G7" s="322">
        <f>배분계획!D5+배분계획!D6+배분계획!D19+배분계획!D20</f>
        <v>3418</v>
      </c>
      <c r="H7" s="322"/>
      <c r="I7" s="322">
        <f>배분계획!E5+배분계획!E6+배분계획!E19+배분계획!E20</f>
        <v>6217</v>
      </c>
      <c r="J7" s="322"/>
      <c r="K7" s="322">
        <f>배분계획!F5+배분계획!F6+배분계획!F19+배분계획!F20</f>
        <v>6638</v>
      </c>
      <c r="L7" s="322"/>
      <c r="M7" s="322">
        <f>배분계획!G5+배분계획!G6+배분계획!G19+배분계획!G20</f>
        <v>6751</v>
      </c>
      <c r="N7" s="322"/>
    </row>
    <row r="8" spans="1:14" ht="20.100000000000001" customHeight="1">
      <c r="A8" s="181"/>
      <c r="B8" s="179"/>
      <c r="C8" s="324"/>
      <c r="D8" s="325"/>
      <c r="E8" s="326"/>
      <c r="F8" s="326"/>
      <c r="G8" s="158"/>
      <c r="H8" s="158"/>
      <c r="I8" s="158">
        <f>가압장!L17</f>
        <v>9100</v>
      </c>
      <c r="J8" s="158">
        <f>가압장!F17</f>
        <v>76</v>
      </c>
      <c r="K8" s="158"/>
      <c r="L8" s="158"/>
      <c r="M8" s="158"/>
      <c r="N8" s="158"/>
    </row>
    <row r="9" spans="1:14" ht="20.100000000000001" customHeight="1">
      <c r="A9" s="179" t="s">
        <v>443</v>
      </c>
      <c r="B9" s="179"/>
      <c r="C9" s="157">
        <f>가압장!C19</f>
        <v>4.0999999999999996</v>
      </c>
      <c r="D9" s="158">
        <f>가압장!I19</f>
        <v>1</v>
      </c>
      <c r="E9" s="326">
        <f>ROUND(C9*(D9)*60*24,-2)+ROUND(C10*(D10)*60*24,-2)</f>
        <v>10200</v>
      </c>
      <c r="F9" s="326">
        <f>가압장!F19</f>
        <v>41</v>
      </c>
      <c r="G9" s="322">
        <f>배분계획!D15</f>
        <v>4357</v>
      </c>
      <c r="H9" s="322"/>
      <c r="I9" s="322">
        <f>배분계획!E15</f>
        <v>3184</v>
      </c>
      <c r="J9" s="322"/>
      <c r="K9" s="322">
        <f>배분계획!F15</f>
        <v>3451</v>
      </c>
      <c r="L9" s="322"/>
      <c r="M9" s="322">
        <f>배분계획!G15</f>
        <v>3765</v>
      </c>
      <c r="N9" s="322"/>
    </row>
    <row r="10" spans="1:14" ht="20.100000000000001" customHeight="1">
      <c r="A10" s="179"/>
      <c r="B10" s="179"/>
      <c r="C10" s="157">
        <f>가압장!C20</f>
        <v>3</v>
      </c>
      <c r="D10" s="158">
        <f>가압장!I20</f>
        <v>1</v>
      </c>
      <c r="E10" s="326"/>
      <c r="F10" s="326"/>
      <c r="G10" s="158"/>
      <c r="H10" s="158"/>
      <c r="I10" s="158">
        <f>가압장!L21+가압장!L22</f>
        <v>10200</v>
      </c>
      <c r="J10" s="158">
        <f>가압장!F21</f>
        <v>41</v>
      </c>
      <c r="K10" s="158"/>
      <c r="L10" s="158"/>
      <c r="M10" s="158"/>
      <c r="N10" s="158"/>
    </row>
    <row r="11" spans="1:14" ht="20.100000000000001" customHeight="1">
      <c r="A11" s="179" t="s">
        <v>444</v>
      </c>
      <c r="B11" s="179"/>
      <c r="C11" s="324">
        <f>가압장!C24</f>
        <v>0.33</v>
      </c>
      <c r="D11" s="325">
        <f>가압장!I24</f>
        <v>2</v>
      </c>
      <c r="E11" s="326">
        <f>ROUND(C11*(D11-1)*60*24,-2)</f>
        <v>500</v>
      </c>
      <c r="F11" s="326">
        <f>가압장!F24</f>
        <v>46</v>
      </c>
      <c r="G11" s="323" t="s">
        <v>425</v>
      </c>
      <c r="H11" s="323"/>
      <c r="I11" s="323">
        <f>배분계획!E18</f>
        <v>0</v>
      </c>
      <c r="J11" s="323"/>
      <c r="K11" s="323">
        <f>배분계획!F18</f>
        <v>0</v>
      </c>
      <c r="L11" s="323"/>
      <c r="M11" s="323">
        <f>배분계획!G18</f>
        <v>0</v>
      </c>
      <c r="N11" s="323"/>
    </row>
    <row r="12" spans="1:14" ht="20.100000000000001" customHeight="1">
      <c r="A12" s="179"/>
      <c r="B12" s="179"/>
      <c r="C12" s="324"/>
      <c r="D12" s="325"/>
      <c r="E12" s="326"/>
      <c r="F12" s="326"/>
      <c r="G12" s="158"/>
      <c r="H12" s="158"/>
      <c r="I12" s="158">
        <f>가압장!L25</f>
        <v>0</v>
      </c>
      <c r="J12" s="158">
        <f>가압장!F25</f>
        <v>46</v>
      </c>
      <c r="K12" s="158"/>
      <c r="L12" s="158"/>
      <c r="M12" s="158"/>
      <c r="N12" s="158"/>
    </row>
    <row r="13" spans="1:14" ht="20.100000000000001" customHeight="1">
      <c r="A13" s="198" t="s">
        <v>454</v>
      </c>
      <c r="B13" s="199"/>
      <c r="C13" s="324">
        <f>가압장!C30</f>
        <v>1.53</v>
      </c>
      <c r="D13" s="325">
        <f>가압장!I30</f>
        <v>2</v>
      </c>
      <c r="E13" s="326">
        <f>ROUND(C13*(D13-1)*60*24,-2)</f>
        <v>2200</v>
      </c>
      <c r="F13" s="326">
        <f>가압장!F30</f>
        <v>89</v>
      </c>
      <c r="G13" s="322">
        <f>배분계획!D10+배분계획!D22</f>
        <v>1458</v>
      </c>
      <c r="H13" s="322"/>
      <c r="I13" s="322">
        <f>배분계획!E10+배분계획!E22</f>
        <v>3073</v>
      </c>
      <c r="J13" s="322"/>
      <c r="K13" s="322">
        <f>배분계획!F10+배분계획!F22</f>
        <v>3366</v>
      </c>
      <c r="L13" s="322"/>
      <c r="M13" s="322">
        <f>배분계획!G10+배분계획!G22</f>
        <v>3626</v>
      </c>
      <c r="N13" s="322"/>
    </row>
    <row r="14" spans="1:14" ht="20.100000000000001" customHeight="1">
      <c r="A14" s="200"/>
      <c r="B14" s="201"/>
      <c r="C14" s="324"/>
      <c r="D14" s="325"/>
      <c r="E14" s="326"/>
      <c r="F14" s="326"/>
      <c r="G14" s="158">
        <f>가압장!L31</f>
        <v>3700</v>
      </c>
      <c r="H14" s="158">
        <f>가압장!F31</f>
        <v>89</v>
      </c>
      <c r="I14" s="158"/>
      <c r="J14" s="158"/>
      <c r="K14" s="158"/>
      <c r="L14" s="158"/>
      <c r="M14" s="158"/>
      <c r="N14" s="158"/>
    </row>
    <row r="15" spans="1:14" ht="20.100000000000001" customHeight="1">
      <c r="A15" s="179" t="s">
        <v>445</v>
      </c>
      <c r="B15" s="179"/>
      <c r="C15" s="326" t="s">
        <v>449</v>
      </c>
      <c r="D15" s="326"/>
      <c r="E15" s="326"/>
      <c r="F15" s="326"/>
      <c r="G15" s="322">
        <f>배분계획!D19</f>
        <v>2385</v>
      </c>
      <c r="H15" s="322"/>
      <c r="I15" s="322">
        <f>배분계획!E19</f>
        <v>4375</v>
      </c>
      <c r="J15" s="322"/>
      <c r="K15" s="322">
        <f>배분계획!F19</f>
        <v>4669</v>
      </c>
      <c r="L15" s="322"/>
      <c r="M15" s="322">
        <f>배분계획!G19</f>
        <v>4747</v>
      </c>
      <c r="N15" s="322"/>
    </row>
    <row r="16" spans="1:14" ht="20.100000000000001" customHeight="1">
      <c r="A16" s="179"/>
      <c r="B16" s="179"/>
      <c r="C16" s="326"/>
      <c r="D16" s="326"/>
      <c r="E16" s="326"/>
      <c r="F16" s="326"/>
      <c r="G16" s="158"/>
      <c r="H16" s="158"/>
      <c r="I16" s="158">
        <f>가압장!L28</f>
        <v>4900</v>
      </c>
      <c r="J16" s="158">
        <f>가압장!F28</f>
        <v>40</v>
      </c>
      <c r="K16" s="158"/>
      <c r="L16" s="158"/>
      <c r="M16" s="158"/>
      <c r="N16" s="158"/>
    </row>
    <row r="17" spans="1:14" ht="20.100000000000001" customHeight="1">
      <c r="A17" s="198" t="s">
        <v>446</v>
      </c>
      <c r="B17" s="199"/>
      <c r="C17" s="327" t="s">
        <v>449</v>
      </c>
      <c r="D17" s="328"/>
      <c r="E17" s="328"/>
      <c r="F17" s="329"/>
      <c r="G17" s="322">
        <f>배분계획!D22</f>
        <v>1458</v>
      </c>
      <c r="H17" s="322"/>
      <c r="I17" s="322">
        <f>배분계획!E22</f>
        <v>2315</v>
      </c>
      <c r="J17" s="322"/>
      <c r="K17" s="322">
        <f>배분계획!F22</f>
        <v>2461</v>
      </c>
      <c r="L17" s="322"/>
      <c r="M17" s="322">
        <f>배분계획!G22</f>
        <v>2495</v>
      </c>
      <c r="N17" s="322"/>
    </row>
    <row r="18" spans="1:14" ht="20.100000000000001" customHeight="1">
      <c r="A18" s="200"/>
      <c r="B18" s="201"/>
      <c r="C18" s="330"/>
      <c r="D18" s="331"/>
      <c r="E18" s="331"/>
      <c r="F18" s="332"/>
      <c r="G18" s="158"/>
      <c r="H18" s="158"/>
      <c r="I18" s="158">
        <f>가압장!L34</f>
        <v>2600</v>
      </c>
      <c r="J18" s="158">
        <f>가압장!F34</f>
        <v>50</v>
      </c>
      <c r="K18" s="158"/>
      <c r="L18" s="158"/>
      <c r="M18" s="158"/>
      <c r="N18" s="158"/>
    </row>
    <row r="19" spans="1:14" ht="20.100000000000001" customHeight="1">
      <c r="A19" s="179" t="s">
        <v>447</v>
      </c>
      <c r="B19" s="179"/>
      <c r="C19" s="326" t="s">
        <v>449</v>
      </c>
      <c r="D19" s="326"/>
      <c r="E19" s="326"/>
      <c r="F19" s="326"/>
      <c r="G19" s="322" t="s">
        <v>425</v>
      </c>
      <c r="H19" s="322"/>
      <c r="I19" s="323">
        <f>배분계획!E20</f>
        <v>742</v>
      </c>
      <c r="J19" s="323"/>
      <c r="K19" s="323">
        <f>배분계획!F20</f>
        <v>765</v>
      </c>
      <c r="L19" s="323"/>
      <c r="M19" s="323">
        <f>배분계획!G20</f>
        <v>781</v>
      </c>
      <c r="N19" s="323"/>
    </row>
    <row r="20" spans="1:14" ht="20.100000000000001" customHeight="1">
      <c r="A20" s="179"/>
      <c r="B20" s="179"/>
      <c r="C20" s="326"/>
      <c r="D20" s="326"/>
      <c r="E20" s="326"/>
      <c r="F20" s="326"/>
      <c r="G20" s="158"/>
      <c r="H20" s="158"/>
      <c r="I20" s="158">
        <f>가압장!L37</f>
        <v>800</v>
      </c>
      <c r="J20" s="158">
        <f>가압장!F37</f>
        <v>85</v>
      </c>
      <c r="K20" s="158"/>
      <c r="L20" s="158"/>
      <c r="M20" s="158"/>
      <c r="N20" s="158"/>
    </row>
    <row r="21" spans="1:14" ht="20.100000000000001" customHeight="1">
      <c r="A21" s="179" t="s">
        <v>448</v>
      </c>
      <c r="B21" s="179"/>
      <c r="C21" s="326" t="s">
        <v>449</v>
      </c>
      <c r="D21" s="326"/>
      <c r="E21" s="326"/>
      <c r="F21" s="326"/>
      <c r="G21" s="322" t="s">
        <v>456</v>
      </c>
      <c r="H21" s="322"/>
      <c r="I21" s="323">
        <f>I19</f>
        <v>742</v>
      </c>
      <c r="J21" s="323"/>
      <c r="K21" s="323">
        <f>K19</f>
        <v>765</v>
      </c>
      <c r="L21" s="323"/>
      <c r="M21" s="323">
        <f>M19</f>
        <v>781</v>
      </c>
      <c r="N21" s="323"/>
    </row>
    <row r="22" spans="1:14" ht="20.100000000000001" customHeight="1">
      <c r="A22" s="179"/>
      <c r="B22" s="179"/>
      <c r="C22" s="326"/>
      <c r="D22" s="326"/>
      <c r="E22" s="326"/>
      <c r="F22" s="326"/>
      <c r="G22" s="158"/>
      <c r="H22" s="158"/>
      <c r="I22" s="158">
        <f>가압장!L40</f>
        <v>800</v>
      </c>
      <c r="J22" s="158">
        <f>가압장!F40</f>
        <v>85</v>
      </c>
      <c r="K22" s="158"/>
      <c r="L22" s="158"/>
      <c r="M22" s="158"/>
      <c r="N22" s="158"/>
    </row>
    <row r="23" spans="1:14" ht="20.100000000000001" customHeight="1">
      <c r="A23" s="334" t="s">
        <v>457</v>
      </c>
      <c r="B23" s="193"/>
      <c r="C23" s="335" t="s">
        <v>449</v>
      </c>
      <c r="D23" s="335"/>
      <c r="E23" s="335"/>
      <c r="F23" s="335"/>
      <c r="G23" s="321" t="s">
        <v>425</v>
      </c>
      <c r="H23" s="321"/>
      <c r="I23" s="321"/>
      <c r="J23" s="321"/>
      <c r="K23" s="321"/>
      <c r="L23" s="321"/>
      <c r="M23" s="321"/>
      <c r="N23" s="321"/>
    </row>
    <row r="24" spans="1:14" ht="20.100000000000001" customHeight="1">
      <c r="A24" s="193"/>
      <c r="B24" s="193"/>
      <c r="C24" s="335"/>
      <c r="D24" s="335"/>
      <c r="E24" s="335"/>
      <c r="F24" s="335"/>
      <c r="G24" s="159"/>
      <c r="H24" s="159"/>
      <c r="I24" s="159">
        <f>가압장!L45</f>
        <v>0</v>
      </c>
      <c r="J24" s="159">
        <f>가압장!F45</f>
        <v>0</v>
      </c>
      <c r="K24" s="159"/>
      <c r="L24" s="159"/>
      <c r="M24" s="159"/>
      <c r="N24" s="159"/>
    </row>
    <row r="25" spans="1:14" s="165" customFormat="1" ht="20.100000000000001" customHeight="1">
      <c r="A25" s="171"/>
      <c r="B25" s="171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</row>
    <row r="26" spans="1:14" s="165" customFormat="1" ht="20.100000000000001" customHeight="1">
      <c r="A26" s="171"/>
      <c r="B26" s="171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</row>
    <row r="27" spans="1:14" s="165" customFormat="1" ht="20.100000000000001" customHeight="1">
      <c r="A27" s="171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</row>
    <row r="28" spans="1:14" ht="20.100000000000001" customHeight="1"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</row>
    <row r="29" spans="1:14" ht="20.100000000000001" customHeight="1"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</row>
    <row r="30" spans="1:14" ht="24.95" customHeight="1">
      <c r="A30" s="179" t="s">
        <v>435</v>
      </c>
      <c r="B30" s="179"/>
      <c r="C30" s="179"/>
      <c r="D30" s="326" t="s">
        <v>438</v>
      </c>
      <c r="E30" s="326"/>
      <c r="F30" s="326"/>
      <c r="G30" s="326"/>
      <c r="H30" s="326"/>
      <c r="I30" s="326"/>
      <c r="J30" s="326"/>
      <c r="K30" s="326"/>
      <c r="L30" s="156"/>
      <c r="M30" s="156"/>
      <c r="N30" s="156"/>
    </row>
    <row r="31" spans="1:14" ht="24.95" customHeight="1">
      <c r="A31" s="179"/>
      <c r="B31" s="179"/>
      <c r="C31" s="179"/>
      <c r="D31" s="333">
        <v>2015</v>
      </c>
      <c r="E31" s="333"/>
      <c r="F31" s="333">
        <v>2020</v>
      </c>
      <c r="G31" s="333"/>
      <c r="H31" s="333">
        <v>2025</v>
      </c>
      <c r="I31" s="333"/>
      <c r="J31" s="333">
        <v>2030</v>
      </c>
      <c r="K31" s="333"/>
      <c r="L31" s="156"/>
      <c r="M31" s="156"/>
      <c r="N31" s="156"/>
    </row>
    <row r="32" spans="1:14" ht="24.95" customHeight="1">
      <c r="A32" s="179" t="s">
        <v>451</v>
      </c>
      <c r="B32" s="179"/>
      <c r="C32" s="179"/>
      <c r="D32" s="326"/>
      <c r="E32" s="326"/>
      <c r="F32" s="326"/>
      <c r="G32" s="326"/>
      <c r="H32" s="326"/>
      <c r="I32" s="326"/>
      <c r="J32" s="326"/>
      <c r="K32" s="326"/>
      <c r="L32" s="156"/>
      <c r="M32" s="156"/>
      <c r="N32" s="156"/>
    </row>
    <row r="33" spans="1:14" ht="24.95" customHeight="1">
      <c r="A33" s="179" t="s">
        <v>452</v>
      </c>
      <c r="B33" s="179"/>
      <c r="C33" s="179"/>
      <c r="D33" s="326"/>
      <c r="E33" s="326"/>
      <c r="F33" s="326"/>
      <c r="G33" s="326"/>
      <c r="H33" s="326"/>
      <c r="I33" s="326"/>
      <c r="J33" s="326"/>
      <c r="K33" s="326"/>
      <c r="L33" s="156"/>
      <c r="M33" s="156"/>
      <c r="N33" s="156"/>
    </row>
    <row r="34" spans="1:14" ht="24.95" customHeight="1">
      <c r="A34" s="179" t="s">
        <v>443</v>
      </c>
      <c r="B34" s="179"/>
      <c r="C34" s="179"/>
      <c r="D34" s="326"/>
      <c r="E34" s="326"/>
      <c r="F34" s="326"/>
      <c r="G34" s="326"/>
      <c r="H34" s="326"/>
      <c r="I34" s="326"/>
      <c r="J34" s="326"/>
      <c r="K34" s="326"/>
      <c r="L34" s="156"/>
      <c r="M34" s="156"/>
      <c r="N34" s="156"/>
    </row>
    <row r="35" spans="1:14" ht="24.95" customHeight="1">
      <c r="A35" s="179" t="s">
        <v>444</v>
      </c>
      <c r="B35" s="179"/>
      <c r="C35" s="179"/>
      <c r="D35" s="326"/>
      <c r="E35" s="326"/>
      <c r="F35" s="326"/>
      <c r="G35" s="326"/>
      <c r="H35" s="326"/>
      <c r="I35" s="326"/>
      <c r="J35" s="326"/>
      <c r="K35" s="326"/>
    </row>
    <row r="36" spans="1:14" ht="24.95" customHeight="1">
      <c r="A36" s="179" t="s">
        <v>445</v>
      </c>
      <c r="B36" s="179"/>
      <c r="C36" s="179"/>
      <c r="D36" s="326"/>
      <c r="E36" s="326"/>
      <c r="F36" s="326"/>
      <c r="G36" s="326"/>
      <c r="H36" s="326"/>
      <c r="I36" s="326"/>
      <c r="J36" s="326"/>
      <c r="K36" s="326"/>
    </row>
    <row r="37" spans="1:14" ht="24.95" customHeight="1">
      <c r="A37" s="179" t="s">
        <v>446</v>
      </c>
      <c r="B37" s="179"/>
      <c r="C37" s="179"/>
      <c r="D37" s="326"/>
      <c r="E37" s="326"/>
      <c r="F37" s="326"/>
      <c r="G37" s="326"/>
      <c r="H37" s="326"/>
      <c r="I37" s="326"/>
      <c r="J37" s="326"/>
      <c r="K37" s="326"/>
    </row>
    <row r="38" spans="1:14" ht="24.95" customHeight="1">
      <c r="A38" s="179" t="s">
        <v>447</v>
      </c>
      <c r="B38" s="179"/>
      <c r="C38" s="179"/>
      <c r="D38" s="326"/>
      <c r="E38" s="326"/>
      <c r="F38" s="326"/>
      <c r="G38" s="326"/>
      <c r="H38" s="326"/>
      <c r="I38" s="326"/>
      <c r="J38" s="326"/>
      <c r="K38" s="326"/>
    </row>
    <row r="39" spans="1:14" ht="24.95" customHeight="1">
      <c r="A39" s="179" t="s">
        <v>448</v>
      </c>
      <c r="B39" s="179"/>
      <c r="C39" s="179"/>
      <c r="D39" s="326"/>
      <c r="E39" s="326"/>
      <c r="F39" s="326"/>
      <c r="G39" s="326"/>
      <c r="H39" s="326"/>
      <c r="I39" s="326"/>
      <c r="J39" s="326"/>
      <c r="K39" s="326"/>
    </row>
    <row r="40" spans="1:14" ht="24.95" customHeight="1"/>
    <row r="41" spans="1:14" ht="24.95" customHeight="1"/>
    <row r="42" spans="1:14" ht="24.95" customHeight="1"/>
  </sheetData>
  <mergeCells count="131">
    <mergeCell ref="D30:K30"/>
    <mergeCell ref="D32:E32"/>
    <mergeCell ref="D33:E33"/>
    <mergeCell ref="D39:E39"/>
    <mergeCell ref="F39:G39"/>
    <mergeCell ref="H39:I39"/>
    <mergeCell ref="J39:K39"/>
    <mergeCell ref="D37:E37"/>
    <mergeCell ref="F37:G37"/>
    <mergeCell ref="H37:I37"/>
    <mergeCell ref="J37:K37"/>
    <mergeCell ref="D38:E38"/>
    <mergeCell ref="F38:G38"/>
    <mergeCell ref="H38:I38"/>
    <mergeCell ref="J38:K38"/>
    <mergeCell ref="H33:I33"/>
    <mergeCell ref="J33:K33"/>
    <mergeCell ref="D34:E34"/>
    <mergeCell ref="F34:G34"/>
    <mergeCell ref="A36:C36"/>
    <mergeCell ref="A37:C37"/>
    <mergeCell ref="D35:E35"/>
    <mergeCell ref="F35:G35"/>
    <mergeCell ref="H35:I35"/>
    <mergeCell ref="J35:K35"/>
    <mergeCell ref="D36:E36"/>
    <mergeCell ref="F36:G36"/>
    <mergeCell ref="H36:I36"/>
    <mergeCell ref="J36:K36"/>
    <mergeCell ref="A38:C38"/>
    <mergeCell ref="G21:H21"/>
    <mergeCell ref="I21:J21"/>
    <mergeCell ref="A39:C39"/>
    <mergeCell ref="A30:C31"/>
    <mergeCell ref="D31:E31"/>
    <mergeCell ref="F31:G31"/>
    <mergeCell ref="H31:I31"/>
    <mergeCell ref="A32:C32"/>
    <mergeCell ref="J31:K31"/>
    <mergeCell ref="F32:G32"/>
    <mergeCell ref="H32:I32"/>
    <mergeCell ref="J32:K32"/>
    <mergeCell ref="A35:C35"/>
    <mergeCell ref="H34:I34"/>
    <mergeCell ref="J34:K34"/>
    <mergeCell ref="A23:B24"/>
    <mergeCell ref="C23:F24"/>
    <mergeCell ref="G23:H23"/>
    <mergeCell ref="I23:J23"/>
    <mergeCell ref="K23:L23"/>
    <mergeCell ref="A33:C33"/>
    <mergeCell ref="A34:C34"/>
    <mergeCell ref="F33:G33"/>
    <mergeCell ref="M19:N19"/>
    <mergeCell ref="K21:L21"/>
    <mergeCell ref="M21:N21"/>
    <mergeCell ref="M11:N11"/>
    <mergeCell ref="G15:H15"/>
    <mergeCell ref="I15:J15"/>
    <mergeCell ref="K15:L15"/>
    <mergeCell ref="M15:N15"/>
    <mergeCell ref="G17:H17"/>
    <mergeCell ref="I17:J17"/>
    <mergeCell ref="K17:L17"/>
    <mergeCell ref="M17:N17"/>
    <mergeCell ref="A19:B20"/>
    <mergeCell ref="A21:B22"/>
    <mergeCell ref="C15:F16"/>
    <mergeCell ref="C17:F18"/>
    <mergeCell ref="C19:F20"/>
    <mergeCell ref="C21:F22"/>
    <mergeCell ref="I11:J11"/>
    <mergeCell ref="K11:L11"/>
    <mergeCell ref="E9:E10"/>
    <mergeCell ref="F9:F10"/>
    <mergeCell ref="C11:C12"/>
    <mergeCell ref="A9:B10"/>
    <mergeCell ref="A11:B12"/>
    <mergeCell ref="A15:B16"/>
    <mergeCell ref="D11:D12"/>
    <mergeCell ref="E11:E12"/>
    <mergeCell ref="F11:F12"/>
    <mergeCell ref="C13:C14"/>
    <mergeCell ref="D13:D14"/>
    <mergeCell ref="G19:H19"/>
    <mergeCell ref="I19:J19"/>
    <mergeCell ref="K19:L19"/>
    <mergeCell ref="E3:E4"/>
    <mergeCell ref="F3:F4"/>
    <mergeCell ref="G2:N2"/>
    <mergeCell ref="A5:A8"/>
    <mergeCell ref="M3:N3"/>
    <mergeCell ref="C2:F2"/>
    <mergeCell ref="E13:E14"/>
    <mergeCell ref="F13:F14"/>
    <mergeCell ref="B7:B8"/>
    <mergeCell ref="C7:C8"/>
    <mergeCell ref="D7:D8"/>
    <mergeCell ref="E7:E8"/>
    <mergeCell ref="F7:F8"/>
    <mergeCell ref="F5:F6"/>
    <mergeCell ref="I5:J5"/>
    <mergeCell ref="M7:N7"/>
    <mergeCell ref="G9:H9"/>
    <mergeCell ref="I7:J7"/>
    <mergeCell ref="K7:L7"/>
    <mergeCell ref="G7:H7"/>
    <mergeCell ref="M23:N23"/>
    <mergeCell ref="A17:B18"/>
    <mergeCell ref="I9:J9"/>
    <mergeCell ref="K9:L9"/>
    <mergeCell ref="M9:N9"/>
    <mergeCell ref="G11:H11"/>
    <mergeCell ref="K13:L13"/>
    <mergeCell ref="M13:N13"/>
    <mergeCell ref="K3:L3"/>
    <mergeCell ref="G5:H5"/>
    <mergeCell ref="B5:B6"/>
    <mergeCell ref="C5:C6"/>
    <mergeCell ref="A13:B14"/>
    <mergeCell ref="G13:H13"/>
    <mergeCell ref="I13:J13"/>
    <mergeCell ref="G3:H3"/>
    <mergeCell ref="I3:J3"/>
    <mergeCell ref="D5:D6"/>
    <mergeCell ref="E5:E6"/>
    <mergeCell ref="K5:L5"/>
    <mergeCell ref="M5:N5"/>
    <mergeCell ref="A2:B4"/>
    <mergeCell ref="C3:C4"/>
    <mergeCell ref="D3:D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J18"/>
  <sheetViews>
    <sheetView workbookViewId="0"/>
  </sheetViews>
  <sheetFormatPr defaultRowHeight="20.100000000000001" customHeight="1"/>
  <cols>
    <col min="1" max="1" width="8.88671875" style="151"/>
    <col min="2" max="2" width="13.77734375" style="151" customWidth="1"/>
    <col min="3" max="3" width="8.109375" style="151" customWidth="1"/>
    <col min="4" max="16384" width="8.88671875" style="151"/>
  </cols>
  <sheetData>
    <row r="2" spans="1:10" ht="20.100000000000001" customHeight="1">
      <c r="A2" s="337" t="s">
        <v>429</v>
      </c>
      <c r="B2" s="336" t="s">
        <v>421</v>
      </c>
      <c r="C2" s="336" t="s">
        <v>298</v>
      </c>
      <c r="D2" s="337" t="s">
        <v>434</v>
      </c>
      <c r="E2" s="337" t="s">
        <v>433</v>
      </c>
      <c r="F2" s="336" t="s">
        <v>432</v>
      </c>
      <c r="G2" s="336"/>
      <c r="H2" s="336"/>
      <c r="I2" s="336"/>
      <c r="J2" s="336" t="s">
        <v>187</v>
      </c>
    </row>
    <row r="3" spans="1:10" ht="20.100000000000001" customHeight="1">
      <c r="A3" s="336"/>
      <c r="B3" s="336"/>
      <c r="C3" s="336"/>
      <c r="D3" s="336"/>
      <c r="E3" s="336"/>
      <c r="F3" s="154">
        <v>2015</v>
      </c>
      <c r="G3" s="154">
        <v>2020</v>
      </c>
      <c r="H3" s="154">
        <v>2025</v>
      </c>
      <c r="I3" s="154">
        <v>2030</v>
      </c>
      <c r="J3" s="336"/>
    </row>
    <row r="4" spans="1:10" ht="26.1" customHeight="1">
      <c r="A4" s="336" t="s">
        <v>423</v>
      </c>
      <c r="B4" s="336"/>
      <c r="C4" s="336"/>
      <c r="D4" s="155" t="s">
        <v>425</v>
      </c>
      <c r="E4" s="155">
        <v>150</v>
      </c>
      <c r="F4" s="155">
        <f>SUMIF($E$6:$E$8,$E4,F$6:F$8)</f>
        <v>0</v>
      </c>
      <c r="G4" s="155">
        <f t="shared" ref="G4:I5" si="0">SUMIF($E$6:$E$8,$E4,G$6:G$8)</f>
        <v>19190</v>
      </c>
      <c r="H4" s="155">
        <f t="shared" si="0"/>
        <v>0</v>
      </c>
      <c r="I4" s="155">
        <f t="shared" si="0"/>
        <v>0</v>
      </c>
      <c r="J4" s="154"/>
    </row>
    <row r="5" spans="1:10" ht="26.1" customHeight="1">
      <c r="A5" s="336"/>
      <c r="B5" s="336"/>
      <c r="C5" s="336"/>
      <c r="D5" s="155" t="s">
        <v>425</v>
      </c>
      <c r="E5" s="155">
        <v>500</v>
      </c>
      <c r="F5" s="155">
        <f>SUMIF($E$6:$E$8,$E5,F$6:F$8)</f>
        <v>0</v>
      </c>
      <c r="G5" s="155">
        <f t="shared" si="0"/>
        <v>5004</v>
      </c>
      <c r="H5" s="155">
        <f t="shared" si="0"/>
        <v>0</v>
      </c>
      <c r="I5" s="155">
        <f t="shared" si="0"/>
        <v>0</v>
      </c>
      <c r="J5" s="154"/>
    </row>
    <row r="6" spans="1:10" ht="26.1" customHeight="1">
      <c r="A6" s="153" t="s">
        <v>427</v>
      </c>
      <c r="B6" s="153" t="s">
        <v>420</v>
      </c>
      <c r="C6" s="153" t="s">
        <v>422</v>
      </c>
      <c r="D6" s="155">
        <v>400</v>
      </c>
      <c r="E6" s="155">
        <v>500</v>
      </c>
      <c r="F6" s="155"/>
      <c r="G6" s="155">
        <v>5004</v>
      </c>
      <c r="H6" s="155"/>
      <c r="I6" s="155"/>
      <c r="J6" s="154"/>
    </row>
    <row r="7" spans="1:10" ht="26.1" customHeight="1">
      <c r="A7" s="153" t="s">
        <v>428</v>
      </c>
      <c r="B7" s="153" t="s">
        <v>424</v>
      </c>
      <c r="C7" s="154" t="s">
        <v>113</v>
      </c>
      <c r="D7" s="155" t="s">
        <v>425</v>
      </c>
      <c r="E7" s="155">
        <v>150</v>
      </c>
      <c r="F7" s="155"/>
      <c r="G7" s="155">
        <v>3980</v>
      </c>
      <c r="H7" s="155"/>
      <c r="I7" s="155"/>
      <c r="J7" s="154"/>
    </row>
    <row r="8" spans="1:10" ht="26.1" customHeight="1">
      <c r="A8" s="153" t="s">
        <v>430</v>
      </c>
      <c r="B8" s="153" t="s">
        <v>431</v>
      </c>
      <c r="C8" s="154" t="s">
        <v>113</v>
      </c>
      <c r="D8" s="155" t="s">
        <v>425</v>
      </c>
      <c r="E8" s="155">
        <v>150</v>
      </c>
      <c r="F8" s="155"/>
      <c r="G8" s="155">
        <v>15210</v>
      </c>
      <c r="H8" s="155"/>
      <c r="I8" s="155"/>
      <c r="J8" s="154"/>
    </row>
    <row r="9" spans="1:10" ht="26.1" customHeight="1">
      <c r="A9" s="160" t="s">
        <v>458</v>
      </c>
      <c r="B9" s="160"/>
      <c r="C9" s="161" t="s">
        <v>113</v>
      </c>
      <c r="D9" s="162"/>
      <c r="E9" s="162"/>
      <c r="F9" s="162"/>
      <c r="G9" s="162"/>
      <c r="H9" s="162"/>
      <c r="I9" s="162"/>
      <c r="J9" s="161"/>
    </row>
    <row r="10" spans="1:10" ht="24.95" customHeight="1">
      <c r="D10" s="152"/>
      <c r="E10" s="152"/>
      <c r="F10" s="152"/>
      <c r="G10" s="152"/>
      <c r="H10" s="152"/>
      <c r="I10" s="152"/>
    </row>
    <row r="11" spans="1:10" ht="24.95" customHeight="1">
      <c r="D11" s="152"/>
      <c r="E11" s="152"/>
      <c r="F11" s="152"/>
      <c r="G11" s="152"/>
      <c r="H11" s="152"/>
      <c r="I11" s="152"/>
    </row>
    <row r="12" spans="1:10" ht="24.95" customHeight="1">
      <c r="D12" s="152"/>
      <c r="E12" s="152"/>
      <c r="F12" s="152"/>
      <c r="G12" s="152"/>
      <c r="H12" s="152"/>
      <c r="I12" s="152"/>
    </row>
    <row r="13" spans="1:10" ht="24.95" customHeight="1">
      <c r="D13" s="152"/>
      <c r="E13" s="152"/>
      <c r="F13" s="152"/>
      <c r="G13" s="152"/>
      <c r="H13" s="152"/>
      <c r="I13" s="152"/>
    </row>
    <row r="14" spans="1:10" ht="24.95" customHeight="1">
      <c r="D14" s="152"/>
      <c r="E14" s="152"/>
      <c r="F14" s="152"/>
      <c r="G14" s="152"/>
      <c r="H14" s="152"/>
      <c r="I14" s="152"/>
    </row>
    <row r="15" spans="1:10" ht="30" customHeight="1"/>
    <row r="16" spans="1:10" ht="30" customHeight="1"/>
    <row r="17" ht="30" customHeight="1"/>
    <row r="18" ht="30" customHeight="1"/>
  </sheetData>
  <mergeCells count="8">
    <mergeCell ref="J2:J3"/>
    <mergeCell ref="C2:C3"/>
    <mergeCell ref="A4:C5"/>
    <mergeCell ref="A2:A3"/>
    <mergeCell ref="B2:B3"/>
    <mergeCell ref="D2:D3"/>
    <mergeCell ref="E2:E3"/>
    <mergeCell ref="F2:I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5</vt:i4>
      </vt:variant>
    </vt:vector>
  </HeadingPairs>
  <TitlesOfParts>
    <vt:vector size="14" baseType="lpstr">
      <vt:lpstr>2013</vt:lpstr>
      <vt:lpstr>2030</vt:lpstr>
      <vt:lpstr>참고-&gt;</vt:lpstr>
      <vt:lpstr>배분계획</vt:lpstr>
      <vt:lpstr>송관로검토(율량배수지)공급계통검토</vt:lpstr>
      <vt:lpstr>용수배분계획</vt:lpstr>
      <vt:lpstr>가압장</vt:lpstr>
      <vt:lpstr>송수가압장계획</vt:lpstr>
      <vt:lpstr>송수계획</vt:lpstr>
      <vt:lpstr>'2013'!Print_Area</vt:lpstr>
      <vt:lpstr>'2030'!Print_Area</vt:lpstr>
      <vt:lpstr>가압장!Print_Area</vt:lpstr>
      <vt:lpstr>배분계획!Print_Area</vt:lpstr>
      <vt:lpstr>'송관로검토(율량배수지)공급계통검토'!Print_Area</vt:lpstr>
    </vt:vector>
  </TitlesOfParts>
  <Company>(주)동명기술공단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상하수도3팀</dc:creator>
  <cp:lastModifiedBy>admin</cp:lastModifiedBy>
  <cp:lastPrinted>2015-04-01T04:06:26Z</cp:lastPrinted>
  <dcterms:created xsi:type="dcterms:W3CDTF">1999-04-08T12:16:21Z</dcterms:created>
  <dcterms:modified xsi:type="dcterms:W3CDTF">2016-05-03T07:11:36Z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9420902">
    <vt:lpwstr/>
  </property>
  <property fmtid="{D5CDD505-2E9C-101B-9397-08002B2CF9AE}" pid="28" name="IVID195910CF">
    <vt:lpwstr/>
  </property>
  <property fmtid="{D5CDD505-2E9C-101B-9397-08002B2CF9AE}" pid="29" name="IVID3A391AF6">
    <vt:lpwstr/>
  </property>
  <property fmtid="{D5CDD505-2E9C-101B-9397-08002B2CF9AE}" pid="30" name="IVID262B16E7">
    <vt:lpwstr/>
  </property>
  <property fmtid="{D5CDD505-2E9C-101B-9397-08002B2CF9AE}" pid="31" name="IVID2F5F18F6">
    <vt:lpwstr/>
  </property>
  <property fmtid="{D5CDD505-2E9C-101B-9397-08002B2CF9AE}" pid="32" name="IVID1A3517F4">
    <vt:lpwstr/>
  </property>
  <property fmtid="{D5CDD505-2E9C-101B-9397-08002B2CF9AE}" pid="33" name="IVID2B0E1302">
    <vt:lpwstr/>
  </property>
  <property fmtid="{D5CDD505-2E9C-101B-9397-08002B2CF9AE}" pid="34" name="IVID332E19D7">
    <vt:lpwstr/>
  </property>
  <property fmtid="{D5CDD505-2E9C-101B-9397-08002B2CF9AE}" pid="35" name="IVID22261800">
    <vt:lpwstr/>
  </property>
  <property fmtid="{D5CDD505-2E9C-101B-9397-08002B2CF9AE}" pid="36" name="IVID325116DE">
    <vt:lpwstr/>
  </property>
  <property fmtid="{D5CDD505-2E9C-101B-9397-08002B2CF9AE}" pid="37" name="IVID272C0FEF">
    <vt:lpwstr/>
  </property>
  <property fmtid="{D5CDD505-2E9C-101B-9397-08002B2CF9AE}" pid="38" name="IVID83011DE">
    <vt:lpwstr/>
  </property>
  <property fmtid="{D5CDD505-2E9C-101B-9397-08002B2CF9AE}" pid="39" name="IVID366A14F0">
    <vt:lpwstr/>
  </property>
  <property fmtid="{D5CDD505-2E9C-101B-9397-08002B2CF9AE}" pid="40" name="IVIDD5E16FB">
    <vt:lpwstr/>
  </property>
  <property fmtid="{D5CDD505-2E9C-101B-9397-08002B2CF9AE}" pid="41" name="IVID307414D1">
    <vt:lpwstr/>
  </property>
  <property fmtid="{D5CDD505-2E9C-101B-9397-08002B2CF9AE}" pid="42" name="IVID344B1400">
    <vt:lpwstr/>
  </property>
  <property fmtid="{D5CDD505-2E9C-101B-9397-08002B2CF9AE}" pid="43" name="IVID135B1DF5">
    <vt:lpwstr/>
  </property>
  <property fmtid="{D5CDD505-2E9C-101B-9397-08002B2CF9AE}" pid="44" name="IVID1A3716D3">
    <vt:lpwstr/>
  </property>
  <property fmtid="{D5CDD505-2E9C-101B-9397-08002B2CF9AE}" pid="45" name="IVIDD1916DB">
    <vt:lpwstr/>
  </property>
  <property fmtid="{D5CDD505-2E9C-101B-9397-08002B2CF9AE}" pid="46" name="IVID11431AF1">
    <vt:lpwstr/>
  </property>
  <property fmtid="{D5CDD505-2E9C-101B-9397-08002B2CF9AE}" pid="47" name="IVID1B2C19F3">
    <vt:lpwstr/>
  </property>
  <property fmtid="{D5CDD505-2E9C-101B-9397-08002B2CF9AE}" pid="48" name="IVIDD5E0FE6">
    <vt:lpwstr/>
  </property>
  <property fmtid="{D5CDD505-2E9C-101B-9397-08002B2CF9AE}" pid="49" name="IVID162D1605">
    <vt:lpwstr/>
  </property>
  <property fmtid="{D5CDD505-2E9C-101B-9397-08002B2CF9AE}" pid="50" name="IVID1EDA2D4D">
    <vt:lpwstr/>
  </property>
  <property fmtid="{D5CDD505-2E9C-101B-9397-08002B2CF9AE}" pid="51" name="IVIDB4119D1">
    <vt:lpwstr/>
  </property>
  <property fmtid="{D5CDD505-2E9C-101B-9397-08002B2CF9AE}" pid="52" name="IVID70614E8">
    <vt:lpwstr/>
  </property>
  <property fmtid="{D5CDD505-2E9C-101B-9397-08002B2CF9AE}" pid="53" name="IVID240A1504">
    <vt:lpwstr/>
  </property>
  <property fmtid="{D5CDD505-2E9C-101B-9397-08002B2CF9AE}" pid="54" name="IVID83E14EA">
    <vt:lpwstr/>
  </property>
  <property fmtid="{D5CDD505-2E9C-101B-9397-08002B2CF9AE}" pid="55" name="IVID1A6C1CDD">
    <vt:lpwstr/>
  </property>
  <property fmtid="{D5CDD505-2E9C-101B-9397-08002B2CF9AE}" pid="56" name="IVID24691CD4">
    <vt:lpwstr/>
  </property>
  <property fmtid="{D5CDD505-2E9C-101B-9397-08002B2CF9AE}" pid="57" name="IVID2A5E1D03">
    <vt:lpwstr/>
  </property>
  <property fmtid="{D5CDD505-2E9C-101B-9397-08002B2CF9AE}" pid="58" name="IVID266F16CF">
    <vt:lpwstr/>
  </property>
  <property fmtid="{D5CDD505-2E9C-101B-9397-08002B2CF9AE}" pid="59" name="IVID254415DF">
    <vt:lpwstr/>
  </property>
  <property fmtid="{D5CDD505-2E9C-101B-9397-08002B2CF9AE}" pid="60" name="IVID394F1104">
    <vt:lpwstr/>
  </property>
  <property fmtid="{D5CDD505-2E9C-101B-9397-08002B2CF9AE}" pid="61" name="IVIDE5716EA">
    <vt:lpwstr/>
  </property>
  <property fmtid="{D5CDD505-2E9C-101B-9397-08002B2CF9AE}" pid="62" name="IVID235614F2">
    <vt:lpwstr/>
  </property>
  <property fmtid="{D5CDD505-2E9C-101B-9397-08002B2CF9AE}" pid="63" name="IVID183113E9">
    <vt:lpwstr/>
  </property>
  <property fmtid="{D5CDD505-2E9C-101B-9397-08002B2CF9AE}" pid="64" name="IVID205514F0">
    <vt:lpwstr/>
  </property>
  <property fmtid="{D5CDD505-2E9C-101B-9397-08002B2CF9AE}" pid="65" name="IVID2E340EFE">
    <vt:lpwstr/>
  </property>
  <property fmtid="{D5CDD505-2E9C-101B-9397-08002B2CF9AE}" pid="66" name="IVID154C18E8">
    <vt:lpwstr/>
  </property>
  <property fmtid="{D5CDD505-2E9C-101B-9397-08002B2CF9AE}" pid="67" name="IVID1D3F17E2">
    <vt:lpwstr/>
  </property>
  <property fmtid="{D5CDD505-2E9C-101B-9397-08002B2CF9AE}" pid="68" name="IVID13451200">
    <vt:lpwstr/>
  </property>
  <property fmtid="{D5CDD505-2E9C-101B-9397-08002B2CF9AE}" pid="69" name="IVID121617DE">
    <vt:lpwstr/>
  </property>
  <property fmtid="{D5CDD505-2E9C-101B-9397-08002B2CF9AE}" pid="70" name="IVID13691AF2">
    <vt:lpwstr/>
  </property>
  <property fmtid="{D5CDD505-2E9C-101B-9397-08002B2CF9AE}" pid="71" name="IVID1A3B0AF0">
    <vt:lpwstr/>
  </property>
  <property fmtid="{D5CDD505-2E9C-101B-9397-08002B2CF9AE}" pid="72" name="IVID373F12DB">
    <vt:lpwstr/>
  </property>
  <property fmtid="{D5CDD505-2E9C-101B-9397-08002B2CF9AE}" pid="73" name="IVID102124BA">
    <vt:lpwstr/>
  </property>
  <property fmtid="{D5CDD505-2E9C-101B-9397-08002B2CF9AE}" pid="74" name="IVID3D1509D0">
    <vt:lpwstr/>
  </property>
  <property fmtid="{D5CDD505-2E9C-101B-9397-08002B2CF9AE}" pid="75" name="IVID35641901">
    <vt:lpwstr/>
  </property>
  <property fmtid="{D5CDD505-2E9C-101B-9397-08002B2CF9AE}" pid="76" name="IVID45E1ED9">
    <vt:lpwstr/>
  </property>
  <property fmtid="{D5CDD505-2E9C-101B-9397-08002B2CF9AE}" pid="77" name="IVID324113D1">
    <vt:lpwstr/>
  </property>
  <property fmtid="{D5CDD505-2E9C-101B-9397-08002B2CF9AE}" pid="78" name="IVID1A2D1903">
    <vt:lpwstr/>
  </property>
  <property fmtid="{D5CDD505-2E9C-101B-9397-08002B2CF9AE}" pid="79" name="IVID222F6E42">
    <vt:lpwstr/>
  </property>
  <property fmtid="{D5CDD505-2E9C-101B-9397-08002B2CF9AE}" pid="80" name="IVID137012E9">
    <vt:lpwstr/>
  </property>
  <property fmtid="{D5CDD505-2E9C-101B-9397-08002B2CF9AE}" pid="81" name="IVID17063A1C">
    <vt:lpwstr/>
  </property>
  <property fmtid="{D5CDD505-2E9C-101B-9397-08002B2CF9AE}" pid="82" name="IVID10FD1D6C">
    <vt:lpwstr/>
  </property>
  <property fmtid="{D5CDD505-2E9C-101B-9397-08002B2CF9AE}" pid="83" name="IVID432514EF">
    <vt:lpwstr/>
  </property>
  <property fmtid="{D5CDD505-2E9C-101B-9397-08002B2CF9AE}" pid="84" name="IVID93515DF">
    <vt:lpwstr/>
  </property>
  <property fmtid="{D5CDD505-2E9C-101B-9397-08002B2CF9AE}" pid="85" name="IVID23287743">
    <vt:lpwstr/>
  </property>
  <property fmtid="{D5CDD505-2E9C-101B-9397-08002B2CF9AE}" pid="86" name="IVID1307">
    <vt:lpwstr/>
  </property>
  <property fmtid="{D5CDD505-2E9C-101B-9397-08002B2CF9AE}" pid="87" name="IVID206218D6">
    <vt:lpwstr/>
  </property>
  <property fmtid="{D5CDD505-2E9C-101B-9397-08002B2CF9AE}" pid="88" name="IVID217313F1">
    <vt:lpwstr/>
  </property>
  <property fmtid="{D5CDD505-2E9C-101B-9397-08002B2CF9AE}" pid="89" name="IVID64515E1">
    <vt:lpwstr/>
  </property>
  <property fmtid="{D5CDD505-2E9C-101B-9397-08002B2CF9AE}" pid="90" name="IVID3322130B">
    <vt:lpwstr/>
  </property>
  <property fmtid="{D5CDD505-2E9C-101B-9397-08002B2CF9AE}" pid="91" name="IVID171E13FA">
    <vt:lpwstr/>
  </property>
  <property fmtid="{D5CDD505-2E9C-101B-9397-08002B2CF9AE}" pid="92" name="IVID8101C03">
    <vt:lpwstr/>
  </property>
  <property fmtid="{D5CDD505-2E9C-101B-9397-08002B2CF9AE}" pid="93" name="IVID406811FD">
    <vt:lpwstr/>
  </property>
  <property fmtid="{D5CDD505-2E9C-101B-9397-08002B2CF9AE}" pid="94" name="IVID1D0B1503">
    <vt:lpwstr/>
  </property>
  <property fmtid="{D5CDD505-2E9C-101B-9397-08002B2CF9AE}" pid="95" name="IVID116216F5">
    <vt:lpwstr/>
  </property>
</Properties>
</file>