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45" yWindow="0" windowWidth="12645" windowHeight="12330" firstSheet="2" activeTab="5"/>
  </bookViews>
  <sheets>
    <sheet name="사업비" sheetId="4" state="hidden" r:id="rId1"/>
    <sheet name="마을,소규모 급수시설" sheetId="1" state="hidden" r:id="rId2"/>
    <sheet name="사업비-" sheetId="7" r:id="rId3"/>
    <sheet name="개량사업비 산정기준" sheetId="3" r:id="rId4"/>
    <sheet name="개량사업비산출" sheetId="6" r:id="rId5"/>
    <sheet name="지하수 폐공비용" sheetId="5" r:id="rId6"/>
    <sheet name="Sheet1" sheetId="8" r:id="rId7"/>
  </sheets>
  <externalReferences>
    <externalReference r:id="rId8"/>
    <externalReference r:id="rId9"/>
  </externalReferences>
  <definedNames>
    <definedName name="_xlnm._FilterDatabase" localSheetId="4" hidden="1">개량사업비산출!$A$3:$AP$164</definedName>
    <definedName name="_xlnm.Print_Area" localSheetId="3">'개량사업비 산정기준'!$A$1:$I$62</definedName>
    <definedName name="_xlnm.Print_Area" localSheetId="4">개량사업비산출!$A$1:$AK$164</definedName>
    <definedName name="_xlnm.Print_Titles" localSheetId="4">개량사업비산출!$1:$3</definedName>
    <definedName name="_xlnm.Print_Titles" localSheetId="5">'지하수 폐공비용'!$2:$4</definedName>
  </definedNames>
  <calcPr calcId="125725"/>
</workbook>
</file>

<file path=xl/calcChain.xml><?xml version="1.0" encoding="utf-8"?>
<calcChain xmlns="http://schemas.openxmlformats.org/spreadsheetml/2006/main">
  <c r="H99" i="5"/>
  <c r="G99"/>
  <c r="H91"/>
  <c r="G91"/>
  <c r="H73"/>
  <c r="G73"/>
  <c r="H62"/>
  <c r="G62"/>
  <c r="H46"/>
  <c r="G46"/>
  <c r="H43"/>
  <c r="G43"/>
  <c r="H32"/>
  <c r="G32"/>
  <c r="H20"/>
  <c r="H10"/>
  <c r="H6"/>
  <c r="G6"/>
  <c r="G10"/>
  <c r="G20"/>
  <c r="G110" i="8"/>
  <c r="G112" s="1"/>
  <c r="N122"/>
  <c r="K122"/>
  <c r="J122"/>
  <c r="I122"/>
  <c r="H122"/>
  <c r="K117"/>
  <c r="J117"/>
  <c r="I117"/>
  <c r="H117"/>
  <c r="K112"/>
  <c r="J112"/>
  <c r="I112"/>
  <c r="H112"/>
  <c r="G104"/>
  <c r="G103"/>
  <c r="I103" s="1"/>
  <c r="G102"/>
  <c r="C4" i="7"/>
  <c r="D13"/>
  <c r="G12"/>
  <c r="F12"/>
  <c r="G5"/>
  <c r="F5"/>
  <c r="AP164" i="6"/>
  <c r="AO164"/>
  <c r="AM164"/>
  <c r="AP163"/>
  <c r="AO163"/>
  <c r="AM163"/>
  <c r="AP162"/>
  <c r="AO162"/>
  <c r="AN162"/>
  <c r="AM162"/>
  <c r="AP161"/>
  <c r="AO161"/>
  <c r="AM161"/>
  <c r="AP160"/>
  <c r="AO160"/>
  <c r="AN160"/>
  <c r="AP159"/>
  <c r="AO159"/>
  <c r="AN159"/>
  <c r="AP158"/>
  <c r="AO158"/>
  <c r="AM158"/>
  <c r="AP157"/>
  <c r="AO157"/>
  <c r="AN157"/>
  <c r="AM157"/>
  <c r="AP156"/>
  <c r="AO156"/>
  <c r="AN156"/>
  <c r="AP155"/>
  <c r="AO155"/>
  <c r="AM155"/>
  <c r="AP154"/>
  <c r="AO154"/>
  <c r="AN154"/>
  <c r="AP153"/>
  <c r="AO153"/>
  <c r="AN153"/>
  <c r="AP152"/>
  <c r="AO152"/>
  <c r="AM152"/>
  <c r="AP151"/>
  <c r="AO151"/>
  <c r="AM151"/>
  <c r="AP150"/>
  <c r="AO150"/>
  <c r="AN150"/>
  <c r="AM150"/>
  <c r="AP149"/>
  <c r="AO149"/>
  <c r="AM149"/>
  <c r="AP148"/>
  <c r="AO148"/>
  <c r="AM148"/>
  <c r="AP147"/>
  <c r="AO147"/>
  <c r="AM147"/>
  <c r="AP146"/>
  <c r="AO146"/>
  <c r="AN146"/>
  <c r="AP145"/>
  <c r="AO145"/>
  <c r="AN145"/>
  <c r="AP144"/>
  <c r="AO144"/>
  <c r="AM144"/>
  <c r="AP143"/>
  <c r="AO143"/>
  <c r="AN143"/>
  <c r="AP142"/>
  <c r="AO142"/>
  <c r="AM142"/>
  <c r="AP141"/>
  <c r="AO141"/>
  <c r="AM141"/>
  <c r="AP140"/>
  <c r="AO140"/>
  <c r="AN140"/>
  <c r="AM140"/>
  <c r="AP139"/>
  <c r="AO139"/>
  <c r="AM139"/>
  <c r="AP138"/>
  <c r="AO138"/>
  <c r="AM138"/>
  <c r="AP137"/>
  <c r="AO137"/>
  <c r="AM137"/>
  <c r="AP136"/>
  <c r="AO136"/>
  <c r="AN136"/>
  <c r="AP135"/>
  <c r="AO135"/>
  <c r="AM135"/>
  <c r="AP134"/>
  <c r="AO134"/>
  <c r="AM134"/>
  <c r="AP133"/>
  <c r="AO133"/>
  <c r="AM133"/>
  <c r="AP132"/>
  <c r="AO132"/>
  <c r="AM132"/>
  <c r="AP131"/>
  <c r="AO131"/>
  <c r="AM131"/>
  <c r="AP130"/>
  <c r="AO130"/>
  <c r="AM130"/>
  <c r="AP129"/>
  <c r="AO129"/>
  <c r="AM129"/>
  <c r="AP128"/>
  <c r="AO128"/>
  <c r="AM128"/>
  <c r="AP127"/>
  <c r="AO127"/>
  <c r="AM127"/>
  <c r="AP126"/>
  <c r="AO126"/>
  <c r="AN126"/>
  <c r="AM126"/>
  <c r="AP125"/>
  <c r="AO125"/>
  <c r="AM125"/>
  <c r="AP124"/>
  <c r="AO124"/>
  <c r="AN124"/>
  <c r="AM124"/>
  <c r="AP123"/>
  <c r="AO123"/>
  <c r="AN123"/>
  <c r="AM123"/>
  <c r="AP122"/>
  <c r="AO122"/>
  <c r="AM122"/>
  <c r="AP121"/>
  <c r="AO121"/>
  <c r="AM121"/>
  <c r="AP120"/>
  <c r="AO120"/>
  <c r="AN120"/>
  <c r="AM120"/>
  <c r="AP119"/>
  <c r="AO119"/>
  <c r="AN119"/>
  <c r="AP118"/>
  <c r="AO118"/>
  <c r="AN118"/>
  <c r="AM118"/>
  <c r="AP117"/>
  <c r="AO117"/>
  <c r="AN117"/>
  <c r="AM117"/>
  <c r="AP116"/>
  <c r="AO116"/>
  <c r="AN116"/>
  <c r="AM116"/>
  <c r="AP115"/>
  <c r="AO115"/>
  <c r="AN115"/>
  <c r="AM115"/>
  <c r="AP114"/>
  <c r="AO114"/>
  <c r="AN114"/>
  <c r="AP113"/>
  <c r="AO113"/>
  <c r="AN113"/>
  <c r="AM113"/>
  <c r="AP112"/>
  <c r="AO112"/>
  <c r="AN112"/>
  <c r="AM112"/>
  <c r="AP111"/>
  <c r="AO111"/>
  <c r="AN111"/>
  <c r="AM111"/>
  <c r="AP110"/>
  <c r="AO110"/>
  <c r="AN110"/>
  <c r="AM110"/>
  <c r="AP109"/>
  <c r="AO109"/>
  <c r="AM109"/>
  <c r="AP108"/>
  <c r="AO108"/>
  <c r="AM108"/>
  <c r="AP107"/>
  <c r="AO107"/>
  <c r="AM107"/>
  <c r="AP106"/>
  <c r="AO106"/>
  <c r="AN106"/>
  <c r="AM106"/>
  <c r="AP105"/>
  <c r="AO105"/>
  <c r="AN105"/>
  <c r="AM105"/>
  <c r="AP104"/>
  <c r="AO104"/>
  <c r="AM104"/>
  <c r="AP103"/>
  <c r="AO103"/>
  <c r="AM103"/>
  <c r="AP102"/>
  <c r="AO102"/>
  <c r="AM102"/>
  <c r="AP101"/>
  <c r="AO101"/>
  <c r="AM101"/>
  <c r="AP100"/>
  <c r="AO100"/>
  <c r="AM100"/>
  <c r="AP99"/>
  <c r="AO99"/>
  <c r="AM99"/>
  <c r="AP98"/>
  <c r="AO98"/>
  <c r="AN98"/>
  <c r="AM98"/>
  <c r="AP97"/>
  <c r="AO97"/>
  <c r="AN97"/>
  <c r="AP96"/>
  <c r="AO96"/>
  <c r="AM96"/>
  <c r="AP95"/>
  <c r="AO95"/>
  <c r="AM95"/>
  <c r="AP94"/>
  <c r="AO94"/>
  <c r="AN94"/>
  <c r="AM94"/>
  <c r="AP93"/>
  <c r="AO93"/>
  <c r="AN93"/>
  <c r="AM93"/>
  <c r="AP92"/>
  <c r="AO92"/>
  <c r="AN92"/>
  <c r="AM92"/>
  <c r="AP91"/>
  <c r="AO91"/>
  <c r="AN91"/>
  <c r="AM91"/>
  <c r="AP90"/>
  <c r="AO90"/>
  <c r="AM90"/>
  <c r="AP89"/>
  <c r="AO89"/>
  <c r="AM89"/>
  <c r="AP88"/>
  <c r="AO88"/>
  <c r="AM88"/>
  <c r="AP87"/>
  <c r="AO87"/>
  <c r="AM87"/>
  <c r="AP86"/>
  <c r="AO86"/>
  <c r="AM86"/>
  <c r="AP85"/>
  <c r="AO85"/>
  <c r="AM85"/>
  <c r="AP84"/>
  <c r="AO84"/>
  <c r="AM84"/>
  <c r="AP83"/>
  <c r="AO83"/>
  <c r="AN83"/>
  <c r="AM83"/>
  <c r="AP82"/>
  <c r="AO82"/>
  <c r="AN82"/>
  <c r="AM82"/>
  <c r="AP81"/>
  <c r="AO81"/>
  <c r="AM81"/>
  <c r="AP80"/>
  <c r="AO80"/>
  <c r="AM80"/>
  <c r="AP79"/>
  <c r="AO79"/>
  <c r="AN79"/>
  <c r="AM79"/>
  <c r="AP78"/>
  <c r="AO78"/>
  <c r="AN78"/>
  <c r="AM78"/>
  <c r="AP77"/>
  <c r="AO77"/>
  <c r="AM77"/>
  <c r="AP76"/>
  <c r="AO76"/>
  <c r="AM76"/>
  <c r="AP75"/>
  <c r="AO75"/>
  <c r="AN75"/>
  <c r="AM75"/>
  <c r="AP74"/>
  <c r="AO74"/>
  <c r="AN74"/>
  <c r="AM74"/>
  <c r="AP73"/>
  <c r="AO73"/>
  <c r="AM73"/>
  <c r="AP72"/>
  <c r="AO72"/>
  <c r="AN72"/>
  <c r="AM72"/>
  <c r="AP71"/>
  <c r="AO71"/>
  <c r="AM71"/>
  <c r="AP70"/>
  <c r="AO70"/>
  <c r="AN70"/>
  <c r="AP69"/>
  <c r="AO69"/>
  <c r="AN69"/>
  <c r="AP68"/>
  <c r="AO68"/>
  <c r="AN68"/>
  <c r="AP67"/>
  <c r="AO67"/>
  <c r="AN67"/>
  <c r="AP66"/>
  <c r="AO66"/>
  <c r="AM66"/>
  <c r="AP65"/>
  <c r="AO65"/>
  <c r="AM65"/>
  <c r="AP64"/>
  <c r="AO64"/>
  <c r="AM64"/>
  <c r="AP63"/>
  <c r="AO63"/>
  <c r="AM63"/>
  <c r="AP62"/>
  <c r="AO62"/>
  <c r="AM62"/>
  <c r="AP61"/>
  <c r="AO61"/>
  <c r="AM61"/>
  <c r="AP60"/>
  <c r="AO60"/>
  <c r="AM60"/>
  <c r="AP59"/>
  <c r="AO59"/>
  <c r="AM59"/>
  <c r="AP58"/>
  <c r="AO58"/>
  <c r="AM58"/>
  <c r="AP57"/>
  <c r="AO57"/>
  <c r="AM57"/>
  <c r="AP56"/>
  <c r="AO56"/>
  <c r="AN56"/>
  <c r="AM56"/>
  <c r="AP55"/>
  <c r="AO55"/>
  <c r="AM55"/>
  <c r="AP54"/>
  <c r="AO54"/>
  <c r="AN54"/>
  <c r="AM54"/>
  <c r="AP53"/>
  <c r="AO53"/>
  <c r="AN53"/>
  <c r="AM53"/>
  <c r="AP52"/>
  <c r="AO52"/>
  <c r="AN52"/>
  <c r="AM52"/>
  <c r="AP51"/>
  <c r="AO51"/>
  <c r="AN51"/>
  <c r="AM51"/>
  <c r="AP50"/>
  <c r="AO50"/>
  <c r="AM50"/>
  <c r="AP49"/>
  <c r="AO49"/>
  <c r="AN49"/>
  <c r="AM49"/>
  <c r="AP48"/>
  <c r="AO48"/>
  <c r="AN48"/>
  <c r="AM48"/>
  <c r="AP47"/>
  <c r="AO47"/>
  <c r="AN47"/>
  <c r="AM47"/>
  <c r="AP46"/>
  <c r="AO46"/>
  <c r="AN46"/>
  <c r="AM46"/>
  <c r="AP45"/>
  <c r="AO45"/>
  <c r="AN45"/>
  <c r="AM45"/>
  <c r="AP44"/>
  <c r="AO44"/>
  <c r="AN44"/>
  <c r="AM44"/>
  <c r="AP43"/>
  <c r="AO43"/>
  <c r="AM43"/>
  <c r="AP42"/>
  <c r="AO42"/>
  <c r="AM42"/>
  <c r="AP41"/>
  <c r="AO41"/>
  <c r="AN41"/>
  <c r="AM41"/>
  <c r="AP40"/>
  <c r="AO40"/>
  <c r="AN40"/>
  <c r="AM40"/>
  <c r="AP39"/>
  <c r="AO39"/>
  <c r="AN39"/>
  <c r="AM39"/>
  <c r="AP38"/>
  <c r="AO38"/>
  <c r="AN38"/>
  <c r="AM38"/>
  <c r="AP37"/>
  <c r="AO37"/>
  <c r="AN37"/>
  <c r="AM37"/>
  <c r="AP36"/>
  <c r="AO36"/>
  <c r="AN36"/>
  <c r="AM36"/>
  <c r="AP35"/>
  <c r="AO35"/>
  <c r="AN35"/>
  <c r="AM35"/>
  <c r="AP34"/>
  <c r="AO34"/>
  <c r="AN34"/>
  <c r="AM34"/>
  <c r="AP33"/>
  <c r="AO33"/>
  <c r="AN33"/>
  <c r="AM33"/>
  <c r="AP32"/>
  <c r="AO32"/>
  <c r="AN32"/>
  <c r="AM32"/>
  <c r="AP31"/>
  <c r="AO31"/>
  <c r="AN31"/>
  <c r="AP30"/>
  <c r="AO30"/>
  <c r="AN30"/>
  <c r="AP29"/>
  <c r="AO29"/>
  <c r="AM29"/>
  <c r="AP28"/>
  <c r="AO28"/>
  <c r="AM28"/>
  <c r="AP27"/>
  <c r="AO27"/>
  <c r="AN27"/>
  <c r="AM27"/>
  <c r="AP26"/>
  <c r="AO26"/>
  <c r="AM26"/>
  <c r="AP25"/>
  <c r="AO25"/>
  <c r="AM25"/>
  <c r="AP24"/>
  <c r="AO24"/>
  <c r="AN24"/>
  <c r="AM24"/>
  <c r="AP23"/>
  <c r="AO23"/>
  <c r="AM23"/>
  <c r="AP22"/>
  <c r="AO22"/>
  <c r="AM22"/>
  <c r="AP21"/>
  <c r="AO21"/>
  <c r="AN21"/>
  <c r="AM21"/>
  <c r="AP20"/>
  <c r="AO20"/>
  <c r="AN20"/>
  <c r="AM20"/>
  <c r="AP19"/>
  <c r="AO19"/>
  <c r="AN19"/>
  <c r="AM19"/>
  <c r="AP18"/>
  <c r="AO18"/>
  <c r="AN18"/>
  <c r="AM18"/>
  <c r="AP17"/>
  <c r="AO17"/>
  <c r="AN17"/>
  <c r="AM17"/>
  <c r="AP16"/>
  <c r="AO16"/>
  <c r="AN16"/>
  <c r="AM16"/>
  <c r="AP15"/>
  <c r="AO15"/>
  <c r="AN15"/>
  <c r="AM15"/>
  <c r="AP14"/>
  <c r="AO14"/>
  <c r="AN14"/>
  <c r="AM14"/>
  <c r="AP13"/>
  <c r="AO13"/>
  <c r="AN13"/>
  <c r="AM13"/>
  <c r="AP12"/>
  <c r="AO12"/>
  <c r="AN12"/>
  <c r="AM12"/>
  <c r="AP11"/>
  <c r="AO11"/>
  <c r="AM11"/>
  <c r="AP10"/>
  <c r="AO10"/>
  <c r="AN10"/>
  <c r="AM10"/>
  <c r="AP9"/>
  <c r="AO9"/>
  <c r="AN9"/>
  <c r="AM9"/>
  <c r="AP8"/>
  <c r="AO8"/>
  <c r="AN8"/>
  <c r="AM8"/>
  <c r="AP7"/>
  <c r="AO7"/>
  <c r="AN7"/>
  <c r="AM7"/>
  <c r="U164"/>
  <c r="U163"/>
  <c r="U162"/>
  <c r="U161"/>
  <c r="U160"/>
  <c r="U159"/>
  <c r="U158"/>
  <c r="U157"/>
  <c r="U156"/>
  <c r="U155"/>
  <c r="U154"/>
  <c r="U153"/>
  <c r="U152"/>
  <c r="U151"/>
  <c r="U150"/>
  <c r="U149"/>
  <c r="U148"/>
  <c r="U147"/>
  <c r="U146"/>
  <c r="U145"/>
  <c r="U144"/>
  <c r="U143"/>
  <c r="U142"/>
  <c r="U141"/>
  <c r="U140"/>
  <c r="U139"/>
  <c r="U138"/>
  <c r="U137"/>
  <c r="U136"/>
  <c r="U135"/>
  <c r="U134"/>
  <c r="U133"/>
  <c r="U132"/>
  <c r="U131"/>
  <c r="U130"/>
  <c r="U129"/>
  <c r="U128"/>
  <c r="U127"/>
  <c r="U126"/>
  <c r="U125"/>
  <c r="U124"/>
  <c r="U123"/>
  <c r="U122"/>
  <c r="U121"/>
  <c r="U120"/>
  <c r="U119"/>
  <c r="U118"/>
  <c r="U117"/>
  <c r="U116"/>
  <c r="U115"/>
  <c r="U114"/>
  <c r="U113"/>
  <c r="U112"/>
  <c r="U111"/>
  <c r="U110"/>
  <c r="U109"/>
  <c r="U108"/>
  <c r="U107"/>
  <c r="U106"/>
  <c r="U105"/>
  <c r="U104"/>
  <c r="U103"/>
  <c r="U102"/>
  <c r="U101"/>
  <c r="U100"/>
  <c r="U99"/>
  <c r="U98"/>
  <c r="U97"/>
  <c r="U96"/>
  <c r="U95"/>
  <c r="U94"/>
  <c r="U93"/>
  <c r="U92"/>
  <c r="U91"/>
  <c r="U90"/>
  <c r="U89"/>
  <c r="U88"/>
  <c r="U87"/>
  <c r="U86"/>
  <c r="U85"/>
  <c r="U84"/>
  <c r="U83"/>
  <c r="U82"/>
  <c r="U81"/>
  <c r="U80"/>
  <c r="U79"/>
  <c r="U78"/>
  <c r="U77"/>
  <c r="U76"/>
  <c r="U75"/>
  <c r="U74"/>
  <c r="U73"/>
  <c r="U72"/>
  <c r="U71"/>
  <c r="U70"/>
  <c r="U69"/>
  <c r="U68"/>
  <c r="U67"/>
  <c r="U66"/>
  <c r="U65"/>
  <c r="U64"/>
  <c r="U63"/>
  <c r="U62"/>
  <c r="U61"/>
  <c r="U60"/>
  <c r="U59"/>
  <c r="U58"/>
  <c r="U57"/>
  <c r="U56"/>
  <c r="U55"/>
  <c r="U54"/>
  <c r="U53"/>
  <c r="U52"/>
  <c r="U51"/>
  <c r="U50"/>
  <c r="U49"/>
  <c r="U48"/>
  <c r="U47"/>
  <c r="U46"/>
  <c r="U45"/>
  <c r="U44"/>
  <c r="U43"/>
  <c r="U42"/>
  <c r="U41"/>
  <c r="U40"/>
  <c r="U39"/>
  <c r="U38"/>
  <c r="U37"/>
  <c r="U36"/>
  <c r="U35"/>
  <c r="U34"/>
  <c r="U33"/>
  <c r="U32"/>
  <c r="U31"/>
  <c r="U29"/>
  <c r="U28"/>
  <c r="U27"/>
  <c r="U26"/>
  <c r="U25"/>
  <c r="U24"/>
  <c r="U23"/>
  <c r="U22"/>
  <c r="U21"/>
  <c r="U20"/>
  <c r="U19"/>
  <c r="U18"/>
  <c r="U17"/>
  <c r="U16"/>
  <c r="U15"/>
  <c r="U14"/>
  <c r="U13"/>
  <c r="U12"/>
  <c r="U11"/>
  <c r="U10"/>
  <c r="U9"/>
  <c r="U8"/>
  <c r="U7"/>
  <c r="U30"/>
  <c r="AI136"/>
  <c r="AI160"/>
  <c r="AI159"/>
  <c r="AI156"/>
  <c r="AI154"/>
  <c r="AI153"/>
  <c r="AI146"/>
  <c r="AI145"/>
  <c r="AI143"/>
  <c r="AI119"/>
  <c r="AI114"/>
  <c r="AI97"/>
  <c r="AI31"/>
  <c r="I15" i="3"/>
  <c r="I18"/>
  <c r="I17"/>
  <c r="I16"/>
  <c r="H18"/>
  <c r="H17"/>
  <c r="H16"/>
  <c r="H15"/>
  <c r="G18"/>
  <c r="G17"/>
  <c r="G16"/>
  <c r="G15"/>
  <c r="E18"/>
  <c r="E17"/>
  <c r="E16"/>
  <c r="E15"/>
  <c r="D18"/>
  <c r="D17"/>
  <c r="D16"/>
  <c r="D15"/>
  <c r="C18"/>
  <c r="C17"/>
  <c r="C16"/>
  <c r="C15"/>
  <c r="B18"/>
  <c r="B17"/>
  <c r="B16"/>
  <c r="B15"/>
  <c r="H164" i="6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S164"/>
  <c r="AH164" s="1"/>
  <c r="Q164"/>
  <c r="AF164" s="1"/>
  <c r="O164"/>
  <c r="AD164" s="1"/>
  <c r="S163"/>
  <c r="AH163" s="1"/>
  <c r="Q163"/>
  <c r="AF163" s="1"/>
  <c r="O163"/>
  <c r="AD163" s="1"/>
  <c r="S162"/>
  <c r="AH162" s="1"/>
  <c r="Q162"/>
  <c r="AF162" s="1"/>
  <c r="O162"/>
  <c r="AD162" s="1"/>
  <c r="S161"/>
  <c r="AH161" s="1"/>
  <c r="Q161"/>
  <c r="AF161" s="1"/>
  <c r="O161"/>
  <c r="AD161" s="1"/>
  <c r="S160"/>
  <c r="AH160" s="1"/>
  <c r="Q160"/>
  <c r="AF160" s="1"/>
  <c r="O160"/>
  <c r="S159"/>
  <c r="AH159" s="1"/>
  <c r="Q159"/>
  <c r="V159" s="1"/>
  <c r="O159"/>
  <c r="AA159" s="1"/>
  <c r="S158"/>
  <c r="AH158" s="1"/>
  <c r="Q158"/>
  <c r="AF158" s="1"/>
  <c r="O158"/>
  <c r="AD158" s="1"/>
  <c r="S157"/>
  <c r="AH157" s="1"/>
  <c r="Q157"/>
  <c r="AF157" s="1"/>
  <c r="O157"/>
  <c r="AD157" s="1"/>
  <c r="S156"/>
  <c r="AH156" s="1"/>
  <c r="Q156"/>
  <c r="AF156" s="1"/>
  <c r="O156"/>
  <c r="AD156" s="1"/>
  <c r="S155"/>
  <c r="AH155" s="1"/>
  <c r="Q155"/>
  <c r="AF155" s="1"/>
  <c r="O155"/>
  <c r="AD155" s="1"/>
  <c r="S154"/>
  <c r="AH154" s="1"/>
  <c r="Q154"/>
  <c r="AF154" s="1"/>
  <c r="O154"/>
  <c r="S153"/>
  <c r="AH153" s="1"/>
  <c r="Q153"/>
  <c r="AF153" s="1"/>
  <c r="O153"/>
  <c r="AD153" s="1"/>
  <c r="S152"/>
  <c r="AH152" s="1"/>
  <c r="Q152"/>
  <c r="AF152" s="1"/>
  <c r="O152"/>
  <c r="AD152" s="1"/>
  <c r="S151"/>
  <c r="AH151" s="1"/>
  <c r="Q151"/>
  <c r="AF151" s="1"/>
  <c r="O151"/>
  <c r="AD151" s="1"/>
  <c r="S150"/>
  <c r="AH150" s="1"/>
  <c r="Q150"/>
  <c r="AF150" s="1"/>
  <c r="O150"/>
  <c r="AD150" s="1"/>
  <c r="S149"/>
  <c r="AH149" s="1"/>
  <c r="Q149"/>
  <c r="AF149" s="1"/>
  <c r="O149"/>
  <c r="AD149" s="1"/>
  <c r="S148"/>
  <c r="AH148" s="1"/>
  <c r="Q148"/>
  <c r="AF148" s="1"/>
  <c r="O148"/>
  <c r="AD148" s="1"/>
  <c r="S147"/>
  <c r="AH147" s="1"/>
  <c r="Q147"/>
  <c r="AF147" s="1"/>
  <c r="O147"/>
  <c r="AD147" s="1"/>
  <c r="S146"/>
  <c r="AH146" s="1"/>
  <c r="Q146"/>
  <c r="V146" s="1"/>
  <c r="O146"/>
  <c r="S145"/>
  <c r="AH145" s="1"/>
  <c r="Q145"/>
  <c r="V145" s="1"/>
  <c r="O145"/>
  <c r="AA145" s="1"/>
  <c r="S144"/>
  <c r="AH144" s="1"/>
  <c r="Q144"/>
  <c r="AF144" s="1"/>
  <c r="O144"/>
  <c r="AD144" s="1"/>
  <c r="S143"/>
  <c r="AH143" s="1"/>
  <c r="Q143"/>
  <c r="V143" s="1"/>
  <c r="O143"/>
  <c r="AA143" s="1"/>
  <c r="S142"/>
  <c r="AH142" s="1"/>
  <c r="O142"/>
  <c r="AD142" s="1"/>
  <c r="S141"/>
  <c r="AH141" s="1"/>
  <c r="Q141"/>
  <c r="AF141" s="1"/>
  <c r="O141"/>
  <c r="AD141" s="1"/>
  <c r="S140"/>
  <c r="AH140" s="1"/>
  <c r="Q140"/>
  <c r="AF140" s="1"/>
  <c r="O140"/>
  <c r="AD140" s="1"/>
  <c r="S139"/>
  <c r="AH139" s="1"/>
  <c r="Q139"/>
  <c r="AF139" s="1"/>
  <c r="O139"/>
  <c r="AD139" s="1"/>
  <c r="S138"/>
  <c r="AH138" s="1"/>
  <c r="Q138"/>
  <c r="AF138" s="1"/>
  <c r="O138"/>
  <c r="AD138" s="1"/>
  <c r="S137"/>
  <c r="AH137" s="1"/>
  <c r="Q137"/>
  <c r="AF137" s="1"/>
  <c r="O137"/>
  <c r="AD137" s="1"/>
  <c r="S136"/>
  <c r="AH136" s="1"/>
  <c r="Q136"/>
  <c r="AF136" s="1"/>
  <c r="O136"/>
  <c r="AD136" s="1"/>
  <c r="S135"/>
  <c r="AH135" s="1"/>
  <c r="Q135"/>
  <c r="AF135" s="1"/>
  <c r="O135"/>
  <c r="AD135" s="1"/>
  <c r="S134"/>
  <c r="AH134" s="1"/>
  <c r="Q134"/>
  <c r="AF134" s="1"/>
  <c r="O134"/>
  <c r="AD134" s="1"/>
  <c r="S133"/>
  <c r="AH133" s="1"/>
  <c r="Q133"/>
  <c r="AF133" s="1"/>
  <c r="O133"/>
  <c r="AD133" s="1"/>
  <c r="S132"/>
  <c r="AH132" s="1"/>
  <c r="Q132"/>
  <c r="AF132" s="1"/>
  <c r="O132"/>
  <c r="AD132" s="1"/>
  <c r="S131"/>
  <c r="AH131" s="1"/>
  <c r="Q131"/>
  <c r="AF131" s="1"/>
  <c r="O131"/>
  <c r="AD131" s="1"/>
  <c r="S130"/>
  <c r="AH130" s="1"/>
  <c r="Q130"/>
  <c r="AF130" s="1"/>
  <c r="O130"/>
  <c r="AD130" s="1"/>
  <c r="S129"/>
  <c r="AH129" s="1"/>
  <c r="Q129"/>
  <c r="AF129" s="1"/>
  <c r="O129"/>
  <c r="AD129" s="1"/>
  <c r="S128"/>
  <c r="AH128" s="1"/>
  <c r="Q128"/>
  <c r="AF128" s="1"/>
  <c r="O128"/>
  <c r="AD128" s="1"/>
  <c r="S127"/>
  <c r="AH127" s="1"/>
  <c r="Q127"/>
  <c r="AF127" s="1"/>
  <c r="O127"/>
  <c r="AD127" s="1"/>
  <c r="S126"/>
  <c r="AH126" s="1"/>
  <c r="Q126"/>
  <c r="AF126" s="1"/>
  <c r="O126"/>
  <c r="AD126" s="1"/>
  <c r="S125"/>
  <c r="AH125" s="1"/>
  <c r="Q125"/>
  <c r="AF125" s="1"/>
  <c r="O125"/>
  <c r="AD125" s="1"/>
  <c r="S124"/>
  <c r="AH124" s="1"/>
  <c r="Q124"/>
  <c r="AF124" s="1"/>
  <c r="O124"/>
  <c r="AD124" s="1"/>
  <c r="S123"/>
  <c r="AH123" s="1"/>
  <c r="Q123"/>
  <c r="AF123" s="1"/>
  <c r="O123"/>
  <c r="AD123" s="1"/>
  <c r="S122"/>
  <c r="AH122" s="1"/>
  <c r="Q122"/>
  <c r="AF122" s="1"/>
  <c r="O122"/>
  <c r="AD122" s="1"/>
  <c r="S121"/>
  <c r="AH121" s="1"/>
  <c r="Q121"/>
  <c r="AF121" s="1"/>
  <c r="O121"/>
  <c r="AD121" s="1"/>
  <c r="S120"/>
  <c r="AH120" s="1"/>
  <c r="Q120"/>
  <c r="AF120" s="1"/>
  <c r="O120"/>
  <c r="AD120" s="1"/>
  <c r="S119"/>
  <c r="AH119" s="1"/>
  <c r="Q119"/>
  <c r="AF119" s="1"/>
  <c r="O119"/>
  <c r="AD119" s="1"/>
  <c r="S118"/>
  <c r="AH118" s="1"/>
  <c r="Q118"/>
  <c r="AF118" s="1"/>
  <c r="O118"/>
  <c r="AD118" s="1"/>
  <c r="S117"/>
  <c r="AH117" s="1"/>
  <c r="Q117"/>
  <c r="AF117" s="1"/>
  <c r="O117"/>
  <c r="AD117" s="1"/>
  <c r="S116"/>
  <c r="AH116" s="1"/>
  <c r="Q116"/>
  <c r="AF116" s="1"/>
  <c r="O116"/>
  <c r="AD116" s="1"/>
  <c r="S115"/>
  <c r="AH115" s="1"/>
  <c r="Q115"/>
  <c r="AF115" s="1"/>
  <c r="O115"/>
  <c r="AD115" s="1"/>
  <c r="S114"/>
  <c r="AH114" s="1"/>
  <c r="Q114"/>
  <c r="AF114" s="1"/>
  <c r="O114"/>
  <c r="AD114" s="1"/>
  <c r="S113"/>
  <c r="AH113" s="1"/>
  <c r="Q113"/>
  <c r="AF113" s="1"/>
  <c r="O113"/>
  <c r="AD113" s="1"/>
  <c r="S112"/>
  <c r="AH112" s="1"/>
  <c r="Q112"/>
  <c r="AF112" s="1"/>
  <c r="O112"/>
  <c r="AD112" s="1"/>
  <c r="S111"/>
  <c r="AH111" s="1"/>
  <c r="Q111"/>
  <c r="AF111" s="1"/>
  <c r="O111"/>
  <c r="AD111" s="1"/>
  <c r="S110"/>
  <c r="AH110" s="1"/>
  <c r="Q110"/>
  <c r="AF110" s="1"/>
  <c r="O110"/>
  <c r="AD110" s="1"/>
  <c r="S109"/>
  <c r="AH109" s="1"/>
  <c r="Q109"/>
  <c r="AF109" s="1"/>
  <c r="O109"/>
  <c r="AD109" s="1"/>
  <c r="S108"/>
  <c r="AH108" s="1"/>
  <c r="Q108"/>
  <c r="AF108" s="1"/>
  <c r="O108"/>
  <c r="AD108" s="1"/>
  <c r="S107"/>
  <c r="AH107" s="1"/>
  <c r="R107"/>
  <c r="AG107" s="1"/>
  <c r="Q107"/>
  <c r="AF107" s="1"/>
  <c r="O107"/>
  <c r="AD107" s="1"/>
  <c r="S106"/>
  <c r="AH106" s="1"/>
  <c r="Q106"/>
  <c r="AF106" s="1"/>
  <c r="O106"/>
  <c r="AD106" s="1"/>
  <c r="S105"/>
  <c r="AH105" s="1"/>
  <c r="Q105"/>
  <c r="AF105" s="1"/>
  <c r="O105"/>
  <c r="AD105" s="1"/>
  <c r="S104"/>
  <c r="AH104" s="1"/>
  <c r="Q104"/>
  <c r="AF104" s="1"/>
  <c r="O104"/>
  <c r="AD104" s="1"/>
  <c r="S103"/>
  <c r="AH103" s="1"/>
  <c r="Q103"/>
  <c r="AF103" s="1"/>
  <c r="O103"/>
  <c r="AD103" s="1"/>
  <c r="S102"/>
  <c r="AH102" s="1"/>
  <c r="Q102"/>
  <c r="AF102" s="1"/>
  <c r="O102"/>
  <c r="AD102" s="1"/>
  <c r="S101"/>
  <c r="AH101" s="1"/>
  <c r="Q101"/>
  <c r="AF101" s="1"/>
  <c r="O101"/>
  <c r="AD101" s="1"/>
  <c r="S100"/>
  <c r="AH100" s="1"/>
  <c r="Q100"/>
  <c r="AF100" s="1"/>
  <c r="O100"/>
  <c r="AD100" s="1"/>
  <c r="S99"/>
  <c r="AH99" s="1"/>
  <c r="Q99"/>
  <c r="AF99" s="1"/>
  <c r="O99"/>
  <c r="AD99" s="1"/>
  <c r="S98"/>
  <c r="AH98" s="1"/>
  <c r="Q98"/>
  <c r="AF98" s="1"/>
  <c r="O98"/>
  <c r="AD98" s="1"/>
  <c r="S97"/>
  <c r="AH97" s="1"/>
  <c r="Q97"/>
  <c r="AF97" s="1"/>
  <c r="O97"/>
  <c r="AD97" s="1"/>
  <c r="S96"/>
  <c r="AH96" s="1"/>
  <c r="Q96"/>
  <c r="AF96" s="1"/>
  <c r="O96"/>
  <c r="AD96" s="1"/>
  <c r="S95"/>
  <c r="AH95" s="1"/>
  <c r="Q95"/>
  <c r="AF95" s="1"/>
  <c r="O95"/>
  <c r="AD95" s="1"/>
  <c r="S94"/>
  <c r="AH94" s="1"/>
  <c r="Q94"/>
  <c r="AF94" s="1"/>
  <c r="O94"/>
  <c r="AD94" s="1"/>
  <c r="S93"/>
  <c r="AH93" s="1"/>
  <c r="Q93"/>
  <c r="AF93" s="1"/>
  <c r="O93"/>
  <c r="AD93" s="1"/>
  <c r="S92"/>
  <c r="AH92" s="1"/>
  <c r="S91"/>
  <c r="AH91" s="1"/>
  <c r="Q91"/>
  <c r="AF91" s="1"/>
  <c r="O91"/>
  <c r="AD91" s="1"/>
  <c r="S90"/>
  <c r="AH90" s="1"/>
  <c r="Q90"/>
  <c r="AF90" s="1"/>
  <c r="O90"/>
  <c r="AD90" s="1"/>
  <c r="S89"/>
  <c r="AH89" s="1"/>
  <c r="S88"/>
  <c r="AH88" s="1"/>
  <c r="S87"/>
  <c r="AH87" s="1"/>
  <c r="S86"/>
  <c r="AH86" s="1"/>
  <c r="S85"/>
  <c r="AH85" s="1"/>
  <c r="S84"/>
  <c r="AH84" s="1"/>
  <c r="S83"/>
  <c r="AH83" s="1"/>
  <c r="S82"/>
  <c r="AH82" s="1"/>
  <c r="S81"/>
  <c r="AH81" s="1"/>
  <c r="S80"/>
  <c r="AH80" s="1"/>
  <c r="S79"/>
  <c r="AH79" s="1"/>
  <c r="S78"/>
  <c r="AH78" s="1"/>
  <c r="S77"/>
  <c r="AH77" s="1"/>
  <c r="S76"/>
  <c r="AH76" s="1"/>
  <c r="Q76"/>
  <c r="AF76" s="1"/>
  <c r="O76"/>
  <c r="AD76" s="1"/>
  <c r="S75"/>
  <c r="AH75" s="1"/>
  <c r="S74"/>
  <c r="AH74" s="1"/>
  <c r="S73"/>
  <c r="AH73" s="1"/>
  <c r="S72"/>
  <c r="AH72" s="1"/>
  <c r="S71"/>
  <c r="AH71" s="1"/>
  <c r="S70"/>
  <c r="AH70" s="1"/>
  <c r="Q70"/>
  <c r="V70" s="1"/>
  <c r="O70"/>
  <c r="S69"/>
  <c r="AH69" s="1"/>
  <c r="S68"/>
  <c r="AH68" s="1"/>
  <c r="S67"/>
  <c r="AH67" s="1"/>
  <c r="S66"/>
  <c r="AH66" s="1"/>
  <c r="S65"/>
  <c r="AH65" s="1"/>
  <c r="R65"/>
  <c r="AG65" s="1"/>
  <c r="Q65"/>
  <c r="AF65" s="1"/>
  <c r="O65"/>
  <c r="AD65" s="1"/>
  <c r="S64"/>
  <c r="AH64" s="1"/>
  <c r="Q64"/>
  <c r="AF64" s="1"/>
  <c r="O64"/>
  <c r="AD64" s="1"/>
  <c r="S63"/>
  <c r="AH63" s="1"/>
  <c r="S62"/>
  <c r="AH62" s="1"/>
  <c r="S61"/>
  <c r="AH61" s="1"/>
  <c r="S60"/>
  <c r="AH60" s="1"/>
  <c r="S59"/>
  <c r="AH59" s="1"/>
  <c r="S58"/>
  <c r="AH58" s="1"/>
  <c r="S57"/>
  <c r="AH57" s="1"/>
  <c r="S56"/>
  <c r="AH56" s="1"/>
  <c r="Q56"/>
  <c r="AF56" s="1"/>
  <c r="O56"/>
  <c r="AD56" s="1"/>
  <c r="S55"/>
  <c r="AH55" s="1"/>
  <c r="S54"/>
  <c r="AH54" s="1"/>
  <c r="S53"/>
  <c r="AH53" s="1"/>
  <c r="S52"/>
  <c r="AH52" s="1"/>
  <c r="Q52"/>
  <c r="AF52" s="1"/>
  <c r="O52"/>
  <c r="AD52" s="1"/>
  <c r="S51"/>
  <c r="AH51" s="1"/>
  <c r="S50"/>
  <c r="AH50" s="1"/>
  <c r="Q50"/>
  <c r="AF50" s="1"/>
  <c r="O50"/>
  <c r="AD50" s="1"/>
  <c r="S49"/>
  <c r="AH49" s="1"/>
  <c r="S48"/>
  <c r="AH48" s="1"/>
  <c r="S47"/>
  <c r="AH47" s="1"/>
  <c r="S46"/>
  <c r="AH46" s="1"/>
  <c r="S45"/>
  <c r="AH45" s="1"/>
  <c r="S44"/>
  <c r="AH44" s="1"/>
  <c r="S43"/>
  <c r="AH43" s="1"/>
  <c r="S42"/>
  <c r="AH42" s="1"/>
  <c r="S41"/>
  <c r="AH41" s="1"/>
  <c r="S40"/>
  <c r="AH40" s="1"/>
  <c r="S39"/>
  <c r="AH39" s="1"/>
  <c r="S38"/>
  <c r="AH38" s="1"/>
  <c r="S37"/>
  <c r="AH37" s="1"/>
  <c r="S36"/>
  <c r="AH36" s="1"/>
  <c r="S35"/>
  <c r="AH35" s="1"/>
  <c r="S34"/>
  <c r="AH34" s="1"/>
  <c r="S33"/>
  <c r="AH33" s="1"/>
  <c r="S32"/>
  <c r="AH32" s="1"/>
  <c r="Q32"/>
  <c r="AF32" s="1"/>
  <c r="O32"/>
  <c r="AD32" s="1"/>
  <c r="S31"/>
  <c r="AH31" s="1"/>
  <c r="S30"/>
  <c r="AH30" s="1"/>
  <c r="S29"/>
  <c r="AH29" s="1"/>
  <c r="S28"/>
  <c r="AH28" s="1"/>
  <c r="S27"/>
  <c r="AH27" s="1"/>
  <c r="O27"/>
  <c r="AD27" s="1"/>
  <c r="S26"/>
  <c r="AH26" s="1"/>
  <c r="S25"/>
  <c r="AH25" s="1"/>
  <c r="S24"/>
  <c r="AH24" s="1"/>
  <c r="S23"/>
  <c r="AH23" s="1"/>
  <c r="S22"/>
  <c r="AH22" s="1"/>
  <c r="S21"/>
  <c r="AH21" s="1"/>
  <c r="S20"/>
  <c r="AH20" s="1"/>
  <c r="O20"/>
  <c r="AD20" s="1"/>
  <c r="S19"/>
  <c r="AH19" s="1"/>
  <c r="S18"/>
  <c r="AH18" s="1"/>
  <c r="Q18"/>
  <c r="AF18" s="1"/>
  <c r="O18"/>
  <c r="AD18" s="1"/>
  <c r="S17"/>
  <c r="AH17" s="1"/>
  <c r="S16"/>
  <c r="AH16" s="1"/>
  <c r="S15"/>
  <c r="AH15" s="1"/>
  <c r="S14"/>
  <c r="AH14" s="1"/>
  <c r="S13"/>
  <c r="AH13" s="1"/>
  <c r="S12"/>
  <c r="AH12" s="1"/>
  <c r="S11"/>
  <c r="AH11" s="1"/>
  <c r="S10"/>
  <c r="AH10" s="1"/>
  <c r="Q10"/>
  <c r="AF10" s="1"/>
  <c r="O10"/>
  <c r="AD10" s="1"/>
  <c r="S9"/>
  <c r="AH9" s="1"/>
  <c r="S8"/>
  <c r="AH8" s="1"/>
  <c r="S7"/>
  <c r="AH7" s="1"/>
  <c r="L164"/>
  <c r="R164" s="1"/>
  <c r="AG164" s="1"/>
  <c r="L163"/>
  <c r="R163" s="1"/>
  <c r="AG163" s="1"/>
  <c r="L162"/>
  <c r="R162" s="1"/>
  <c r="AG162" s="1"/>
  <c r="L161"/>
  <c r="R161" s="1"/>
  <c r="AG161" s="1"/>
  <c r="L160"/>
  <c r="R160" s="1"/>
  <c r="AG160" s="1"/>
  <c r="L159"/>
  <c r="R159" s="1"/>
  <c r="W159" s="1"/>
  <c r="L158"/>
  <c r="R158" s="1"/>
  <c r="AG158" s="1"/>
  <c r="L157"/>
  <c r="R157" s="1"/>
  <c r="AG157" s="1"/>
  <c r="L156"/>
  <c r="R156" s="1"/>
  <c r="AG156" s="1"/>
  <c r="L155"/>
  <c r="R155" s="1"/>
  <c r="AG155" s="1"/>
  <c r="L154"/>
  <c r="R154" s="1"/>
  <c r="AG154" s="1"/>
  <c r="L153"/>
  <c r="R153" s="1"/>
  <c r="AG153" s="1"/>
  <c r="L152"/>
  <c r="R152" s="1"/>
  <c r="AG152" s="1"/>
  <c r="L151"/>
  <c r="R151" s="1"/>
  <c r="AG151" s="1"/>
  <c r="L150"/>
  <c r="R150" s="1"/>
  <c r="AG150" s="1"/>
  <c r="L149"/>
  <c r="R149" s="1"/>
  <c r="AG149" s="1"/>
  <c r="L148"/>
  <c r="R148" s="1"/>
  <c r="AG148" s="1"/>
  <c r="L147"/>
  <c r="R147" s="1"/>
  <c r="AG147" s="1"/>
  <c r="L146"/>
  <c r="R146" s="1"/>
  <c r="W146" s="1"/>
  <c r="L145"/>
  <c r="R145" s="1"/>
  <c r="W145" s="1"/>
  <c r="L144"/>
  <c r="R144" s="1"/>
  <c r="AG144" s="1"/>
  <c r="L143"/>
  <c r="R143" s="1"/>
  <c r="W143" s="1"/>
  <c r="L141"/>
  <c r="R141" s="1"/>
  <c r="AG141" s="1"/>
  <c r="L140"/>
  <c r="R140" s="1"/>
  <c r="AG140" s="1"/>
  <c r="L139"/>
  <c r="R139" s="1"/>
  <c r="AG139" s="1"/>
  <c r="L138"/>
  <c r="R138" s="1"/>
  <c r="AG138" s="1"/>
  <c r="L137"/>
  <c r="R137" s="1"/>
  <c r="AG137" s="1"/>
  <c r="L136"/>
  <c r="R136" s="1"/>
  <c r="AG136" s="1"/>
  <c r="L135"/>
  <c r="R135" s="1"/>
  <c r="AG135" s="1"/>
  <c r="L134"/>
  <c r="R134" s="1"/>
  <c r="AG134" s="1"/>
  <c r="L133"/>
  <c r="R133" s="1"/>
  <c r="AG133" s="1"/>
  <c r="L132"/>
  <c r="R132" s="1"/>
  <c r="AG132" s="1"/>
  <c r="L131"/>
  <c r="R131" s="1"/>
  <c r="AG131" s="1"/>
  <c r="L130"/>
  <c r="R130" s="1"/>
  <c r="AG130" s="1"/>
  <c r="L129"/>
  <c r="R129" s="1"/>
  <c r="AG129" s="1"/>
  <c r="L128"/>
  <c r="R128" s="1"/>
  <c r="AG128" s="1"/>
  <c r="L127"/>
  <c r="R127" s="1"/>
  <c r="AG127" s="1"/>
  <c r="L126"/>
  <c r="R126" s="1"/>
  <c r="AG126" s="1"/>
  <c r="L125"/>
  <c r="R125" s="1"/>
  <c r="AG125" s="1"/>
  <c r="L124"/>
  <c r="R124" s="1"/>
  <c r="AG124" s="1"/>
  <c r="L123"/>
  <c r="R123" s="1"/>
  <c r="AG123" s="1"/>
  <c r="L122"/>
  <c r="R122" s="1"/>
  <c r="AG122" s="1"/>
  <c r="L121"/>
  <c r="R121" s="1"/>
  <c r="AG121" s="1"/>
  <c r="L120"/>
  <c r="R120" s="1"/>
  <c r="AG120" s="1"/>
  <c r="L119"/>
  <c r="R119" s="1"/>
  <c r="AG119" s="1"/>
  <c r="L118"/>
  <c r="R118" s="1"/>
  <c r="AG118" s="1"/>
  <c r="L117"/>
  <c r="R117" s="1"/>
  <c r="AG117" s="1"/>
  <c r="L116"/>
  <c r="R116" s="1"/>
  <c r="AG116" s="1"/>
  <c r="L115"/>
  <c r="R115" s="1"/>
  <c r="AG115" s="1"/>
  <c r="L114"/>
  <c r="R114" s="1"/>
  <c r="AG114" s="1"/>
  <c r="L113"/>
  <c r="R113" s="1"/>
  <c r="AG113" s="1"/>
  <c r="L112"/>
  <c r="R112" s="1"/>
  <c r="AG112" s="1"/>
  <c r="L111"/>
  <c r="R111" s="1"/>
  <c r="AG111" s="1"/>
  <c r="L110"/>
  <c r="R110" s="1"/>
  <c r="AG110" s="1"/>
  <c r="L109"/>
  <c r="R109" s="1"/>
  <c r="AG109" s="1"/>
  <c r="L108"/>
  <c r="R108" s="1"/>
  <c r="AG108" s="1"/>
  <c r="L106"/>
  <c r="R106" s="1"/>
  <c r="AG106" s="1"/>
  <c r="L105"/>
  <c r="R105" s="1"/>
  <c r="AG105" s="1"/>
  <c r="L104"/>
  <c r="R104" s="1"/>
  <c r="AG104" s="1"/>
  <c r="L103"/>
  <c r="R103" s="1"/>
  <c r="AG103" s="1"/>
  <c r="L102"/>
  <c r="R102" s="1"/>
  <c r="AG102" s="1"/>
  <c r="L101"/>
  <c r="R101" s="1"/>
  <c r="AG101" s="1"/>
  <c r="L100"/>
  <c r="R100" s="1"/>
  <c r="AG100" s="1"/>
  <c r="L99"/>
  <c r="R99" s="1"/>
  <c r="AG99" s="1"/>
  <c r="L98"/>
  <c r="R98" s="1"/>
  <c r="AG98" s="1"/>
  <c r="L97"/>
  <c r="R97" s="1"/>
  <c r="AG97" s="1"/>
  <c r="L96"/>
  <c r="R96" s="1"/>
  <c r="AG96" s="1"/>
  <c r="L95"/>
  <c r="R95" s="1"/>
  <c r="AG95" s="1"/>
  <c r="L94"/>
  <c r="R94" s="1"/>
  <c r="AG94" s="1"/>
  <c r="L93"/>
  <c r="R93" s="1"/>
  <c r="AG93" s="1"/>
  <c r="L91"/>
  <c r="R91" s="1"/>
  <c r="AG91" s="1"/>
  <c r="L90"/>
  <c r="R90" s="1"/>
  <c r="AG90" s="1"/>
  <c r="L76"/>
  <c r="R76" s="1"/>
  <c r="AG76" s="1"/>
  <c r="L70"/>
  <c r="R70" s="1"/>
  <c r="W70" s="1"/>
  <c r="L64"/>
  <c r="R64" s="1"/>
  <c r="AG64" s="1"/>
  <c r="L56"/>
  <c r="R56" s="1"/>
  <c r="AG56" s="1"/>
  <c r="L52"/>
  <c r="R52" s="1"/>
  <c r="AG52" s="1"/>
  <c r="L50"/>
  <c r="R50" s="1"/>
  <c r="AG50" s="1"/>
  <c r="L32"/>
  <c r="R32" s="1"/>
  <c r="AG32" s="1"/>
  <c r="L18"/>
  <c r="R18" s="1"/>
  <c r="AG18" s="1"/>
  <c r="L10"/>
  <c r="R10" s="1"/>
  <c r="AG10" s="1"/>
  <c r="K142"/>
  <c r="L142" s="1"/>
  <c r="R142" s="1"/>
  <c r="AG142" s="1"/>
  <c r="K92"/>
  <c r="L92" s="1"/>
  <c r="R92" s="1"/>
  <c r="AG92" s="1"/>
  <c r="K89"/>
  <c r="L89" s="1"/>
  <c r="R89" s="1"/>
  <c r="AG89" s="1"/>
  <c r="K88"/>
  <c r="L88" s="1"/>
  <c r="R88" s="1"/>
  <c r="AG88" s="1"/>
  <c r="K87"/>
  <c r="L87" s="1"/>
  <c r="R87" s="1"/>
  <c r="AG87" s="1"/>
  <c r="K86"/>
  <c r="L86" s="1"/>
  <c r="R86" s="1"/>
  <c r="AG86" s="1"/>
  <c r="K85"/>
  <c r="L85" s="1"/>
  <c r="R85" s="1"/>
  <c r="AG85" s="1"/>
  <c r="K84"/>
  <c r="L84" s="1"/>
  <c r="R84" s="1"/>
  <c r="AG84" s="1"/>
  <c r="K83"/>
  <c r="L83" s="1"/>
  <c r="R83" s="1"/>
  <c r="AG83" s="1"/>
  <c r="K82"/>
  <c r="L82" s="1"/>
  <c r="R82" s="1"/>
  <c r="AG82" s="1"/>
  <c r="K81"/>
  <c r="L81" s="1"/>
  <c r="R81" s="1"/>
  <c r="AG81" s="1"/>
  <c r="K80"/>
  <c r="L80" s="1"/>
  <c r="R80" s="1"/>
  <c r="AG80" s="1"/>
  <c r="K79"/>
  <c r="L79" s="1"/>
  <c r="R79" s="1"/>
  <c r="AG79" s="1"/>
  <c r="K78"/>
  <c r="L78" s="1"/>
  <c r="R78" s="1"/>
  <c r="AG78" s="1"/>
  <c r="K77"/>
  <c r="L77" s="1"/>
  <c r="R77" s="1"/>
  <c r="AG77" s="1"/>
  <c r="K75"/>
  <c r="L75" s="1"/>
  <c r="R75" s="1"/>
  <c r="AG75" s="1"/>
  <c r="K74"/>
  <c r="L74" s="1"/>
  <c r="R74" s="1"/>
  <c r="AG74" s="1"/>
  <c r="K73"/>
  <c r="L73" s="1"/>
  <c r="R73" s="1"/>
  <c r="AG73" s="1"/>
  <c r="K72"/>
  <c r="L72" s="1"/>
  <c r="R72" s="1"/>
  <c r="AG72" s="1"/>
  <c r="K71"/>
  <c r="L71" s="1"/>
  <c r="R71" s="1"/>
  <c r="AG71" s="1"/>
  <c r="K69"/>
  <c r="L69" s="1"/>
  <c r="R69" s="1"/>
  <c r="W69" s="1"/>
  <c r="K68"/>
  <c r="L68" s="1"/>
  <c r="R68" s="1"/>
  <c r="W68" s="1"/>
  <c r="K67"/>
  <c r="L67" s="1"/>
  <c r="R67" s="1"/>
  <c r="W67" s="1"/>
  <c r="K66"/>
  <c r="L66" s="1"/>
  <c r="R66" s="1"/>
  <c r="AG66" s="1"/>
  <c r="K63"/>
  <c r="L63" s="1"/>
  <c r="R63" s="1"/>
  <c r="AG63" s="1"/>
  <c r="K62"/>
  <c r="L62" s="1"/>
  <c r="R62" s="1"/>
  <c r="AG62" s="1"/>
  <c r="K61"/>
  <c r="L61" s="1"/>
  <c r="R61" s="1"/>
  <c r="AG61" s="1"/>
  <c r="K60"/>
  <c r="L60" s="1"/>
  <c r="R60" s="1"/>
  <c r="AG60" s="1"/>
  <c r="K59"/>
  <c r="L59" s="1"/>
  <c r="R59" s="1"/>
  <c r="AG59" s="1"/>
  <c r="K58"/>
  <c r="L58" s="1"/>
  <c r="R58" s="1"/>
  <c r="AG58" s="1"/>
  <c r="K57"/>
  <c r="L57" s="1"/>
  <c r="R57" s="1"/>
  <c r="AG57" s="1"/>
  <c r="K55"/>
  <c r="L55" s="1"/>
  <c r="R55" s="1"/>
  <c r="AG55" s="1"/>
  <c r="K54"/>
  <c r="L54" s="1"/>
  <c r="R54" s="1"/>
  <c r="AG54" s="1"/>
  <c r="K53"/>
  <c r="L53" s="1"/>
  <c r="R53" s="1"/>
  <c r="AG53" s="1"/>
  <c r="K51"/>
  <c r="L51" s="1"/>
  <c r="R51" s="1"/>
  <c r="AG51" s="1"/>
  <c r="K49"/>
  <c r="L49" s="1"/>
  <c r="R49" s="1"/>
  <c r="AG49" s="1"/>
  <c r="K48"/>
  <c r="L48" s="1"/>
  <c r="R48" s="1"/>
  <c r="AG48" s="1"/>
  <c r="K47"/>
  <c r="L47" s="1"/>
  <c r="R47" s="1"/>
  <c r="AG47" s="1"/>
  <c r="K46"/>
  <c r="L46" s="1"/>
  <c r="R46" s="1"/>
  <c r="AG46" s="1"/>
  <c r="K45"/>
  <c r="L45" s="1"/>
  <c r="R45" s="1"/>
  <c r="AG45" s="1"/>
  <c r="K44"/>
  <c r="L44" s="1"/>
  <c r="R44" s="1"/>
  <c r="AG44" s="1"/>
  <c r="K43"/>
  <c r="L43" s="1"/>
  <c r="R43" s="1"/>
  <c r="AG43" s="1"/>
  <c r="K42"/>
  <c r="L42" s="1"/>
  <c r="R42" s="1"/>
  <c r="AG42" s="1"/>
  <c r="K41"/>
  <c r="L41" s="1"/>
  <c r="R41" s="1"/>
  <c r="AG41" s="1"/>
  <c r="K40"/>
  <c r="L40" s="1"/>
  <c r="R40" s="1"/>
  <c r="AG40" s="1"/>
  <c r="K39"/>
  <c r="L39" s="1"/>
  <c r="R39" s="1"/>
  <c r="AG39" s="1"/>
  <c r="K38"/>
  <c r="L38" s="1"/>
  <c r="R38" s="1"/>
  <c r="AG38" s="1"/>
  <c r="K37"/>
  <c r="L37" s="1"/>
  <c r="R37" s="1"/>
  <c r="AG37" s="1"/>
  <c r="K36"/>
  <c r="L36" s="1"/>
  <c r="R36" s="1"/>
  <c r="AG36" s="1"/>
  <c r="K35"/>
  <c r="L35" s="1"/>
  <c r="R35" s="1"/>
  <c r="AG35" s="1"/>
  <c r="K34"/>
  <c r="L34" s="1"/>
  <c r="R34" s="1"/>
  <c r="AG34" s="1"/>
  <c r="K33"/>
  <c r="L33" s="1"/>
  <c r="R33" s="1"/>
  <c r="AG33" s="1"/>
  <c r="K31"/>
  <c r="L31" s="1"/>
  <c r="R31" s="1"/>
  <c r="W31" s="1"/>
  <c r="K30"/>
  <c r="L30" s="1"/>
  <c r="R30" s="1"/>
  <c r="W30" s="1"/>
  <c r="K29"/>
  <c r="L29" s="1"/>
  <c r="R29" s="1"/>
  <c r="AG29" s="1"/>
  <c r="K28"/>
  <c r="L28" s="1"/>
  <c r="R28" s="1"/>
  <c r="AG28" s="1"/>
  <c r="K27"/>
  <c r="L27" s="1"/>
  <c r="R27" s="1"/>
  <c r="AG27" s="1"/>
  <c r="K26"/>
  <c r="L26" s="1"/>
  <c r="R26" s="1"/>
  <c r="AG26" s="1"/>
  <c r="K25"/>
  <c r="L25" s="1"/>
  <c r="R25" s="1"/>
  <c r="AG25" s="1"/>
  <c r="K24"/>
  <c r="L24" s="1"/>
  <c r="R24" s="1"/>
  <c r="AG24" s="1"/>
  <c r="K23"/>
  <c r="L23" s="1"/>
  <c r="R23" s="1"/>
  <c r="AG23" s="1"/>
  <c r="K22"/>
  <c r="L22" s="1"/>
  <c r="R22" s="1"/>
  <c r="AG22" s="1"/>
  <c r="K21"/>
  <c r="L21" s="1"/>
  <c r="R21" s="1"/>
  <c r="AG21" s="1"/>
  <c r="K20"/>
  <c r="L20" s="1"/>
  <c r="R20" s="1"/>
  <c r="AG20" s="1"/>
  <c r="K19"/>
  <c r="L19" s="1"/>
  <c r="R19" s="1"/>
  <c r="AG19" s="1"/>
  <c r="K17"/>
  <c r="L17" s="1"/>
  <c r="R17" s="1"/>
  <c r="AG17" s="1"/>
  <c r="K16"/>
  <c r="L16" s="1"/>
  <c r="R16" s="1"/>
  <c r="AG16" s="1"/>
  <c r="K15"/>
  <c r="L15" s="1"/>
  <c r="R15" s="1"/>
  <c r="AG15" s="1"/>
  <c r="K14"/>
  <c r="L14" s="1"/>
  <c r="R14" s="1"/>
  <c r="AG14" s="1"/>
  <c r="K13"/>
  <c r="L13" s="1"/>
  <c r="R13" s="1"/>
  <c r="AG13" s="1"/>
  <c r="K12"/>
  <c r="L12" s="1"/>
  <c r="R12" s="1"/>
  <c r="AG12" s="1"/>
  <c r="K11"/>
  <c r="L11" s="1"/>
  <c r="R11" s="1"/>
  <c r="AG11" s="1"/>
  <c r="K9"/>
  <c r="L9" s="1"/>
  <c r="R9" s="1"/>
  <c r="AG9" s="1"/>
  <c r="K8"/>
  <c r="L8" s="1"/>
  <c r="R8" s="1"/>
  <c r="AG8" s="1"/>
  <c r="K7"/>
  <c r="L7" s="1"/>
  <c r="R7" s="1"/>
  <c r="W7" s="1"/>
  <c r="I92"/>
  <c r="O92" s="1"/>
  <c r="AD92" s="1"/>
  <c r="I89"/>
  <c r="O89" s="1"/>
  <c r="AD89" s="1"/>
  <c r="I88"/>
  <c r="O88" s="1"/>
  <c r="AD88" s="1"/>
  <c r="I87"/>
  <c r="O87" s="1"/>
  <c r="AD87" s="1"/>
  <c r="I86"/>
  <c r="O86" s="1"/>
  <c r="AD86" s="1"/>
  <c r="I85"/>
  <c r="O85" s="1"/>
  <c r="AD85" s="1"/>
  <c r="I84"/>
  <c r="O84" s="1"/>
  <c r="AD84" s="1"/>
  <c r="I83"/>
  <c r="O83" s="1"/>
  <c r="AD83" s="1"/>
  <c r="I82"/>
  <c r="O82" s="1"/>
  <c r="AD82" s="1"/>
  <c r="I81"/>
  <c r="O81" s="1"/>
  <c r="AD81" s="1"/>
  <c r="I80"/>
  <c r="O80" s="1"/>
  <c r="AD80" s="1"/>
  <c r="I79"/>
  <c r="O79" s="1"/>
  <c r="AD79" s="1"/>
  <c r="I78"/>
  <c r="O78" s="1"/>
  <c r="AD78" s="1"/>
  <c r="I77"/>
  <c r="O77" s="1"/>
  <c r="AD77" s="1"/>
  <c r="I75"/>
  <c r="O75" s="1"/>
  <c r="AD75" s="1"/>
  <c r="I74"/>
  <c r="O74" s="1"/>
  <c r="AD74" s="1"/>
  <c r="I73"/>
  <c r="O73" s="1"/>
  <c r="AD73" s="1"/>
  <c r="I72"/>
  <c r="O72" s="1"/>
  <c r="AD72" s="1"/>
  <c r="I71"/>
  <c r="O71" s="1"/>
  <c r="AD71" s="1"/>
  <c r="I69"/>
  <c r="O69" s="1"/>
  <c r="AA69" s="1"/>
  <c r="I68"/>
  <c r="O68" s="1"/>
  <c r="AD68" s="1"/>
  <c r="I67"/>
  <c r="O67" s="1"/>
  <c r="AD67" s="1"/>
  <c r="I66"/>
  <c r="O66" s="1"/>
  <c r="AD66" s="1"/>
  <c r="I63"/>
  <c r="O63" s="1"/>
  <c r="AD63" s="1"/>
  <c r="I62"/>
  <c r="O62" s="1"/>
  <c r="AD62" s="1"/>
  <c r="I61"/>
  <c r="O61" s="1"/>
  <c r="AD61" s="1"/>
  <c r="I60"/>
  <c r="O60" s="1"/>
  <c r="AD60" s="1"/>
  <c r="I59"/>
  <c r="O59" s="1"/>
  <c r="AD59" s="1"/>
  <c r="I58"/>
  <c r="O58" s="1"/>
  <c r="AD58" s="1"/>
  <c r="I57"/>
  <c r="O57" s="1"/>
  <c r="AD57" s="1"/>
  <c r="I55"/>
  <c r="O55" s="1"/>
  <c r="AD55" s="1"/>
  <c r="I54"/>
  <c r="O54" s="1"/>
  <c r="AD54" s="1"/>
  <c r="I53"/>
  <c r="O53" s="1"/>
  <c r="AD53" s="1"/>
  <c r="I51"/>
  <c r="O51" s="1"/>
  <c r="AD51" s="1"/>
  <c r="I49"/>
  <c r="O49" s="1"/>
  <c r="AD49" s="1"/>
  <c r="I48"/>
  <c r="O48" s="1"/>
  <c r="AD48" s="1"/>
  <c r="I47"/>
  <c r="O47" s="1"/>
  <c r="AD47" s="1"/>
  <c r="I46"/>
  <c r="O46" s="1"/>
  <c r="AD46" s="1"/>
  <c r="I45"/>
  <c r="O45" s="1"/>
  <c r="AD45" s="1"/>
  <c r="I44"/>
  <c r="O44" s="1"/>
  <c r="AD44" s="1"/>
  <c r="I43"/>
  <c r="O43" s="1"/>
  <c r="AD43" s="1"/>
  <c r="I42"/>
  <c r="O42" s="1"/>
  <c r="AD42" s="1"/>
  <c r="I41"/>
  <c r="O41" s="1"/>
  <c r="AD41" s="1"/>
  <c r="I40"/>
  <c r="O40" s="1"/>
  <c r="AD40" s="1"/>
  <c r="I39"/>
  <c r="O39" s="1"/>
  <c r="AD39" s="1"/>
  <c r="I38"/>
  <c r="O38" s="1"/>
  <c r="AD38" s="1"/>
  <c r="I37"/>
  <c r="O37" s="1"/>
  <c r="AD37" s="1"/>
  <c r="I36"/>
  <c r="O36" s="1"/>
  <c r="AD36" s="1"/>
  <c r="I35"/>
  <c r="O35" s="1"/>
  <c r="AD35" s="1"/>
  <c r="I34"/>
  <c r="O34" s="1"/>
  <c r="AD34" s="1"/>
  <c r="I33"/>
  <c r="O33" s="1"/>
  <c r="AD33" s="1"/>
  <c r="I31"/>
  <c r="O31" s="1"/>
  <c r="I30"/>
  <c r="O30" s="1"/>
  <c r="AD30" s="1"/>
  <c r="I29"/>
  <c r="O29" s="1"/>
  <c r="AD29" s="1"/>
  <c r="I28"/>
  <c r="O28" s="1"/>
  <c r="AD28" s="1"/>
  <c r="I26"/>
  <c r="O26" s="1"/>
  <c r="AD26" s="1"/>
  <c r="I25"/>
  <c r="O25" s="1"/>
  <c r="AD25" s="1"/>
  <c r="I24"/>
  <c r="O24" s="1"/>
  <c r="AD24" s="1"/>
  <c r="I23"/>
  <c r="O23" s="1"/>
  <c r="AD23" s="1"/>
  <c r="I22"/>
  <c r="O22" s="1"/>
  <c r="AD22" s="1"/>
  <c r="I21"/>
  <c r="O21" s="1"/>
  <c r="AD21" s="1"/>
  <c r="I19"/>
  <c r="O19" s="1"/>
  <c r="AD19" s="1"/>
  <c r="I17"/>
  <c r="O17" s="1"/>
  <c r="AD17" s="1"/>
  <c r="I16"/>
  <c r="O16" s="1"/>
  <c r="AD16" s="1"/>
  <c r="I15"/>
  <c r="O15" s="1"/>
  <c r="AD15" s="1"/>
  <c r="I14"/>
  <c r="O14" s="1"/>
  <c r="AD14" s="1"/>
  <c r="I13"/>
  <c r="O13" s="1"/>
  <c r="AD13" s="1"/>
  <c r="I12"/>
  <c r="O12" s="1"/>
  <c r="AD12" s="1"/>
  <c r="I11"/>
  <c r="O11" s="1"/>
  <c r="AD11" s="1"/>
  <c r="I9"/>
  <c r="O9" s="1"/>
  <c r="AD9" s="1"/>
  <c r="I8"/>
  <c r="O8" s="1"/>
  <c r="AD8" s="1"/>
  <c r="I7"/>
  <c r="O7" s="1"/>
  <c r="T7" s="1"/>
  <c r="G7"/>
  <c r="G164"/>
  <c r="F164"/>
  <c r="G163"/>
  <c r="F163"/>
  <c r="G162"/>
  <c r="F162"/>
  <c r="G161"/>
  <c r="F161"/>
  <c r="G160"/>
  <c r="F160"/>
  <c r="AD160" s="1"/>
  <c r="G159"/>
  <c r="F159"/>
  <c r="AD159" s="1"/>
  <c r="G158"/>
  <c r="F158"/>
  <c r="G157"/>
  <c r="F157"/>
  <c r="G156"/>
  <c r="F156"/>
  <c r="G155"/>
  <c r="F155"/>
  <c r="G154"/>
  <c r="F154"/>
  <c r="AD154" s="1"/>
  <c r="G153"/>
  <c r="F153"/>
  <c r="G152"/>
  <c r="F152"/>
  <c r="G151"/>
  <c r="F151"/>
  <c r="G150"/>
  <c r="F150"/>
  <c r="G149"/>
  <c r="F149"/>
  <c r="G148"/>
  <c r="F148"/>
  <c r="G147"/>
  <c r="F147"/>
  <c r="G146"/>
  <c r="F146"/>
  <c r="AD146" s="1"/>
  <c r="G145"/>
  <c r="F145"/>
  <c r="G144"/>
  <c r="F144"/>
  <c r="G143"/>
  <c r="F143"/>
  <c r="AD143" s="1"/>
  <c r="G142"/>
  <c r="F142"/>
  <c r="G141"/>
  <c r="F141"/>
  <c r="G140"/>
  <c r="F140"/>
  <c r="G139"/>
  <c r="F139"/>
  <c r="G138"/>
  <c r="F138"/>
  <c r="G137"/>
  <c r="F137"/>
  <c r="G136"/>
  <c r="F136"/>
  <c r="G135"/>
  <c r="F135"/>
  <c r="G134"/>
  <c r="F134"/>
  <c r="G133"/>
  <c r="F133"/>
  <c r="G132"/>
  <c r="F132"/>
  <c r="G131"/>
  <c r="F131"/>
  <c r="G130"/>
  <c r="F130"/>
  <c r="G129"/>
  <c r="F129"/>
  <c r="G128"/>
  <c r="F128"/>
  <c r="G127"/>
  <c r="F127"/>
  <c r="G126"/>
  <c r="F126"/>
  <c r="G125"/>
  <c r="F125"/>
  <c r="G124"/>
  <c r="F124"/>
  <c r="G123"/>
  <c r="F123"/>
  <c r="G122"/>
  <c r="F122"/>
  <c r="G121"/>
  <c r="F121"/>
  <c r="G120"/>
  <c r="F120"/>
  <c r="G119"/>
  <c r="F119"/>
  <c r="G118"/>
  <c r="F118"/>
  <c r="G117"/>
  <c r="F117"/>
  <c r="G116"/>
  <c r="F116"/>
  <c r="G115"/>
  <c r="F115"/>
  <c r="G114"/>
  <c r="F114"/>
  <c r="G113"/>
  <c r="F113"/>
  <c r="G112"/>
  <c r="F112"/>
  <c r="G111"/>
  <c r="F111"/>
  <c r="G110"/>
  <c r="F110"/>
  <c r="G109"/>
  <c r="F109"/>
  <c r="G108"/>
  <c r="F108"/>
  <c r="G107"/>
  <c r="F107"/>
  <c r="G106"/>
  <c r="F106"/>
  <c r="G105"/>
  <c r="F105"/>
  <c r="G104"/>
  <c r="F104"/>
  <c r="G103"/>
  <c r="F103"/>
  <c r="G102"/>
  <c r="F102"/>
  <c r="G101"/>
  <c r="F101"/>
  <c r="G100"/>
  <c r="F100"/>
  <c r="G99"/>
  <c r="F99"/>
  <c r="G98"/>
  <c r="F98"/>
  <c r="G97"/>
  <c r="F97"/>
  <c r="G96"/>
  <c r="F96"/>
  <c r="G95"/>
  <c r="F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AD70" s="1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56" i="3"/>
  <c r="F51"/>
  <c r="F50"/>
  <c r="F49"/>
  <c r="F48"/>
  <c r="F47"/>
  <c r="F46"/>
  <c r="F45"/>
  <c r="D51"/>
  <c r="D50"/>
  <c r="D49"/>
  <c r="D48"/>
  <c r="D47"/>
  <c r="D46"/>
  <c r="D45"/>
  <c r="F23"/>
  <c r="F22"/>
  <c r="F21"/>
  <c r="F20"/>
  <c r="F19"/>
  <c r="F14"/>
  <c r="F18" s="1"/>
  <c r="F13"/>
  <c r="F12"/>
  <c r="F11"/>
  <c r="F10"/>
  <c r="F9"/>
  <c r="F8"/>
  <c r="F7"/>
  <c r="F6"/>
  <c r="F5"/>
  <c r="C28" i="4"/>
  <c r="I5" i="5"/>
  <c r="I172"/>
  <c r="I163"/>
  <c r="I146"/>
  <c r="I138"/>
  <c r="I136"/>
  <c r="I109" s="1"/>
  <c r="I126"/>
  <c r="I110"/>
  <c r="F25" i="4"/>
  <c r="F36" s="1"/>
  <c r="F37"/>
  <c r="F35"/>
  <c r="E37"/>
  <c r="E35"/>
  <c r="H172" i="5"/>
  <c r="G172"/>
  <c r="H163"/>
  <c r="G163"/>
  <c r="H146"/>
  <c r="G146"/>
  <c r="H138"/>
  <c r="G138"/>
  <c r="H136"/>
  <c r="G136"/>
  <c r="H126"/>
  <c r="G126"/>
  <c r="H110"/>
  <c r="G110"/>
  <c r="D37" i="4"/>
  <c r="C37"/>
  <c r="B37" s="1"/>
  <c r="D35"/>
  <c r="C35"/>
  <c r="D172" i="5"/>
  <c r="D163"/>
  <c r="D146"/>
  <c r="D138"/>
  <c r="D136"/>
  <c r="D109" s="1"/>
  <c r="D126"/>
  <c r="D110"/>
  <c r="D99"/>
  <c r="D91"/>
  <c r="D73"/>
  <c r="D62"/>
  <c r="D46"/>
  <c r="D43"/>
  <c r="D32"/>
  <c r="D20"/>
  <c r="D10"/>
  <c r="D6"/>
  <c r="F23" i="4"/>
  <c r="B26"/>
  <c r="B24"/>
  <c r="D17"/>
  <c r="G17" s="1"/>
  <c r="C17"/>
  <c r="D11"/>
  <c r="G11" s="1"/>
  <c r="D12"/>
  <c r="G12" s="1"/>
  <c r="D13"/>
  <c r="I13" s="1"/>
  <c r="D14"/>
  <c r="I14" s="1"/>
  <c r="D15"/>
  <c r="D16"/>
  <c r="G16" s="1"/>
  <c r="D10"/>
  <c r="I10" s="1"/>
  <c r="C11"/>
  <c r="C12"/>
  <c r="C13"/>
  <c r="C14"/>
  <c r="C15"/>
  <c r="C16"/>
  <c r="C10"/>
  <c r="B11"/>
  <c r="B12"/>
  <c r="B15"/>
  <c r="B10"/>
  <c r="A10"/>
  <c r="A5"/>
  <c r="D7"/>
  <c r="I7" s="1"/>
  <c r="E7" s="1"/>
  <c r="D8"/>
  <c r="I8" s="1"/>
  <c r="D9"/>
  <c r="I9" s="1"/>
  <c r="D6"/>
  <c r="I6" s="1"/>
  <c r="E6" s="1"/>
  <c r="C7"/>
  <c r="C8"/>
  <c r="C9"/>
  <c r="C6"/>
  <c r="B6"/>
  <c r="B5"/>
  <c r="D5"/>
  <c r="I5" s="1"/>
  <c r="C5"/>
  <c r="S20" l="1"/>
  <c r="F17" i="3"/>
  <c r="D5" i="5"/>
  <c r="B35" i="4"/>
  <c r="F16" i="3"/>
  <c r="H109" i="5"/>
  <c r="F15" i="3"/>
  <c r="G109" i="5"/>
  <c r="H5"/>
  <c r="R20" i="4" s="1"/>
  <c r="F15" i="7" s="1"/>
  <c r="F3" s="1"/>
  <c r="G5" i="5"/>
  <c r="Q20" i="4" s="1"/>
  <c r="D7" i="7"/>
  <c r="AA65" i="6"/>
  <c r="AA93"/>
  <c r="AA97"/>
  <c r="AA101"/>
  <c r="AA105"/>
  <c r="AA109"/>
  <c r="AA113"/>
  <c r="AA117"/>
  <c r="AA121"/>
  <c r="AA125"/>
  <c r="AA129"/>
  <c r="AA133"/>
  <c r="AA137"/>
  <c r="AA141"/>
  <c r="AA149"/>
  <c r="AA153"/>
  <c r="AA157"/>
  <c r="AA161"/>
  <c r="AJ145"/>
  <c r="AA32"/>
  <c r="AA52"/>
  <c r="AA56"/>
  <c r="AA64"/>
  <c r="AA76"/>
  <c r="AA96"/>
  <c r="AA100"/>
  <c r="AA104"/>
  <c r="AA108"/>
  <c r="AA112"/>
  <c r="AA116"/>
  <c r="AA120"/>
  <c r="AA124"/>
  <c r="AA128"/>
  <c r="AA132"/>
  <c r="AA136"/>
  <c r="AA140"/>
  <c r="AA144"/>
  <c r="AA148"/>
  <c r="AA152"/>
  <c r="AA156"/>
  <c r="AA160"/>
  <c r="AJ160" s="1"/>
  <c r="AK160" s="1"/>
  <c r="AM160" s="1"/>
  <c r="AA164"/>
  <c r="AJ69"/>
  <c r="AA31"/>
  <c r="AJ31" s="1"/>
  <c r="AA91"/>
  <c r="AA95"/>
  <c r="AA99"/>
  <c r="AA103"/>
  <c r="AA107"/>
  <c r="AA111"/>
  <c r="AA115"/>
  <c r="AA119"/>
  <c r="AA123"/>
  <c r="AJ123" s="1"/>
  <c r="AK123" s="1"/>
  <c r="AA127"/>
  <c r="AA131"/>
  <c r="AA135"/>
  <c r="AA139"/>
  <c r="AA147"/>
  <c r="AA151"/>
  <c r="AA155"/>
  <c r="AA163"/>
  <c r="AJ143"/>
  <c r="AJ159"/>
  <c r="AA10"/>
  <c r="AA18"/>
  <c r="AA50"/>
  <c r="AA70"/>
  <c r="AJ70" s="1"/>
  <c r="AA90"/>
  <c r="AA94"/>
  <c r="AA98"/>
  <c r="AA102"/>
  <c r="AA106"/>
  <c r="AA110"/>
  <c r="AA114"/>
  <c r="AA118"/>
  <c r="AA122"/>
  <c r="AA126"/>
  <c r="AA130"/>
  <c r="AA134"/>
  <c r="AA138"/>
  <c r="AA146"/>
  <c r="AJ146" s="1"/>
  <c r="AA150"/>
  <c r="AA154"/>
  <c r="AJ154" s="1"/>
  <c r="AK154" s="1"/>
  <c r="AM154" s="1"/>
  <c r="AA158"/>
  <c r="AA162"/>
  <c r="E7" i="7"/>
  <c r="C7" s="1"/>
  <c r="C13"/>
  <c r="AD145" i="6"/>
  <c r="X7"/>
  <c r="X9"/>
  <c r="W10"/>
  <c r="T18"/>
  <c r="X18"/>
  <c r="X27"/>
  <c r="X29"/>
  <c r="V50"/>
  <c r="X51"/>
  <c r="W52"/>
  <c r="T56"/>
  <c r="X56"/>
  <c r="X58"/>
  <c r="X60"/>
  <c r="X62"/>
  <c r="T65"/>
  <c r="X65"/>
  <c r="X67"/>
  <c r="X69"/>
  <c r="T76"/>
  <c r="X76"/>
  <c r="X78"/>
  <c r="X80"/>
  <c r="X82"/>
  <c r="X84"/>
  <c r="X86"/>
  <c r="X88"/>
  <c r="T91"/>
  <c r="X91"/>
  <c r="T94"/>
  <c r="X94"/>
  <c r="W95"/>
  <c r="V96"/>
  <c r="T98"/>
  <c r="X98"/>
  <c r="W99"/>
  <c r="V100"/>
  <c r="T102"/>
  <c r="X102"/>
  <c r="W103"/>
  <c r="V104"/>
  <c r="T106"/>
  <c r="X106"/>
  <c r="W107"/>
  <c r="V108"/>
  <c r="T110"/>
  <c r="X110"/>
  <c r="W111"/>
  <c r="V112"/>
  <c r="T114"/>
  <c r="X114"/>
  <c r="W115"/>
  <c r="V116"/>
  <c r="T118"/>
  <c r="X118"/>
  <c r="W119"/>
  <c r="V120"/>
  <c r="T122"/>
  <c r="X122"/>
  <c r="W123"/>
  <c r="V124"/>
  <c r="T126"/>
  <c r="X126"/>
  <c r="W127"/>
  <c r="V128"/>
  <c r="T130"/>
  <c r="X130"/>
  <c r="W131"/>
  <c r="V132"/>
  <c r="T134"/>
  <c r="X134"/>
  <c r="W135"/>
  <c r="V136"/>
  <c r="T138"/>
  <c r="X138"/>
  <c r="W139"/>
  <c r="V140"/>
  <c r="T142"/>
  <c r="T144"/>
  <c r="X144"/>
  <c r="T148"/>
  <c r="X148"/>
  <c r="W149"/>
  <c r="V150"/>
  <c r="T152"/>
  <c r="X152"/>
  <c r="W153"/>
  <c r="V154"/>
  <c r="T156"/>
  <c r="X156"/>
  <c r="W157"/>
  <c r="V158"/>
  <c r="T160"/>
  <c r="X160"/>
  <c r="W161"/>
  <c r="V162"/>
  <c r="T164"/>
  <c r="X164"/>
  <c r="T147"/>
  <c r="V10"/>
  <c r="X11"/>
  <c r="X13"/>
  <c r="X15"/>
  <c r="X17"/>
  <c r="W18"/>
  <c r="T20"/>
  <c r="X21"/>
  <c r="X23"/>
  <c r="X25"/>
  <c r="T32"/>
  <c r="X32"/>
  <c r="X34"/>
  <c r="X36"/>
  <c r="X38"/>
  <c r="X40"/>
  <c r="X42"/>
  <c r="X44"/>
  <c r="X46"/>
  <c r="X48"/>
  <c r="V52"/>
  <c r="X53"/>
  <c r="X55"/>
  <c r="W56"/>
  <c r="T64"/>
  <c r="X64"/>
  <c r="W65"/>
  <c r="X71"/>
  <c r="X73"/>
  <c r="X75"/>
  <c r="W76"/>
  <c r="T90"/>
  <c r="X90"/>
  <c r="W91"/>
  <c r="T93"/>
  <c r="X93"/>
  <c r="W94"/>
  <c r="V95"/>
  <c r="T97"/>
  <c r="X97"/>
  <c r="W98"/>
  <c r="V99"/>
  <c r="T101"/>
  <c r="X101"/>
  <c r="W102"/>
  <c r="V103"/>
  <c r="T105"/>
  <c r="X105"/>
  <c r="W106"/>
  <c r="V107"/>
  <c r="T109"/>
  <c r="X109"/>
  <c r="W110"/>
  <c r="V111"/>
  <c r="T113"/>
  <c r="X113"/>
  <c r="W114"/>
  <c r="V115"/>
  <c r="T117"/>
  <c r="X117"/>
  <c r="W118"/>
  <c r="V119"/>
  <c r="T121"/>
  <c r="X121"/>
  <c r="W122"/>
  <c r="V123"/>
  <c r="T125"/>
  <c r="X125"/>
  <c r="W126"/>
  <c r="V127"/>
  <c r="T129"/>
  <c r="X129"/>
  <c r="W130"/>
  <c r="V131"/>
  <c r="T133"/>
  <c r="X133"/>
  <c r="W134"/>
  <c r="V135"/>
  <c r="T137"/>
  <c r="X137"/>
  <c r="W138"/>
  <c r="V139"/>
  <c r="T141"/>
  <c r="X141"/>
  <c r="T143"/>
  <c r="X143"/>
  <c r="W144"/>
  <c r="X146"/>
  <c r="X147"/>
  <c r="W148"/>
  <c r="V149"/>
  <c r="T151"/>
  <c r="X151"/>
  <c r="W152"/>
  <c r="V153"/>
  <c r="T155"/>
  <c r="X155"/>
  <c r="W156"/>
  <c r="V157"/>
  <c r="T159"/>
  <c r="X159"/>
  <c r="W160"/>
  <c r="V161"/>
  <c r="T163"/>
  <c r="X163"/>
  <c r="W164"/>
  <c r="T146"/>
  <c r="X8"/>
  <c r="V18"/>
  <c r="X19"/>
  <c r="T27"/>
  <c r="X28"/>
  <c r="X31"/>
  <c r="W32"/>
  <c r="T50"/>
  <c r="X50"/>
  <c r="V56"/>
  <c r="X57"/>
  <c r="X59"/>
  <c r="X61"/>
  <c r="X63"/>
  <c r="W64"/>
  <c r="V65"/>
  <c r="X66"/>
  <c r="X68"/>
  <c r="V76"/>
  <c r="X77"/>
  <c r="X79"/>
  <c r="X81"/>
  <c r="X83"/>
  <c r="X85"/>
  <c r="X87"/>
  <c r="X89"/>
  <c r="W90"/>
  <c r="V91"/>
  <c r="X92"/>
  <c r="W93"/>
  <c r="V94"/>
  <c r="T96"/>
  <c r="X96"/>
  <c r="W97"/>
  <c r="V98"/>
  <c r="T100"/>
  <c r="X100"/>
  <c r="W101"/>
  <c r="V102"/>
  <c r="T104"/>
  <c r="X104"/>
  <c r="W105"/>
  <c r="V106"/>
  <c r="T108"/>
  <c r="X108"/>
  <c r="W109"/>
  <c r="V110"/>
  <c r="T112"/>
  <c r="X112"/>
  <c r="W113"/>
  <c r="V114"/>
  <c r="T116"/>
  <c r="X116"/>
  <c r="W117"/>
  <c r="V118"/>
  <c r="T120"/>
  <c r="X120"/>
  <c r="W121"/>
  <c r="V122"/>
  <c r="T124"/>
  <c r="X124"/>
  <c r="W125"/>
  <c r="V126"/>
  <c r="T128"/>
  <c r="X128"/>
  <c r="W129"/>
  <c r="V130"/>
  <c r="T132"/>
  <c r="X132"/>
  <c r="W133"/>
  <c r="V134"/>
  <c r="T136"/>
  <c r="X136"/>
  <c r="W137"/>
  <c r="V138"/>
  <c r="T140"/>
  <c r="X140"/>
  <c r="W141"/>
  <c r="X142"/>
  <c r="V144"/>
  <c r="W147"/>
  <c r="V148"/>
  <c r="T150"/>
  <c r="X150"/>
  <c r="W151"/>
  <c r="V152"/>
  <c r="T154"/>
  <c r="X154"/>
  <c r="W155"/>
  <c r="V156"/>
  <c r="T158"/>
  <c r="X158"/>
  <c r="V160"/>
  <c r="T162"/>
  <c r="X162"/>
  <c r="W163"/>
  <c r="V164"/>
  <c r="T10"/>
  <c r="X10"/>
  <c r="X12"/>
  <c r="X14"/>
  <c r="X16"/>
  <c r="X20"/>
  <c r="X22"/>
  <c r="X24"/>
  <c r="X26"/>
  <c r="V32"/>
  <c r="X33"/>
  <c r="X35"/>
  <c r="X37"/>
  <c r="X39"/>
  <c r="X41"/>
  <c r="X43"/>
  <c r="X45"/>
  <c r="X47"/>
  <c r="X49"/>
  <c r="W50"/>
  <c r="T52"/>
  <c r="X52"/>
  <c r="X54"/>
  <c r="V64"/>
  <c r="T70"/>
  <c r="X70"/>
  <c r="X72"/>
  <c r="X74"/>
  <c r="V90"/>
  <c r="V93"/>
  <c r="T95"/>
  <c r="X95"/>
  <c r="W96"/>
  <c r="V97"/>
  <c r="T99"/>
  <c r="X99"/>
  <c r="W100"/>
  <c r="V101"/>
  <c r="T103"/>
  <c r="X103"/>
  <c r="W104"/>
  <c r="V105"/>
  <c r="T107"/>
  <c r="X107"/>
  <c r="W108"/>
  <c r="V109"/>
  <c r="T111"/>
  <c r="X111"/>
  <c r="W112"/>
  <c r="V113"/>
  <c r="T115"/>
  <c r="X115"/>
  <c r="W116"/>
  <c r="V117"/>
  <c r="T119"/>
  <c r="X119"/>
  <c r="W120"/>
  <c r="V121"/>
  <c r="T123"/>
  <c r="X123"/>
  <c r="W124"/>
  <c r="V125"/>
  <c r="T127"/>
  <c r="X127"/>
  <c r="W128"/>
  <c r="V129"/>
  <c r="T131"/>
  <c r="X131"/>
  <c r="W132"/>
  <c r="V133"/>
  <c r="T135"/>
  <c r="X135"/>
  <c r="W136"/>
  <c r="V137"/>
  <c r="T139"/>
  <c r="X139"/>
  <c r="W140"/>
  <c r="V141"/>
  <c r="T145"/>
  <c r="X145"/>
  <c r="V147"/>
  <c r="T149"/>
  <c r="X149"/>
  <c r="W150"/>
  <c r="V151"/>
  <c r="T153"/>
  <c r="X153"/>
  <c r="W154"/>
  <c r="V155"/>
  <c r="T157"/>
  <c r="X157"/>
  <c r="W158"/>
  <c r="T161"/>
  <c r="X161"/>
  <c r="W162"/>
  <c r="V163"/>
  <c r="W8"/>
  <c r="T11"/>
  <c r="W12"/>
  <c r="T15"/>
  <c r="W16"/>
  <c r="T19"/>
  <c r="W20"/>
  <c r="T23"/>
  <c r="W24"/>
  <c r="W28"/>
  <c r="W33"/>
  <c r="T36"/>
  <c r="W37"/>
  <c r="T40"/>
  <c r="W41"/>
  <c r="T44"/>
  <c r="W45"/>
  <c r="T48"/>
  <c r="W49"/>
  <c r="W53"/>
  <c r="W57"/>
  <c r="T60"/>
  <c r="W61"/>
  <c r="T68"/>
  <c r="T72"/>
  <c r="W73"/>
  <c r="W77"/>
  <c r="T80"/>
  <c r="W81"/>
  <c r="T84"/>
  <c r="W85"/>
  <c r="T88"/>
  <c r="W89"/>
  <c r="T92"/>
  <c r="W11"/>
  <c r="T14"/>
  <c r="W15"/>
  <c r="W19"/>
  <c r="T22"/>
  <c r="W23"/>
  <c r="T26"/>
  <c r="W27"/>
  <c r="T31"/>
  <c r="T35"/>
  <c r="W36"/>
  <c r="T39"/>
  <c r="W40"/>
  <c r="T43"/>
  <c r="W44"/>
  <c r="T47"/>
  <c r="W48"/>
  <c r="T51"/>
  <c r="T55"/>
  <c r="T59"/>
  <c r="W60"/>
  <c r="T63"/>
  <c r="T67"/>
  <c r="T71"/>
  <c r="W72"/>
  <c r="T75"/>
  <c r="T79"/>
  <c r="W80"/>
  <c r="T83"/>
  <c r="W84"/>
  <c r="T87"/>
  <c r="W88"/>
  <c r="W92"/>
  <c r="T9"/>
  <c r="T13"/>
  <c r="W14"/>
  <c r="T17"/>
  <c r="T21"/>
  <c r="W22"/>
  <c r="T25"/>
  <c r="W26"/>
  <c r="T29"/>
  <c r="T34"/>
  <c r="W35"/>
  <c r="T38"/>
  <c r="W39"/>
  <c r="T42"/>
  <c r="W43"/>
  <c r="T46"/>
  <c r="W47"/>
  <c r="W51"/>
  <c r="T54"/>
  <c r="W55"/>
  <c r="T58"/>
  <c r="W59"/>
  <c r="T62"/>
  <c r="W63"/>
  <c r="T66"/>
  <c r="W71"/>
  <c r="T74"/>
  <c r="W75"/>
  <c r="T78"/>
  <c r="W79"/>
  <c r="T82"/>
  <c r="W83"/>
  <c r="T86"/>
  <c r="W87"/>
  <c r="T8"/>
  <c r="W9"/>
  <c r="T12"/>
  <c r="W13"/>
  <c r="T16"/>
  <c r="W17"/>
  <c r="W21"/>
  <c r="T24"/>
  <c r="W25"/>
  <c r="T28"/>
  <c r="W29"/>
  <c r="T33"/>
  <c r="W34"/>
  <c r="T37"/>
  <c r="W38"/>
  <c r="T41"/>
  <c r="W42"/>
  <c r="T45"/>
  <c r="W46"/>
  <c r="T49"/>
  <c r="T53"/>
  <c r="W54"/>
  <c r="T57"/>
  <c r="W58"/>
  <c r="T61"/>
  <c r="W62"/>
  <c r="W66"/>
  <c r="T69"/>
  <c r="T73"/>
  <c r="W74"/>
  <c r="T77"/>
  <c r="W78"/>
  <c r="T81"/>
  <c r="W82"/>
  <c r="T85"/>
  <c r="W86"/>
  <c r="T89"/>
  <c r="W142"/>
  <c r="T30"/>
  <c r="X30"/>
  <c r="AG30"/>
  <c r="AG68"/>
  <c r="AG67"/>
  <c r="AG31"/>
  <c r="AG69"/>
  <c r="AD7"/>
  <c r="AG70"/>
  <c r="AG143"/>
  <c r="AG145"/>
  <c r="AG146"/>
  <c r="AG159"/>
  <c r="AD31"/>
  <c r="AD69"/>
  <c r="AF70"/>
  <c r="AF143"/>
  <c r="AF145"/>
  <c r="AF146"/>
  <c r="AF159"/>
  <c r="AG7"/>
  <c r="Q7"/>
  <c r="AA7" s="1"/>
  <c r="Q8"/>
  <c r="AA8" s="1"/>
  <c r="Q9"/>
  <c r="AA9" s="1"/>
  <c r="Q11"/>
  <c r="V11" s="1"/>
  <c r="Q12"/>
  <c r="AA12" s="1"/>
  <c r="Q13"/>
  <c r="AA13" s="1"/>
  <c r="Q14"/>
  <c r="AA14" s="1"/>
  <c r="Q15"/>
  <c r="AA15" s="1"/>
  <c r="Q16"/>
  <c r="AA16" s="1"/>
  <c r="Q17"/>
  <c r="AA17" s="1"/>
  <c r="Q19"/>
  <c r="AA19" s="1"/>
  <c r="Q20"/>
  <c r="AA20" s="1"/>
  <c r="Q21"/>
  <c r="AA21" s="1"/>
  <c r="Q22"/>
  <c r="V22" s="1"/>
  <c r="Q23"/>
  <c r="V23" s="1"/>
  <c r="Q24"/>
  <c r="AA24" s="1"/>
  <c r="Q25"/>
  <c r="V25" s="1"/>
  <c r="Q26"/>
  <c r="V26" s="1"/>
  <c r="Q27"/>
  <c r="AA27" s="1"/>
  <c r="Q28"/>
  <c r="V28" s="1"/>
  <c r="Q29"/>
  <c r="V29" s="1"/>
  <c r="Q30"/>
  <c r="AA30" s="1"/>
  <c r="Q31"/>
  <c r="V31" s="1"/>
  <c r="Q33"/>
  <c r="AA33" s="1"/>
  <c r="Q34"/>
  <c r="AA34" s="1"/>
  <c r="Q35"/>
  <c r="AA35" s="1"/>
  <c r="Q36"/>
  <c r="AA36" s="1"/>
  <c r="Q37"/>
  <c r="AA37" s="1"/>
  <c r="Q38"/>
  <c r="AA38" s="1"/>
  <c r="Q39"/>
  <c r="AA39" s="1"/>
  <c r="Q40"/>
  <c r="AA40" s="1"/>
  <c r="Q41"/>
  <c r="AA41" s="1"/>
  <c r="Q42"/>
  <c r="V42" s="1"/>
  <c r="Q43"/>
  <c r="V43" s="1"/>
  <c r="Q44"/>
  <c r="AA44" s="1"/>
  <c r="Q45"/>
  <c r="AA45" s="1"/>
  <c r="Q46"/>
  <c r="AA46" s="1"/>
  <c r="Q47"/>
  <c r="AA47" s="1"/>
  <c r="Q48"/>
  <c r="AA48" s="1"/>
  <c r="Q49"/>
  <c r="AA49" s="1"/>
  <c r="Q51"/>
  <c r="AA51" s="1"/>
  <c r="Q53"/>
  <c r="AA53" s="1"/>
  <c r="Q54"/>
  <c r="AA54" s="1"/>
  <c r="Q55"/>
  <c r="V55" s="1"/>
  <c r="Q57"/>
  <c r="V57" s="1"/>
  <c r="Q58"/>
  <c r="V58" s="1"/>
  <c r="Q59"/>
  <c r="V59" s="1"/>
  <c r="Q60"/>
  <c r="V60" s="1"/>
  <c r="Q61"/>
  <c r="V61" s="1"/>
  <c r="Q62"/>
  <c r="V62" s="1"/>
  <c r="Q63"/>
  <c r="V63" s="1"/>
  <c r="Q66"/>
  <c r="V66" s="1"/>
  <c r="Q67"/>
  <c r="V67" s="1"/>
  <c r="Q68"/>
  <c r="V68" s="1"/>
  <c r="Q69"/>
  <c r="V69" s="1"/>
  <c r="Q71"/>
  <c r="V71" s="1"/>
  <c r="Q72"/>
  <c r="AA72" s="1"/>
  <c r="Q73"/>
  <c r="V73" s="1"/>
  <c r="Q74"/>
  <c r="AA74" s="1"/>
  <c r="Q75"/>
  <c r="AA75" s="1"/>
  <c r="Q77"/>
  <c r="V77" s="1"/>
  <c r="Q78"/>
  <c r="AA78" s="1"/>
  <c r="Q79"/>
  <c r="AA79" s="1"/>
  <c r="Q80"/>
  <c r="V80" s="1"/>
  <c r="Q81"/>
  <c r="V81" s="1"/>
  <c r="Q82"/>
  <c r="AA82" s="1"/>
  <c r="Q83"/>
  <c r="AA83" s="1"/>
  <c r="Q84"/>
  <c r="V84" s="1"/>
  <c r="Q85"/>
  <c r="V85" s="1"/>
  <c r="Q86"/>
  <c r="V86" s="1"/>
  <c r="Q87"/>
  <c r="V87" s="1"/>
  <c r="Q88"/>
  <c r="V88" s="1"/>
  <c r="Q89"/>
  <c r="V89" s="1"/>
  <c r="Q92"/>
  <c r="AA92" s="1"/>
  <c r="Q142"/>
  <c r="V142" s="1"/>
  <c r="F22" i="4"/>
  <c r="F34"/>
  <c r="F33" s="1"/>
  <c r="C39"/>
  <c r="I16"/>
  <c r="E17" s="1"/>
  <c r="I11"/>
  <c r="G14"/>
  <c r="E14" s="1"/>
  <c r="G15"/>
  <c r="E15" s="1"/>
  <c r="I12"/>
  <c r="G10"/>
  <c r="E23" s="1"/>
  <c r="E34" s="1"/>
  <c r="G13"/>
  <c r="E13" s="1"/>
  <c r="G8"/>
  <c r="E8" s="1"/>
  <c r="G9"/>
  <c r="E9" s="1"/>
  <c r="G5"/>
  <c r="F28" l="1"/>
  <c r="F39" s="1"/>
  <c r="F32" s="1"/>
  <c r="G15" i="7"/>
  <c r="G3" s="1"/>
  <c r="F21" i="4"/>
  <c r="O20"/>
  <c r="E28"/>
  <c r="E39" s="1"/>
  <c r="D28"/>
  <c r="D39" s="1"/>
  <c r="AK143" i="6"/>
  <c r="AK146"/>
  <c r="AK159"/>
  <c r="AK70"/>
  <c r="AA66"/>
  <c r="AA63"/>
  <c r="AA80"/>
  <c r="AA85"/>
  <c r="AA86"/>
  <c r="AA22"/>
  <c r="AA67"/>
  <c r="AA84"/>
  <c r="AA68"/>
  <c r="AA89"/>
  <c r="AA73"/>
  <c r="AA58"/>
  <c r="AA42"/>
  <c r="AA26"/>
  <c r="AA87"/>
  <c r="AA71"/>
  <c r="AA55"/>
  <c r="AA23"/>
  <c r="AA88"/>
  <c r="AA77"/>
  <c r="AA57"/>
  <c r="AA25"/>
  <c r="AA142"/>
  <c r="AA62"/>
  <c r="AA59"/>
  <c r="AA43"/>
  <c r="AA11"/>
  <c r="AA60"/>
  <c r="AA28"/>
  <c r="AA81"/>
  <c r="AA61"/>
  <c r="AA29"/>
  <c r="E9" i="7"/>
  <c r="D6"/>
  <c r="AK145" i="6"/>
  <c r="E6" i="7"/>
  <c r="E10"/>
  <c r="D10"/>
  <c r="E11"/>
  <c r="D11"/>
  <c r="AJ140" i="6"/>
  <c r="AK140" s="1"/>
  <c r="AJ108"/>
  <c r="AK108" s="1"/>
  <c r="AN108" s="1"/>
  <c r="AJ133"/>
  <c r="AK133" s="1"/>
  <c r="AN133" s="1"/>
  <c r="AJ149"/>
  <c r="AK149" s="1"/>
  <c r="AN149" s="1"/>
  <c r="AJ128"/>
  <c r="AK128" s="1"/>
  <c r="AN128" s="1"/>
  <c r="AJ112"/>
  <c r="AK112" s="1"/>
  <c r="AJ96"/>
  <c r="AK96" s="1"/>
  <c r="AN96" s="1"/>
  <c r="AJ162"/>
  <c r="AK162" s="1"/>
  <c r="AJ137"/>
  <c r="AK137" s="1"/>
  <c r="AN137" s="1"/>
  <c r="AJ121"/>
  <c r="AK121" s="1"/>
  <c r="AN121" s="1"/>
  <c r="AJ105"/>
  <c r="AK105" s="1"/>
  <c r="AJ52"/>
  <c r="AK52" s="1"/>
  <c r="AJ151"/>
  <c r="AK151" s="1"/>
  <c r="AN151" s="1"/>
  <c r="AJ130"/>
  <c r="AK130" s="1"/>
  <c r="AN130" s="1"/>
  <c r="AJ114"/>
  <c r="AK114" s="1"/>
  <c r="AM114" s="1"/>
  <c r="AJ98"/>
  <c r="AK98" s="1"/>
  <c r="AJ18"/>
  <c r="AK18" s="1"/>
  <c r="AJ156"/>
  <c r="AK156" s="1"/>
  <c r="AM156" s="1"/>
  <c r="AJ139"/>
  <c r="AK139" s="1"/>
  <c r="AN139" s="1"/>
  <c r="AJ107"/>
  <c r="AK107" s="1"/>
  <c r="AN107" s="1"/>
  <c r="AJ90"/>
  <c r="AK90" s="1"/>
  <c r="AN90" s="1"/>
  <c r="AJ153"/>
  <c r="AK153" s="1"/>
  <c r="AM153" s="1"/>
  <c r="AJ132"/>
  <c r="AK132" s="1"/>
  <c r="AN132" s="1"/>
  <c r="AJ116"/>
  <c r="AK116" s="1"/>
  <c r="AJ100"/>
  <c r="AK100" s="1"/>
  <c r="AN100" s="1"/>
  <c r="AJ50"/>
  <c r="AK50" s="1"/>
  <c r="AN50" s="1"/>
  <c r="AJ141"/>
  <c r="AK141" s="1"/>
  <c r="AN141" s="1"/>
  <c r="AJ125"/>
  <c r="AK125" s="1"/>
  <c r="AN125" s="1"/>
  <c r="AJ109"/>
  <c r="AK109" s="1"/>
  <c r="AN109" s="1"/>
  <c r="AJ93"/>
  <c r="AK93" s="1"/>
  <c r="AJ155"/>
  <c r="AK155" s="1"/>
  <c r="AN155" s="1"/>
  <c r="AJ134"/>
  <c r="AK134" s="1"/>
  <c r="AN134" s="1"/>
  <c r="AJ118"/>
  <c r="AK118" s="1"/>
  <c r="AJ102"/>
  <c r="AK102" s="1"/>
  <c r="AN102" s="1"/>
  <c r="AJ56"/>
  <c r="AK56" s="1"/>
  <c r="AJ164"/>
  <c r="AK164" s="1"/>
  <c r="AN164" s="1"/>
  <c r="AJ144"/>
  <c r="AK144" s="1"/>
  <c r="AN144" s="1"/>
  <c r="AJ127"/>
  <c r="AK127" s="1"/>
  <c r="AN127" s="1"/>
  <c r="AJ111"/>
  <c r="AK111" s="1"/>
  <c r="AJ95"/>
  <c r="AK95" s="1"/>
  <c r="AN95" s="1"/>
  <c r="AJ157"/>
  <c r="AK157" s="1"/>
  <c r="AJ136"/>
  <c r="AK136" s="1"/>
  <c r="AM136" s="1"/>
  <c r="AJ120"/>
  <c r="AK120" s="1"/>
  <c r="AJ104"/>
  <c r="AK104" s="1"/>
  <c r="AN104" s="1"/>
  <c r="AJ65"/>
  <c r="AK65" s="1"/>
  <c r="AN65" s="1"/>
  <c r="AJ150"/>
  <c r="AK150" s="1"/>
  <c r="AJ129"/>
  <c r="AK129" s="1"/>
  <c r="AN129" s="1"/>
  <c r="AJ113"/>
  <c r="AK113" s="1"/>
  <c r="AJ97"/>
  <c r="AK97" s="1"/>
  <c r="AM97" s="1"/>
  <c r="AJ163"/>
  <c r="AK163" s="1"/>
  <c r="AN163" s="1"/>
  <c r="AJ138"/>
  <c r="AK138" s="1"/>
  <c r="AN138" s="1"/>
  <c r="AJ122"/>
  <c r="AK122" s="1"/>
  <c r="AN122" s="1"/>
  <c r="AJ106"/>
  <c r="AK106" s="1"/>
  <c r="AJ76"/>
  <c r="AK76" s="1"/>
  <c r="AN76" s="1"/>
  <c r="AJ148"/>
  <c r="AK148" s="1"/>
  <c r="AN148" s="1"/>
  <c r="AJ131"/>
  <c r="AK131" s="1"/>
  <c r="AN131" s="1"/>
  <c r="AJ115"/>
  <c r="AK115" s="1"/>
  <c r="AJ99"/>
  <c r="AK99" s="1"/>
  <c r="AN99" s="1"/>
  <c r="AJ32"/>
  <c r="AK32" s="1"/>
  <c r="AJ161"/>
  <c r="AK161" s="1"/>
  <c r="AN161" s="1"/>
  <c r="AJ124"/>
  <c r="AK124" s="1"/>
  <c r="AJ91"/>
  <c r="AK91" s="1"/>
  <c r="AJ158"/>
  <c r="AK158" s="1"/>
  <c r="AN158" s="1"/>
  <c r="AJ117"/>
  <c r="AK117" s="1"/>
  <c r="AJ101"/>
  <c r="AK101" s="1"/>
  <c r="AN101" s="1"/>
  <c r="AJ10"/>
  <c r="AK10" s="1"/>
  <c r="AJ147"/>
  <c r="AK147" s="1"/>
  <c r="AN147" s="1"/>
  <c r="AJ126"/>
  <c r="AK126" s="1"/>
  <c r="AJ110"/>
  <c r="AK110" s="1"/>
  <c r="AJ94"/>
  <c r="AK94" s="1"/>
  <c r="AJ152"/>
  <c r="AK152" s="1"/>
  <c r="AN152" s="1"/>
  <c r="AJ135"/>
  <c r="AK135" s="1"/>
  <c r="AN135" s="1"/>
  <c r="AJ119"/>
  <c r="AK119" s="1"/>
  <c r="AM119" s="1"/>
  <c r="AJ103"/>
  <c r="AK103" s="1"/>
  <c r="AN103" s="1"/>
  <c r="AJ64"/>
  <c r="AK64" s="1"/>
  <c r="AN64" s="1"/>
  <c r="D9" i="7"/>
  <c r="C9" s="1"/>
  <c r="AJ82" i="6"/>
  <c r="V82"/>
  <c r="AJ83"/>
  <c r="V83"/>
  <c r="AJ74"/>
  <c r="V74"/>
  <c r="AJ48"/>
  <c r="V48"/>
  <c r="AJ44"/>
  <c r="V44"/>
  <c r="AJ36"/>
  <c r="V36"/>
  <c r="AJ75"/>
  <c r="V75"/>
  <c r="AJ49"/>
  <c r="V49"/>
  <c r="AJ45"/>
  <c r="V45"/>
  <c r="AJ41"/>
  <c r="V41"/>
  <c r="AJ37"/>
  <c r="V37"/>
  <c r="AJ33"/>
  <c r="V33"/>
  <c r="AJ24"/>
  <c r="V24"/>
  <c r="AJ20"/>
  <c r="V20"/>
  <c r="AJ15"/>
  <c r="V15"/>
  <c r="AJ72"/>
  <c r="V72"/>
  <c r="AJ51"/>
  <c r="V51"/>
  <c r="AJ46"/>
  <c r="V46"/>
  <c r="AJ38"/>
  <c r="V38"/>
  <c r="AJ34"/>
  <c r="V34"/>
  <c r="AJ21"/>
  <c r="V21"/>
  <c r="AJ16"/>
  <c r="V16"/>
  <c r="AJ12"/>
  <c r="V12"/>
  <c r="V7"/>
  <c r="AJ78"/>
  <c r="V78"/>
  <c r="AJ53"/>
  <c r="V53"/>
  <c r="AJ47"/>
  <c r="V47"/>
  <c r="AJ39"/>
  <c r="V39"/>
  <c r="AJ35"/>
  <c r="V35"/>
  <c r="AJ17"/>
  <c r="V17"/>
  <c r="AJ13"/>
  <c r="V13"/>
  <c r="AJ8"/>
  <c r="V8"/>
  <c r="AJ92"/>
  <c r="V92"/>
  <c r="AJ79"/>
  <c r="V79"/>
  <c r="AJ54"/>
  <c r="V54"/>
  <c r="AJ40"/>
  <c r="V40"/>
  <c r="AJ27"/>
  <c r="V27"/>
  <c r="AJ19"/>
  <c r="V19"/>
  <c r="AJ14"/>
  <c r="V14"/>
  <c r="AJ9"/>
  <c r="V9"/>
  <c r="AJ80"/>
  <c r="AJ66"/>
  <c r="AJ55"/>
  <c r="AJ67"/>
  <c r="AJ57"/>
  <c r="AJ73"/>
  <c r="AJ68"/>
  <c r="AJ58"/>
  <c r="AJ43"/>
  <c r="AJ26"/>
  <c r="AJ142"/>
  <c r="AJ87"/>
  <c r="AF69"/>
  <c r="AJ63"/>
  <c r="AJ59"/>
  <c r="AF31"/>
  <c r="AK31" s="1"/>
  <c r="AJ23"/>
  <c r="AJ84"/>
  <c r="AJ71"/>
  <c r="AJ60"/>
  <c r="AJ28"/>
  <c r="AJ11"/>
  <c r="AJ88"/>
  <c r="AJ89"/>
  <c r="AJ81"/>
  <c r="AJ42"/>
  <c r="AJ29"/>
  <c r="AJ25"/>
  <c r="AJ85"/>
  <c r="AJ77"/>
  <c r="AJ61"/>
  <c r="AJ86"/>
  <c r="AJ62"/>
  <c r="AJ30"/>
  <c r="V30"/>
  <c r="AJ22"/>
  <c r="AM143"/>
  <c r="AM145"/>
  <c r="AM146"/>
  <c r="AM159"/>
  <c r="AM70"/>
  <c r="AF7"/>
  <c r="AF54"/>
  <c r="AF44"/>
  <c r="AF88"/>
  <c r="AF84"/>
  <c r="AK84" s="1"/>
  <c r="AF80"/>
  <c r="AF75"/>
  <c r="AF71"/>
  <c r="AF66"/>
  <c r="AK66" s="1"/>
  <c r="AF60"/>
  <c r="AF55"/>
  <c r="AF49"/>
  <c r="AF45"/>
  <c r="AK45" s="1"/>
  <c r="AF41"/>
  <c r="AF37"/>
  <c r="AF33"/>
  <c r="AF28"/>
  <c r="AF24"/>
  <c r="AF20"/>
  <c r="AF15"/>
  <c r="AF11"/>
  <c r="AF83"/>
  <c r="AF89"/>
  <c r="AK89" s="1"/>
  <c r="AF85"/>
  <c r="AK85" s="1"/>
  <c r="AF81"/>
  <c r="AF77"/>
  <c r="AF72"/>
  <c r="AF67"/>
  <c r="AF61"/>
  <c r="AF57"/>
  <c r="AF51"/>
  <c r="AF46"/>
  <c r="AF42"/>
  <c r="AK42" s="1"/>
  <c r="AF38"/>
  <c r="AF34"/>
  <c r="AF29"/>
  <c r="AF25"/>
  <c r="AF21"/>
  <c r="AF16"/>
  <c r="AF12"/>
  <c r="AF87"/>
  <c r="AF74"/>
  <c r="AF92"/>
  <c r="AF86"/>
  <c r="AF82"/>
  <c r="AK82" s="1"/>
  <c r="AF78"/>
  <c r="AF73"/>
  <c r="AF68"/>
  <c r="AF62"/>
  <c r="AF58"/>
  <c r="AF53"/>
  <c r="AF47"/>
  <c r="AK47" s="1"/>
  <c r="AF43"/>
  <c r="AF39"/>
  <c r="AK39" s="1"/>
  <c r="AF35"/>
  <c r="AF30"/>
  <c r="AF26"/>
  <c r="AK26" s="1"/>
  <c r="AF22"/>
  <c r="AF17"/>
  <c r="AF13"/>
  <c r="AK13" s="1"/>
  <c r="AF8"/>
  <c r="AK8" s="1"/>
  <c r="AF142"/>
  <c r="AK142" s="1"/>
  <c r="AF79"/>
  <c r="AF63"/>
  <c r="AF59"/>
  <c r="AK59" s="1"/>
  <c r="AF48"/>
  <c r="AF40"/>
  <c r="AF36"/>
  <c r="AF27"/>
  <c r="AF23"/>
  <c r="AF19"/>
  <c r="AF14"/>
  <c r="AK14" s="1"/>
  <c r="AF9"/>
  <c r="AK9" s="1"/>
  <c r="D25" i="4"/>
  <c r="D36" s="1"/>
  <c r="E11"/>
  <c r="E25"/>
  <c r="E36" s="1"/>
  <c r="E33" s="1"/>
  <c r="E16"/>
  <c r="E10"/>
  <c r="D23"/>
  <c r="E12"/>
  <c r="C25"/>
  <c r="E5"/>
  <c r="C23"/>
  <c r="E32" l="1"/>
  <c r="B28"/>
  <c r="B39"/>
  <c r="AK87" i="6"/>
  <c r="AK48"/>
  <c r="AK78"/>
  <c r="AK74"/>
  <c r="AK21"/>
  <c r="AK38"/>
  <c r="AK83"/>
  <c r="AK24"/>
  <c r="AK41"/>
  <c r="C10" i="7"/>
  <c r="C11"/>
  <c r="AK25" i="6"/>
  <c r="AK36"/>
  <c r="AK63"/>
  <c r="AK30"/>
  <c r="AK68"/>
  <c r="AK86"/>
  <c r="AK29"/>
  <c r="AK46"/>
  <c r="AK67"/>
  <c r="AK15"/>
  <c r="AK33"/>
  <c r="AK49"/>
  <c r="AK71"/>
  <c r="AK88"/>
  <c r="AK12"/>
  <c r="AK11"/>
  <c r="AK61"/>
  <c r="AK22"/>
  <c r="AN22" s="1"/>
  <c r="AK58"/>
  <c r="AN58" s="1"/>
  <c r="AK60"/>
  <c r="AN60" s="1"/>
  <c r="AK43"/>
  <c r="AN43" s="1"/>
  <c r="AK81"/>
  <c r="AK57"/>
  <c r="AK54"/>
  <c r="AK19"/>
  <c r="AK40"/>
  <c r="AK79"/>
  <c r="AK17"/>
  <c r="AK35"/>
  <c r="AK53"/>
  <c r="AK73"/>
  <c r="AK92"/>
  <c r="AK16"/>
  <c r="AK34"/>
  <c r="AK51"/>
  <c r="AK72"/>
  <c r="AK20"/>
  <c r="AK37"/>
  <c r="AK55"/>
  <c r="AK75"/>
  <c r="AK44"/>
  <c r="AM31"/>
  <c r="E8" i="7"/>
  <c r="E5" s="1"/>
  <c r="C6"/>
  <c r="AJ5" i="6"/>
  <c r="D14" i="7"/>
  <c r="AK62" i="6"/>
  <c r="AK28"/>
  <c r="E14" i="7"/>
  <c r="E12" s="1"/>
  <c r="AK69" i="6"/>
  <c r="AM69" s="1"/>
  <c r="AK27"/>
  <c r="AK23"/>
  <c r="AK77"/>
  <c r="AN77" s="1"/>
  <c r="AK80"/>
  <c r="AJ6"/>
  <c r="AJ7"/>
  <c r="AK7" s="1"/>
  <c r="D8" i="7"/>
  <c r="AN63" i="6"/>
  <c r="AM67"/>
  <c r="AN23"/>
  <c r="AO5"/>
  <c r="AO6"/>
  <c r="AM6"/>
  <c r="AP5"/>
  <c r="AN5"/>
  <c r="AP6"/>
  <c r="AN59"/>
  <c r="AN62"/>
  <c r="AN87"/>
  <c r="AN25"/>
  <c r="AN81"/>
  <c r="AN28"/>
  <c r="AN61"/>
  <c r="AM68"/>
  <c r="AN85"/>
  <c r="AN73"/>
  <c r="AN42"/>
  <c r="AN11"/>
  <c r="AN84"/>
  <c r="AN26"/>
  <c r="AN66"/>
  <c r="AN57"/>
  <c r="AN80"/>
  <c r="AN142"/>
  <c r="AN55"/>
  <c r="AN29"/>
  <c r="AN71"/>
  <c r="AN88"/>
  <c r="AM30"/>
  <c r="AN86"/>
  <c r="AN89"/>
  <c r="AI5"/>
  <c r="AI6"/>
  <c r="AD5"/>
  <c r="AF6"/>
  <c r="AH5"/>
  <c r="AE5"/>
  <c r="AG6"/>
  <c r="AF5"/>
  <c r="AD6"/>
  <c r="AG5"/>
  <c r="AH6"/>
  <c r="AE6"/>
  <c r="AA5"/>
  <c r="AA6"/>
  <c r="E22" i="4"/>
  <c r="E21" s="1"/>
  <c r="D34"/>
  <c r="D22"/>
  <c r="C34"/>
  <c r="C22"/>
  <c r="B25"/>
  <c r="C36"/>
  <c r="B36" s="1"/>
  <c r="B23"/>
  <c r="AJ4" i="6" l="1"/>
  <c r="AM5"/>
  <c r="AM4" s="1"/>
  <c r="C8" i="7"/>
  <c r="C5" s="1"/>
  <c r="D5"/>
  <c r="C14"/>
  <c r="C12" s="1"/>
  <c r="D12"/>
  <c r="AO4" i="6"/>
  <c r="AK6"/>
  <c r="AK5"/>
  <c r="AP4"/>
  <c r="AN6"/>
  <c r="AN4" s="1"/>
  <c r="AF4"/>
  <c r="AG4"/>
  <c r="AI4"/>
  <c r="AE4"/>
  <c r="AD4"/>
  <c r="AH4"/>
  <c r="AA4"/>
  <c r="B34" i="4"/>
  <c r="D33"/>
  <c r="D21"/>
  <c r="D32" s="1"/>
  <c r="C33"/>
  <c r="C21"/>
  <c r="C32" s="1"/>
  <c r="B22"/>
  <c r="D3" i="7" l="1"/>
  <c r="AK4" i="6"/>
  <c r="B33" i="4"/>
  <c r="B32"/>
  <c r="B21"/>
  <c r="E15" i="7" l="1"/>
  <c r="C15" l="1"/>
  <c r="C3" s="1"/>
  <c r="E3"/>
</calcChain>
</file>

<file path=xl/comments1.xml><?xml version="1.0" encoding="utf-8"?>
<comments xmlns="http://schemas.openxmlformats.org/spreadsheetml/2006/main">
  <authors>
    <author>withus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>withus: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막여과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withus: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이온교환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withus: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이온교환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withus: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이온교환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withus: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막여과</t>
        </r>
      </text>
    </comment>
    <comment ref="J112" authorId="0">
      <text>
        <r>
          <rPr>
            <b/>
            <sz val="9"/>
            <color indexed="81"/>
            <rFont val="Tahoma"/>
            <family val="2"/>
          </rPr>
          <t>withus: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막여과</t>
        </r>
      </text>
    </comment>
  </commentList>
</comments>
</file>

<file path=xl/sharedStrings.xml><?xml version="1.0" encoding="utf-8"?>
<sst xmlns="http://schemas.openxmlformats.org/spreadsheetml/2006/main" count="1937" uniqueCount="582">
  <si>
    <t>취수시설</t>
    <phoneticPr fontId="4" type="noConversion"/>
  </si>
  <si>
    <t>배수지</t>
    <phoneticPr fontId="4" type="noConversion"/>
  </si>
  <si>
    <t>지하수</t>
    <phoneticPr fontId="4" type="noConversion"/>
  </si>
  <si>
    <t>사월리</t>
  </si>
  <si>
    <t>왕전1리</t>
  </si>
  <si>
    <t>왕전3리</t>
  </si>
  <si>
    <t>항월3리</t>
  </si>
  <si>
    <t>천동2,3리</t>
  </si>
  <si>
    <t>노성면</t>
    <phoneticPr fontId="4" type="noConversion"/>
  </si>
  <si>
    <t>교촌리</t>
  </si>
  <si>
    <t>호암2리</t>
  </si>
  <si>
    <t>두사2리</t>
  </si>
  <si>
    <t>효죽리</t>
  </si>
  <si>
    <t>장구2리</t>
  </si>
  <si>
    <t>호암1리</t>
  </si>
  <si>
    <t>상월면</t>
    <phoneticPr fontId="4" type="noConversion"/>
  </si>
  <si>
    <t>신충1리</t>
  </si>
  <si>
    <t>월오리(정양원)</t>
  </si>
  <si>
    <t>월오리</t>
    <phoneticPr fontId="4" type="noConversion"/>
  </si>
  <si>
    <t>주곡리</t>
  </si>
  <si>
    <t>숙진1리</t>
  </si>
  <si>
    <t>상도2리</t>
  </si>
  <si>
    <t>숙진2리</t>
  </si>
  <si>
    <t>석종2리</t>
  </si>
  <si>
    <t>한천1리</t>
  </si>
  <si>
    <t>부인2,3리</t>
  </si>
  <si>
    <t>덕암1리</t>
  </si>
  <si>
    <t>화악리</t>
  </si>
  <si>
    <t>임리</t>
  </si>
  <si>
    <t>표정2리</t>
  </si>
  <si>
    <t>백석3리</t>
  </si>
  <si>
    <t>신양2리</t>
  </si>
  <si>
    <t>송정2리</t>
  </si>
  <si>
    <t>백석1리</t>
  </si>
  <si>
    <t>벌곡면</t>
    <phoneticPr fontId="4" type="noConversion"/>
  </si>
  <si>
    <t>조동1리</t>
  </si>
  <si>
    <t>대덕리</t>
  </si>
  <si>
    <t xml:space="preserve">한삼천1 </t>
  </si>
  <si>
    <t>덕곡리</t>
  </si>
  <si>
    <t>양촌면</t>
    <phoneticPr fontId="4" type="noConversion"/>
  </si>
  <si>
    <t>도평1리</t>
  </si>
  <si>
    <t>2004</t>
    <phoneticPr fontId="4" type="noConversion"/>
  </si>
  <si>
    <t>모촌1리(띠올)</t>
  </si>
  <si>
    <t>모촌1리</t>
    <phoneticPr fontId="4" type="noConversion"/>
  </si>
  <si>
    <t>1998</t>
    <phoneticPr fontId="4" type="noConversion"/>
  </si>
  <si>
    <t>임화4리(평촌)</t>
  </si>
  <si>
    <t>임화4리</t>
    <phoneticPr fontId="4" type="noConversion"/>
  </si>
  <si>
    <t>계곡수
지하수</t>
    <phoneticPr fontId="4" type="noConversion"/>
  </si>
  <si>
    <t>양촌2리(원앙촌)</t>
  </si>
  <si>
    <t>지하수
계곡수</t>
    <phoneticPr fontId="4" type="noConversion"/>
  </si>
  <si>
    <t>석서2리</t>
  </si>
  <si>
    <t>신기2리</t>
  </si>
  <si>
    <t>중산3리</t>
  </si>
  <si>
    <t>도평3리</t>
  </si>
  <si>
    <t>오산2리</t>
  </si>
  <si>
    <t>거사1리</t>
  </si>
  <si>
    <t>중산1리</t>
  </si>
  <si>
    <t>양촌1리</t>
  </si>
  <si>
    <t>신기1리</t>
  </si>
  <si>
    <t>석서1리</t>
  </si>
  <si>
    <t>가야곡면</t>
    <phoneticPr fontId="4" type="noConversion"/>
  </si>
  <si>
    <t>강청1리</t>
  </si>
  <si>
    <t>등1리</t>
  </si>
  <si>
    <t>병사1리(원병사)</t>
  </si>
  <si>
    <t>원병사</t>
    <phoneticPr fontId="4" type="noConversion"/>
  </si>
  <si>
    <t>계곡수</t>
    <phoneticPr fontId="4" type="noConversion"/>
  </si>
  <si>
    <t>두사1리</t>
  </si>
  <si>
    <t>하도2리</t>
  </si>
  <si>
    <t>신충2리</t>
  </si>
  <si>
    <t>만목리(독뱅이)</t>
  </si>
  <si>
    <t>독뱅이</t>
    <phoneticPr fontId="4" type="noConversion"/>
  </si>
  <si>
    <t>도산2리</t>
  </si>
  <si>
    <t>인천4리(도정)</t>
  </si>
  <si>
    <t>도정</t>
    <phoneticPr fontId="4" type="noConversion"/>
  </si>
  <si>
    <t>1983</t>
    <phoneticPr fontId="4" type="noConversion"/>
  </si>
  <si>
    <t>반암2리(암말)</t>
  </si>
  <si>
    <t>암말</t>
    <phoneticPr fontId="4" type="noConversion"/>
  </si>
  <si>
    <t>1984</t>
    <phoneticPr fontId="4" type="noConversion"/>
  </si>
  <si>
    <t>반암2리(새터-1)</t>
  </si>
  <si>
    <t>새터-1</t>
    <phoneticPr fontId="4" type="noConversion"/>
  </si>
  <si>
    <t>1985</t>
    <phoneticPr fontId="4" type="noConversion"/>
  </si>
  <si>
    <t>양촌1리(구로고개)</t>
  </si>
  <si>
    <t>구로고개</t>
    <phoneticPr fontId="4" type="noConversion"/>
  </si>
  <si>
    <t>1981</t>
    <phoneticPr fontId="4" type="noConversion"/>
  </si>
  <si>
    <t>병암1리(매오리)</t>
  </si>
  <si>
    <t>매오리</t>
    <phoneticPr fontId="4" type="noConversion"/>
  </si>
  <si>
    <t>야촌3리(가늠자골)</t>
  </si>
  <si>
    <t>가늠자골</t>
    <phoneticPr fontId="4" type="noConversion"/>
  </si>
  <si>
    <t>수원형태</t>
    <phoneticPr fontId="4" type="noConversion"/>
  </si>
  <si>
    <t>시    설    현    황</t>
    <phoneticPr fontId="4" type="noConversion"/>
  </si>
  <si>
    <t>구      분</t>
    <phoneticPr fontId="4" type="noConversion"/>
  </si>
  <si>
    <t>시 설 명</t>
    <phoneticPr fontId="4" type="noConversion"/>
  </si>
  <si>
    <t>용 량   (㎥/일)</t>
    <phoneticPr fontId="4" type="noConversion"/>
  </si>
  <si>
    <t>시설용량</t>
  </si>
  <si>
    <t>취수시설</t>
    <phoneticPr fontId="3" type="noConversion"/>
  </si>
  <si>
    <t>정수시설</t>
    <phoneticPr fontId="3" type="noConversion"/>
  </si>
  <si>
    <t>소독시설</t>
    <phoneticPr fontId="3" type="noConversion"/>
  </si>
  <si>
    <t>시설용량(㎥/일)</t>
    <phoneticPr fontId="3" type="noConversion"/>
  </si>
  <si>
    <t>시설용량         (㎥/일)</t>
    <phoneticPr fontId="3" type="noConversion"/>
  </si>
  <si>
    <t>구분</t>
  </si>
  <si>
    <t>구분</t>
    <phoneticPr fontId="3" type="noConversion"/>
  </si>
  <si>
    <t>비고</t>
    <phoneticPr fontId="3" type="noConversion"/>
  </si>
  <si>
    <t>리</t>
  </si>
  <si>
    <t>시설명</t>
    <phoneticPr fontId="3" type="noConversion"/>
  </si>
  <si>
    <t>합계</t>
    <phoneticPr fontId="3" type="noConversion"/>
  </si>
  <si>
    <t>취수시설</t>
    <phoneticPr fontId="3" type="noConversion"/>
  </si>
  <si>
    <t>배수지</t>
    <phoneticPr fontId="3" type="noConversion"/>
  </si>
  <si>
    <t>개량년도</t>
    <phoneticPr fontId="3" type="noConversion"/>
  </si>
  <si>
    <t>개량금액</t>
    <phoneticPr fontId="3" type="noConversion"/>
  </si>
  <si>
    <t>위치</t>
    <phoneticPr fontId="3" type="noConversion"/>
  </si>
  <si>
    <t>모촌1리</t>
  </si>
  <si>
    <t>임화4리</t>
  </si>
  <si>
    <t>양촌2리</t>
  </si>
  <si>
    <t>양촌2리</t>
    <phoneticPr fontId="3" type="noConversion"/>
  </si>
  <si>
    <t>-</t>
    <phoneticPr fontId="3" type="noConversion"/>
  </si>
  <si>
    <t>2015년</t>
    <phoneticPr fontId="3" type="noConversion"/>
  </si>
  <si>
    <t>마을              상수도</t>
    <phoneticPr fontId="4" type="noConversion"/>
  </si>
  <si>
    <t>소규모               급수시설</t>
    <phoneticPr fontId="3" type="noConversion"/>
  </si>
  <si>
    <t>2020년</t>
  </si>
  <si>
    <t>2020년</t>
    <phoneticPr fontId="3" type="noConversion"/>
  </si>
  <si>
    <t>2020년</t>
    <phoneticPr fontId="3" type="noConversion"/>
  </si>
  <si>
    <t>2025년</t>
  </si>
  <si>
    <t>2025년</t>
    <phoneticPr fontId="3" type="noConversion"/>
  </si>
  <si>
    <t>2030년</t>
  </si>
  <si>
    <t>2030년</t>
    <phoneticPr fontId="3" type="noConversion"/>
  </si>
  <si>
    <t>폐공비용</t>
    <phoneticPr fontId="3" type="noConversion"/>
  </si>
  <si>
    <t xml:space="preserve">위 치 </t>
  </si>
  <si>
    <t>관리번호</t>
  </si>
  <si>
    <t>설치년도</t>
  </si>
  <si>
    <t>전 환 계 획</t>
  </si>
  <si>
    <t>시설존치</t>
  </si>
  <si>
    <t>(2단계)</t>
  </si>
  <si>
    <t>(3단계)</t>
  </si>
  <si>
    <t>(4단계)</t>
  </si>
  <si>
    <t>읍면동</t>
  </si>
  <si>
    <t>연무읍</t>
  </si>
  <si>
    <t>마전3리</t>
  </si>
  <si>
    <t>YM-K02</t>
  </si>
  <si>
    <t>◎</t>
  </si>
  <si>
    <t>봉동3리</t>
  </si>
  <si>
    <t>YM-N04</t>
  </si>
  <si>
    <t>마전2리</t>
  </si>
  <si>
    <t>YM-N08</t>
  </si>
  <si>
    <t>광석면</t>
  </si>
  <si>
    <t xml:space="preserve">왕전1리 </t>
  </si>
  <si>
    <t>GS-K02</t>
  </si>
  <si>
    <t>GS-N04</t>
  </si>
  <si>
    <t>항월4리</t>
  </si>
  <si>
    <t>GS-N05</t>
  </si>
  <si>
    <t>항월1리</t>
  </si>
  <si>
    <t>GS-N08</t>
  </si>
  <si>
    <t>GS-N09</t>
  </si>
  <si>
    <t>GS-N11</t>
  </si>
  <si>
    <t>GS-N12</t>
  </si>
  <si>
    <t>GS-N14</t>
  </si>
  <si>
    <t>항월2리</t>
  </si>
  <si>
    <t>GS-S02</t>
  </si>
  <si>
    <t>노성면</t>
  </si>
  <si>
    <t>읍내1리</t>
  </si>
  <si>
    <t>NS-N01</t>
  </si>
  <si>
    <t>읍내2리</t>
  </si>
  <si>
    <t>NS-N02</t>
  </si>
  <si>
    <t>NS-N03</t>
  </si>
  <si>
    <t>죽림3리</t>
  </si>
  <si>
    <t>NS-N04</t>
  </si>
  <si>
    <t>NS-N05</t>
  </si>
  <si>
    <t>NS-N06</t>
  </si>
  <si>
    <t>NS-N07</t>
  </si>
  <si>
    <t>노티1리</t>
  </si>
  <si>
    <t>NS-N08</t>
  </si>
  <si>
    <t>NS-N09</t>
  </si>
  <si>
    <t>NS-N10</t>
  </si>
  <si>
    <t>NS-N11</t>
  </si>
  <si>
    <t>상월면</t>
  </si>
  <si>
    <t>SW-K01</t>
  </si>
  <si>
    <t>월오리</t>
  </si>
  <si>
    <t>SW-K02</t>
  </si>
  <si>
    <t>개량</t>
  </si>
  <si>
    <t xml:space="preserve">상도1리 </t>
  </si>
  <si>
    <t>SW-N04</t>
  </si>
  <si>
    <t>SW-N05</t>
  </si>
  <si>
    <t>SW-N06</t>
  </si>
  <si>
    <t>SW-N07</t>
  </si>
  <si>
    <t>SW-N08</t>
  </si>
  <si>
    <t>SW-N09</t>
  </si>
  <si>
    <t>SW-N10</t>
  </si>
  <si>
    <t>대명1리</t>
  </si>
  <si>
    <t>SW-N11</t>
  </si>
  <si>
    <t>부적면</t>
  </si>
  <si>
    <t>BJ-N07</t>
  </si>
  <si>
    <t>신풍리</t>
  </si>
  <si>
    <t>BJ-N10</t>
  </si>
  <si>
    <t>연산면</t>
  </si>
  <si>
    <t>YS-N04</t>
  </si>
  <si>
    <t>YS-N07</t>
  </si>
  <si>
    <t>YS-N08</t>
  </si>
  <si>
    <t>장전3리</t>
  </si>
  <si>
    <t>YS-N09</t>
  </si>
  <si>
    <t>YS-N10</t>
  </si>
  <si>
    <t>장전2리</t>
  </si>
  <si>
    <t>YS-N11</t>
  </si>
  <si>
    <t>YS-N13</t>
  </si>
  <si>
    <t>YS-N14</t>
  </si>
  <si>
    <t xml:space="preserve">송정1리 </t>
  </si>
  <si>
    <t>YS-N17</t>
  </si>
  <si>
    <t>YS-N21</t>
  </si>
  <si>
    <t>신양1리</t>
  </si>
  <si>
    <t>YS-N22</t>
  </si>
  <si>
    <t>한전, 임리</t>
  </si>
  <si>
    <t>YS-N23</t>
  </si>
  <si>
    <t>어은2리</t>
  </si>
  <si>
    <t>YS-N24</t>
  </si>
  <si>
    <t>천호리</t>
  </si>
  <si>
    <t>YS-N25</t>
  </si>
  <si>
    <t>어은1리</t>
  </si>
  <si>
    <t>YS-S01</t>
  </si>
  <si>
    <t>벌곡면</t>
  </si>
  <si>
    <t>BG-N02</t>
  </si>
  <si>
    <t>BG-N03</t>
  </si>
  <si>
    <t>BG-K04</t>
  </si>
  <si>
    <t>수락1리</t>
  </si>
  <si>
    <t>BG-K05</t>
  </si>
  <si>
    <t>도산1리</t>
  </si>
  <si>
    <t>BG-K06</t>
  </si>
  <si>
    <t>어곡리</t>
  </si>
  <si>
    <t>BG-N07</t>
  </si>
  <si>
    <t>BG-N08</t>
  </si>
  <si>
    <t>BG-N09</t>
  </si>
  <si>
    <t>BG-N10</t>
  </si>
  <si>
    <t>사정2리</t>
  </si>
  <si>
    <t>BG-N11</t>
  </si>
  <si>
    <t>양촌면</t>
  </si>
  <si>
    <t>YC-K01</t>
  </si>
  <si>
    <t>YC-K02</t>
  </si>
  <si>
    <t>YC-K04</t>
  </si>
  <si>
    <t>YC-K05</t>
  </si>
  <si>
    <t>오산1리</t>
  </si>
  <si>
    <t>YC-N06</t>
  </si>
  <si>
    <t>YC-K07</t>
  </si>
  <si>
    <t>YC-N08</t>
  </si>
  <si>
    <t>YC-N09</t>
  </si>
  <si>
    <t>YC-N10</t>
  </si>
  <si>
    <t>YC-N11</t>
  </si>
  <si>
    <t>YC-N13</t>
  </si>
  <si>
    <t>YC-N14</t>
  </si>
  <si>
    <t>YC-N15</t>
  </si>
  <si>
    <t>YC-N16</t>
  </si>
  <si>
    <t>YC-N17</t>
  </si>
  <si>
    <t>YC-N18</t>
  </si>
  <si>
    <t>임화3리</t>
  </si>
  <si>
    <t>YC-N20</t>
  </si>
  <si>
    <t>가야곡면</t>
  </si>
  <si>
    <t>삼전1리</t>
  </si>
  <si>
    <t>GY-N02</t>
  </si>
  <si>
    <t>함적2리</t>
  </si>
  <si>
    <t>GY-N03</t>
  </si>
  <si>
    <t>목곡2리</t>
  </si>
  <si>
    <t>GY-N04</t>
  </si>
  <si>
    <t>GY-N05</t>
  </si>
  <si>
    <t>GY-N06</t>
  </si>
  <si>
    <t>등2리</t>
  </si>
  <si>
    <t>GY-N07</t>
  </si>
  <si>
    <t>목곡1리</t>
  </si>
  <si>
    <t>GY-N08</t>
  </si>
  <si>
    <t>은진면</t>
  </si>
  <si>
    <t>시묘3리</t>
  </si>
  <si>
    <t>EJ-N01</t>
  </si>
  <si>
    <t>시묘2리</t>
  </si>
  <si>
    <t>EJ-N02</t>
  </si>
  <si>
    <t>시묘4리</t>
  </si>
  <si>
    <t>EJ-N03</t>
  </si>
  <si>
    <t xml:space="preserve">시묘1리 </t>
  </si>
  <si>
    <t>EJ-N04</t>
  </si>
  <si>
    <t>채광2,오산2리</t>
    <phoneticPr fontId="3" type="noConversion"/>
  </si>
  <si>
    <t>마 을 상 수 도</t>
    <phoneticPr fontId="3" type="noConversion"/>
  </si>
  <si>
    <t>소규모 급수시설</t>
    <phoneticPr fontId="3" type="noConversion"/>
  </si>
  <si>
    <t>죽림1리</t>
  </si>
  <si>
    <t>NS-S01</t>
  </si>
  <si>
    <t>노티2리</t>
  </si>
  <si>
    <t>NS-S02</t>
  </si>
  <si>
    <t>가곡1리</t>
  </si>
  <si>
    <t>NS-S03</t>
  </si>
  <si>
    <t>구암리</t>
  </si>
  <si>
    <t>NS-S04</t>
  </si>
  <si>
    <t>장구1리</t>
  </si>
  <si>
    <t>NS-S05</t>
  </si>
  <si>
    <t>NS-S07</t>
  </si>
  <si>
    <t>NS-소08</t>
  </si>
  <si>
    <t>병사1리</t>
  </si>
  <si>
    <t>NS-S09</t>
  </si>
  <si>
    <t>가곡2리</t>
  </si>
  <si>
    <t>NS-S10</t>
  </si>
  <si>
    <t>NS-S11</t>
  </si>
  <si>
    <t>NS-S12</t>
  </si>
  <si>
    <t>NS-S13</t>
  </si>
  <si>
    <t>NS-S14</t>
  </si>
  <si>
    <t>NS-N15</t>
  </si>
  <si>
    <t>화곡리</t>
  </si>
  <si>
    <t>NS-N16</t>
  </si>
  <si>
    <t>신충3리</t>
  </si>
  <si>
    <t>SW-S01</t>
  </si>
  <si>
    <t>SW-S02</t>
  </si>
  <si>
    <t>지경1리</t>
  </si>
  <si>
    <t>SW-S06</t>
  </si>
  <si>
    <t>SW-S08</t>
  </si>
  <si>
    <t>대촌1리</t>
  </si>
  <si>
    <t>SW-S09</t>
  </si>
  <si>
    <t>학당리</t>
  </si>
  <si>
    <t>SW-S10</t>
  </si>
  <si>
    <t>SW-S11</t>
  </si>
  <si>
    <t>SW-S12</t>
  </si>
  <si>
    <t>한천3리</t>
  </si>
  <si>
    <t>SW-S13</t>
  </si>
  <si>
    <t>외성2리</t>
  </si>
  <si>
    <t>BJ-S04</t>
  </si>
  <si>
    <t>덕암2리</t>
  </si>
  <si>
    <t>YS-S02</t>
  </si>
  <si>
    <t>송정1리</t>
  </si>
  <si>
    <t>YS-S03</t>
  </si>
  <si>
    <t>YS-S04</t>
  </si>
  <si>
    <t>백석2리</t>
  </si>
  <si>
    <t>YS-K05</t>
  </si>
  <si>
    <t>사포리</t>
  </si>
  <si>
    <t>YS-N18</t>
  </si>
  <si>
    <t>YS-N19</t>
  </si>
  <si>
    <t>한전2리</t>
  </si>
  <si>
    <t>YS-N20</t>
  </si>
  <si>
    <t>양산2리</t>
  </si>
  <si>
    <t>BG-S01</t>
  </si>
  <si>
    <t>한삼천2리</t>
  </si>
  <si>
    <t>BG-S02</t>
  </si>
  <si>
    <t>BG-S03</t>
  </si>
  <si>
    <t>신양3리</t>
  </si>
  <si>
    <t>BG-S04</t>
  </si>
  <si>
    <t>만목리</t>
  </si>
  <si>
    <t>BG-S05</t>
  </si>
  <si>
    <t>BG-S06</t>
  </si>
  <si>
    <t>조령2리</t>
  </si>
  <si>
    <t>BG-S07</t>
  </si>
  <si>
    <t>검천리</t>
  </si>
  <si>
    <t>BG-S08</t>
  </si>
  <si>
    <t>BG-S09</t>
  </si>
  <si>
    <t>BG-S10</t>
  </si>
  <si>
    <t>사정1리</t>
  </si>
  <si>
    <t>BG-S12</t>
  </si>
  <si>
    <t>BG-S13</t>
  </si>
  <si>
    <t>수락2리</t>
  </si>
  <si>
    <t>BG-S15</t>
  </si>
  <si>
    <t>BG-S16</t>
  </si>
  <si>
    <t>한삼천3리</t>
  </si>
  <si>
    <t>BG-N17</t>
  </si>
  <si>
    <t>양산1리</t>
  </si>
  <si>
    <t>BG-N01</t>
  </si>
  <si>
    <t>인천4리</t>
  </si>
  <si>
    <t>YC-S01</t>
  </si>
  <si>
    <t>채광1리</t>
  </si>
  <si>
    <t>YC-S03</t>
  </si>
  <si>
    <t>반암2리</t>
  </si>
  <si>
    <t>YC-S04</t>
  </si>
  <si>
    <t>YC-S05</t>
  </si>
  <si>
    <t>YC-S06</t>
  </si>
  <si>
    <t>임화2리</t>
  </si>
  <si>
    <t>YC-S07</t>
  </si>
  <si>
    <t xml:space="preserve">양촌2리 </t>
  </si>
  <si>
    <t>YC-N19</t>
  </si>
  <si>
    <t>임화1리</t>
  </si>
  <si>
    <t>YC-N21</t>
  </si>
  <si>
    <t>기야곡면</t>
  </si>
  <si>
    <t>강청2리</t>
  </si>
  <si>
    <t>GY-S01</t>
  </si>
  <si>
    <t>함적1리</t>
  </si>
  <si>
    <t>GY-S02</t>
  </si>
  <si>
    <t>삼전2리</t>
  </si>
  <si>
    <t>GY-S03</t>
  </si>
  <si>
    <t>양촌리</t>
  </si>
  <si>
    <t>GY-S04</t>
  </si>
  <si>
    <t>GY-S05</t>
  </si>
  <si>
    <t>GY-S06</t>
  </si>
  <si>
    <t>GY-S07</t>
  </si>
  <si>
    <t>GY-S08</t>
  </si>
  <si>
    <t>병암1리</t>
  </si>
  <si>
    <t>GY-S09</t>
  </si>
  <si>
    <t>야촌3리</t>
  </si>
  <si>
    <t>GY-S11</t>
  </si>
  <si>
    <t>종연2리</t>
  </si>
  <si>
    <t>GY-S12</t>
  </si>
  <si>
    <t>두월2리</t>
  </si>
  <si>
    <t>GY-S13</t>
  </si>
  <si>
    <t>종연3리</t>
  </si>
  <si>
    <t>GY-S14</t>
  </si>
  <si>
    <t>GY-S15</t>
  </si>
  <si>
    <t>(단위 : 천원)</t>
    <phoneticPr fontId="3" type="noConversion"/>
  </si>
  <si>
    <t>(단위 : 천원 )</t>
    <phoneticPr fontId="3" type="noConversion"/>
  </si>
  <si>
    <t>합계</t>
    <phoneticPr fontId="3" type="noConversion"/>
  </si>
  <si>
    <t>소계</t>
    <phoneticPr fontId="3" type="noConversion"/>
  </si>
  <si>
    <t>(단위 : 백만원)</t>
    <phoneticPr fontId="3" type="noConversion"/>
  </si>
  <si>
    <t>폐공개소</t>
    <phoneticPr fontId="3" type="noConversion"/>
  </si>
  <si>
    <t>(단위 : 천원/개)</t>
    <phoneticPr fontId="3" type="noConversion"/>
  </si>
  <si>
    <t xml:space="preserve">정 수 시 설                          </t>
    <phoneticPr fontId="3" type="noConversion"/>
  </si>
  <si>
    <t>급속여과</t>
    <phoneticPr fontId="3" type="noConversion"/>
  </si>
  <si>
    <t>활성탄여과</t>
    <phoneticPr fontId="3" type="noConversion"/>
  </si>
  <si>
    <t>이온교환</t>
    <phoneticPr fontId="3" type="noConversion"/>
  </si>
  <si>
    <t>소독시설</t>
    <phoneticPr fontId="3" type="noConversion"/>
  </si>
  <si>
    <t>배수시설</t>
    <phoneticPr fontId="3" type="noConversion"/>
  </si>
  <si>
    <t>탱크</t>
    <phoneticPr fontId="3" type="noConversion"/>
  </si>
  <si>
    <t>울타리</t>
    <phoneticPr fontId="3" type="noConversion"/>
  </si>
  <si>
    <t>합계</t>
    <phoneticPr fontId="3" type="noConversion"/>
  </si>
  <si>
    <t>소규모수도시설 개량사업비</t>
    <phoneticPr fontId="3" type="noConversion"/>
  </si>
  <si>
    <t>관로시설 공사비</t>
    <phoneticPr fontId="3" type="noConversion"/>
  </si>
  <si>
    <t>관경</t>
    <phoneticPr fontId="3" type="noConversion"/>
  </si>
  <si>
    <t>토사</t>
    <phoneticPr fontId="3" type="noConversion"/>
  </si>
  <si>
    <t>포장</t>
    <phoneticPr fontId="3" type="noConversion"/>
  </si>
  <si>
    <t>비고</t>
    <phoneticPr fontId="3" type="noConversion"/>
  </si>
  <si>
    <t>비  고</t>
    <phoneticPr fontId="3" type="noConversion"/>
  </si>
  <si>
    <t xml:space="preserve">토피 1m 기준
PE 관종 기준
도․송수관로 : 토사 적용
급․배수관로 : 포장 적용
50톤/일 미만 : 50mm 관경 적용
50톤/일 이상 : 75mm 관경 적용
</t>
    <phoneticPr fontId="3" type="noConversion"/>
  </si>
  <si>
    <t>누수탐사비용</t>
    <phoneticPr fontId="3" type="noConversion"/>
  </si>
  <si>
    <t>급수전수</t>
    <phoneticPr fontId="3" type="noConversion"/>
  </si>
  <si>
    <t>용역비</t>
    <phoneticPr fontId="3" type="noConversion"/>
  </si>
  <si>
    <t>(천원/km)</t>
    <phoneticPr fontId="3" type="noConversion"/>
  </si>
  <si>
    <t>(천원/2km)</t>
    <phoneticPr fontId="3" type="noConversion"/>
  </si>
  <si>
    <t>(천원/3km)</t>
    <phoneticPr fontId="3" type="noConversion"/>
  </si>
  <si>
    <t>km당</t>
    <phoneticPr fontId="3" type="noConversion"/>
  </si>
  <si>
    <t>-</t>
    <phoneticPr fontId="3" type="noConversion"/>
  </si>
  <si>
    <t>구분</t>
    <phoneticPr fontId="3" type="noConversion"/>
  </si>
  <si>
    <t>소규모급수시시설</t>
    <phoneticPr fontId="3" type="noConversion"/>
  </si>
  <si>
    <t>설비</t>
    <phoneticPr fontId="3" type="noConversion"/>
  </si>
  <si>
    <t>금액</t>
    <phoneticPr fontId="3" type="noConversion"/>
  </si>
  <si>
    <t>중앙감시</t>
    <phoneticPr fontId="3" type="noConversion"/>
  </si>
  <si>
    <t>현장감시</t>
    <phoneticPr fontId="3" type="noConversion"/>
  </si>
  <si>
    <t>계</t>
    <phoneticPr fontId="3" type="noConversion"/>
  </si>
  <si>
    <t>자동수위조절</t>
    <phoneticPr fontId="3" type="noConversion"/>
  </si>
  <si>
    <t>현장감시설비</t>
    <phoneticPr fontId="3" type="noConversion"/>
  </si>
  <si>
    <t>100개소 기준</t>
    <phoneticPr fontId="3" type="noConversion"/>
  </si>
  <si>
    <t>중앙감시설비</t>
    <phoneticPr fontId="3" type="noConversion"/>
  </si>
  <si>
    <t>번호</t>
    <phoneticPr fontId="3" type="noConversion"/>
  </si>
  <si>
    <t>시설용량</t>
    <phoneticPr fontId="3" type="noConversion"/>
  </si>
  <si>
    <t>설치년도</t>
    <phoneticPr fontId="3" type="noConversion"/>
  </si>
  <si>
    <t>취수</t>
    <phoneticPr fontId="3" type="noConversion"/>
  </si>
  <si>
    <t>정수</t>
    <phoneticPr fontId="3" type="noConversion"/>
  </si>
  <si>
    <t>관로</t>
    <phoneticPr fontId="3" type="noConversion"/>
  </si>
  <si>
    <t>소독</t>
    <phoneticPr fontId="3" type="noConversion"/>
  </si>
  <si>
    <t>최종 개량년도</t>
    <phoneticPr fontId="3" type="noConversion"/>
  </si>
  <si>
    <t>수질초과</t>
    <phoneticPr fontId="3" type="noConversion"/>
  </si>
  <si>
    <t>개량타입</t>
    <phoneticPr fontId="3" type="noConversion"/>
  </si>
  <si>
    <t>정수시설</t>
    <phoneticPr fontId="3" type="noConversion"/>
  </si>
  <si>
    <t>통합관리</t>
    <phoneticPr fontId="3" type="noConversion"/>
  </si>
  <si>
    <t>마을</t>
    <phoneticPr fontId="3" type="noConversion"/>
  </si>
  <si>
    <t>소재지</t>
    <phoneticPr fontId="3" type="noConversion"/>
  </si>
  <si>
    <t>연무읍</t>
    <phoneticPr fontId="3" type="noConversion"/>
  </si>
  <si>
    <t>광석면</t>
    <phoneticPr fontId="3" type="noConversion"/>
  </si>
  <si>
    <t>광석면</t>
    <phoneticPr fontId="3" type="noConversion"/>
  </si>
  <si>
    <t>노성면</t>
    <phoneticPr fontId="3" type="noConversion"/>
  </si>
  <si>
    <t>채광2,오산2</t>
    <phoneticPr fontId="3" type="noConversion"/>
  </si>
  <si>
    <t>소계</t>
    <phoneticPr fontId="3" type="noConversion"/>
  </si>
  <si>
    <t>소규모</t>
    <phoneticPr fontId="3" type="noConversion"/>
  </si>
  <si>
    <t>NS-S08</t>
    <phoneticPr fontId="3" type="noConversion"/>
  </si>
  <si>
    <t>신풍1리</t>
    <phoneticPr fontId="3" type="noConversion"/>
  </si>
  <si>
    <t>관로연장</t>
    <phoneticPr fontId="3" type="noConversion"/>
  </si>
  <si>
    <t>폐쇄연도</t>
    <phoneticPr fontId="3" type="noConversion"/>
  </si>
  <si>
    <t>D타입 개량 계획</t>
    <phoneticPr fontId="3" type="noConversion"/>
  </si>
  <si>
    <t>E</t>
    <phoneticPr fontId="3" type="noConversion"/>
  </si>
  <si>
    <t>D</t>
    <phoneticPr fontId="3" type="noConversion"/>
  </si>
  <si>
    <t>가구수</t>
    <phoneticPr fontId="3" type="noConversion"/>
  </si>
  <si>
    <t>도송</t>
    <phoneticPr fontId="3" type="noConversion"/>
  </si>
  <si>
    <t>급배</t>
    <phoneticPr fontId="3" type="noConversion"/>
  </si>
  <si>
    <t>개량사업비(백만원)</t>
    <phoneticPr fontId="3" type="noConversion"/>
  </si>
  <si>
    <t>단계</t>
    <phoneticPr fontId="3" type="noConversion"/>
  </si>
  <si>
    <t>단계별 공사비</t>
    <phoneticPr fontId="3" type="noConversion"/>
  </si>
  <si>
    <t>누수탐사</t>
    <phoneticPr fontId="3" type="noConversion"/>
  </si>
  <si>
    <t>통합관리시스템 공사비(개소당 천원)</t>
    <phoneticPr fontId="3" type="noConversion"/>
  </si>
  <si>
    <t>개량 단계</t>
    <phoneticPr fontId="3" type="noConversion"/>
  </si>
  <si>
    <t>시설개량</t>
    <phoneticPr fontId="3" type="noConversion"/>
  </si>
  <si>
    <t>통합감시</t>
    <phoneticPr fontId="3" type="noConversion"/>
  </si>
  <si>
    <t>현장감시</t>
    <phoneticPr fontId="3" type="noConversion"/>
  </si>
  <si>
    <t>폐공</t>
    <phoneticPr fontId="3" type="noConversion"/>
  </si>
  <si>
    <t>합계</t>
    <phoneticPr fontId="3" type="noConversion"/>
  </si>
  <si>
    <t>소규모 개략사업비</t>
    <phoneticPr fontId="3" type="noConversion"/>
  </si>
  <si>
    <t>마을상수도(소규모급수시설) 리스트</t>
    <phoneticPr fontId="3" type="noConversion"/>
  </si>
  <si>
    <t>유지 수선비</t>
    <phoneticPr fontId="3" type="noConversion"/>
  </si>
  <si>
    <t>중부1</t>
  </si>
  <si>
    <t>합류식</t>
  </si>
  <si>
    <t>중부2</t>
  </si>
  <si>
    <t>중부3</t>
  </si>
  <si>
    <t>중부4</t>
  </si>
  <si>
    <t>중부5</t>
  </si>
  <si>
    <t>중부6</t>
  </si>
  <si>
    <t>중부7</t>
  </si>
  <si>
    <t>미처리</t>
  </si>
  <si>
    <t>중부8</t>
  </si>
  <si>
    <t>분류식</t>
  </si>
  <si>
    <t>소계</t>
  </si>
  <si>
    <t>양산대학</t>
  </si>
  <si>
    <t>명곡</t>
  </si>
  <si>
    <t>택지개발1-1</t>
  </si>
  <si>
    <t>택지개발1-2</t>
  </si>
  <si>
    <t>택지개발1-3</t>
  </si>
  <si>
    <t>북정1</t>
  </si>
  <si>
    <t>북정2</t>
  </si>
  <si>
    <t>북정3</t>
  </si>
  <si>
    <t>북정4</t>
  </si>
  <si>
    <t>북정5</t>
  </si>
  <si>
    <t>북정6</t>
  </si>
  <si>
    <t>종합경기장</t>
  </si>
  <si>
    <t>신기지구</t>
  </si>
  <si>
    <t>산막산단</t>
  </si>
  <si>
    <t>교리</t>
  </si>
  <si>
    <t>유산1</t>
  </si>
  <si>
    <t>유산2</t>
  </si>
  <si>
    <t>어곡지구</t>
  </si>
  <si>
    <t>다방1</t>
  </si>
  <si>
    <t>다방2</t>
  </si>
  <si>
    <t>다방3</t>
  </si>
  <si>
    <t>다방4</t>
  </si>
  <si>
    <t>다방5</t>
  </si>
  <si>
    <t>호포</t>
  </si>
  <si>
    <t>가산첨단단지</t>
  </si>
  <si>
    <t>택지개발2-1</t>
  </si>
  <si>
    <t>내송</t>
  </si>
  <si>
    <t>사송지구</t>
  </si>
  <si>
    <t>사송</t>
  </si>
  <si>
    <t>소토1</t>
  </si>
  <si>
    <t>소토2</t>
  </si>
  <si>
    <t>소토3</t>
  </si>
  <si>
    <t>소토4</t>
  </si>
  <si>
    <t>소토5</t>
  </si>
  <si>
    <t>소토6</t>
  </si>
  <si>
    <t>대석주공</t>
  </si>
  <si>
    <t>산막이주단지</t>
  </si>
  <si>
    <t>석계1</t>
  </si>
  <si>
    <t>석계2</t>
  </si>
  <si>
    <t>석계3</t>
  </si>
  <si>
    <t>석계4</t>
  </si>
  <si>
    <t>석계5</t>
  </si>
  <si>
    <t>석계6</t>
  </si>
  <si>
    <t>석계7</t>
  </si>
  <si>
    <t>석계8</t>
  </si>
  <si>
    <t>상삼1</t>
  </si>
  <si>
    <t>상삼2</t>
  </si>
  <si>
    <t>상삼3</t>
  </si>
  <si>
    <t>상삼4</t>
  </si>
  <si>
    <t>상삼5</t>
  </si>
  <si>
    <t>물금1</t>
  </si>
  <si>
    <t>물금2</t>
  </si>
  <si>
    <t>물금3</t>
  </si>
  <si>
    <t>물금4</t>
  </si>
  <si>
    <t>물금5</t>
  </si>
  <si>
    <t>물금6</t>
  </si>
  <si>
    <t>물류센터</t>
  </si>
  <si>
    <t>남평</t>
  </si>
  <si>
    <t>택지개발2-2</t>
  </si>
  <si>
    <t>택지개발3</t>
  </si>
  <si>
    <t>지산1</t>
  </si>
  <si>
    <t>지산2</t>
  </si>
  <si>
    <t>지산3</t>
  </si>
  <si>
    <t>지산4</t>
  </si>
  <si>
    <t>통도사</t>
  </si>
  <si>
    <t>신평1</t>
  </si>
  <si>
    <t>신평2</t>
  </si>
  <si>
    <t>신평3</t>
  </si>
  <si>
    <t>신평4</t>
  </si>
  <si>
    <t>신평5</t>
  </si>
  <si>
    <t>신평6</t>
  </si>
  <si>
    <t>신평7</t>
  </si>
  <si>
    <t>통도환타지아</t>
  </si>
  <si>
    <t>용연1</t>
  </si>
  <si>
    <t>용연2</t>
  </si>
  <si>
    <t>용연3</t>
  </si>
  <si>
    <t>용연4</t>
  </si>
  <si>
    <t>용연5</t>
  </si>
  <si>
    <t>용연6</t>
  </si>
  <si>
    <t>용연7</t>
  </si>
  <si>
    <t>용연8</t>
  </si>
  <si>
    <t>용연9</t>
  </si>
  <si>
    <t>용연10</t>
  </si>
  <si>
    <t>용연11</t>
  </si>
  <si>
    <t>용연12</t>
  </si>
  <si>
    <t>용연13</t>
  </si>
  <si>
    <t>용연14</t>
  </si>
  <si>
    <t>용연단지</t>
  </si>
  <si>
    <t>합류식</t>
    <phoneticPr fontId="3" type="noConversion"/>
  </si>
  <si>
    <t>분류식</t>
    <phoneticPr fontId="3" type="noConversion"/>
  </si>
  <si>
    <t>미처리</t>
    <phoneticPr fontId="3" type="noConversion"/>
  </si>
</sst>
</file>

<file path=xl/styles.xml><?xml version="1.0" encoding="utf-8"?>
<styleSheet xmlns="http://schemas.openxmlformats.org/spreadsheetml/2006/main">
  <numFmts count="8">
    <numFmt numFmtId="41" formatCode="_-* #,##0_-;\-* #,##0_-;_-* &quot;-&quot;_-;_-@_-"/>
    <numFmt numFmtId="176" formatCode="#,##0_ "/>
    <numFmt numFmtId="177" formatCode="#,##0_);[Red]\(#,##0\)"/>
    <numFmt numFmtId="178" formatCode="0_);[Red]\(0\)"/>
    <numFmt numFmtId="179" formatCode="0&quot;개소&quot;"/>
    <numFmt numFmtId="180" formatCode="&quot;1개소당&quot;00&quot;천원&quot;"/>
    <numFmt numFmtId="181" formatCode="@&quot;타입&quot;"/>
    <numFmt numFmtId="182" formatCode="_-* #,##0.0_-;\-* #,##0.0_-;_-* &quot;-&quot;_-;_-@_-"/>
  </numFmts>
  <fonts count="26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indexed="8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indexed="8"/>
      <name val="돋움"/>
      <family val="3"/>
      <charset val="129"/>
    </font>
    <font>
      <sz val="11"/>
      <name val="돋움"/>
      <family val="3"/>
      <charset val="129"/>
    </font>
    <font>
      <sz val="10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1"/>
      <name val="한양신명조"/>
      <family val="3"/>
      <charset val="129"/>
    </font>
    <font>
      <shadow/>
      <sz val="12"/>
      <color rgb="FF000000"/>
      <name val="한양신명조"/>
      <family val="3"/>
      <charset val="129"/>
    </font>
    <font>
      <sz val="1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돋움"/>
      <family val="3"/>
      <charset val="129"/>
    </font>
    <font>
      <sz val="9"/>
      <color theme="1"/>
      <name val="돋움"/>
      <family val="3"/>
      <charset val="129"/>
    </font>
    <font>
      <b/>
      <sz val="14"/>
      <color theme="1"/>
      <name val="돋움"/>
      <family val="3"/>
      <charset val="129"/>
    </font>
    <font>
      <sz val="14"/>
      <color theme="1"/>
      <name val="돋움"/>
      <family val="3"/>
      <charset val="129"/>
    </font>
    <font>
      <sz val="10"/>
      <color theme="1"/>
      <name val="돋움"/>
      <family val="3"/>
      <charset val="129"/>
    </font>
    <font>
      <b/>
      <sz val="12"/>
      <color theme="1"/>
      <name val="돋움"/>
      <family val="3"/>
      <charset val="129"/>
    </font>
    <font>
      <shadow/>
      <sz val="9"/>
      <color rgb="FF000000"/>
      <name val="돋움"/>
      <family val="3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11"/>
      <color rgb="FF000000"/>
      <name val="#신명조"/>
      <family val="3"/>
      <charset val="129"/>
    </font>
    <font>
      <sz val="11"/>
      <color rgb="FF000000"/>
      <name val="한양신명조"/>
      <family val="3"/>
      <charset val="129"/>
    </font>
    <font>
      <sz val="10"/>
      <color rgb="FF000000"/>
      <name val="한양신명조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D6D6D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</borders>
  <cellStyleXfs count="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/>
    <xf numFmtId="0" fontId="6" fillId="0" borderId="0">
      <alignment vertical="center"/>
    </xf>
  </cellStyleXfs>
  <cellXfs count="154">
    <xf numFmtId="0" fontId="0" fillId="0" borderId="0" xfId="0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49" fontId="5" fillId="0" borderId="4" xfId="2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 shrinkToFit="1"/>
    </xf>
    <xf numFmtId="49" fontId="5" fillId="0" borderId="4" xfId="2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shrinkToFit="1"/>
    </xf>
    <xf numFmtId="177" fontId="5" fillId="0" borderId="4" xfId="0" applyNumberFormat="1" applyFont="1" applyFill="1" applyBorder="1" applyAlignment="1">
      <alignment horizontal="center" vertical="center"/>
    </xf>
    <xf numFmtId="0" fontId="5" fillId="0" borderId="4" xfId="4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0" fillId="0" borderId="4" xfId="0" applyBorder="1" applyAlignment="1">
      <alignment horizontal="center" vertical="center"/>
    </xf>
    <xf numFmtId="41" fontId="0" fillId="0" borderId="4" xfId="0" applyNumberFormat="1" applyBorder="1">
      <alignment vertical="center"/>
    </xf>
    <xf numFmtId="41" fontId="0" fillId="0" borderId="4" xfId="1" applyFont="1" applyBorder="1" applyAlignment="1">
      <alignment horizontal="center" vertical="center"/>
    </xf>
    <xf numFmtId="41" fontId="0" fillId="0" borderId="4" xfId="0" applyNumberFormat="1" applyFill="1" applyBorder="1">
      <alignment vertical="center"/>
    </xf>
    <xf numFmtId="49" fontId="0" fillId="0" borderId="4" xfId="0" applyNumberFormat="1" applyFill="1" applyBorder="1" applyAlignment="1">
      <alignment horizontal="center" vertical="center"/>
    </xf>
    <xf numFmtId="41" fontId="0" fillId="0" borderId="4" xfId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178" fontId="9" fillId="0" borderId="11" xfId="0" applyNumberFormat="1" applyFont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179" fontId="9" fillId="2" borderId="11" xfId="0" applyNumberFormat="1" applyFont="1" applyFill="1" applyBorder="1" applyAlignment="1">
      <alignment horizontal="center" vertical="center" wrapText="1"/>
    </xf>
    <xf numFmtId="179" fontId="9" fillId="0" borderId="10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41" fontId="0" fillId="4" borderId="4" xfId="1" applyFont="1" applyFill="1" applyBorder="1" applyAlignment="1">
      <alignment horizontal="center" vertical="center"/>
    </xf>
    <xf numFmtId="41" fontId="0" fillId="0" borderId="4" xfId="0" applyNumberFormat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41" fontId="0" fillId="3" borderId="4" xfId="1" applyFont="1" applyFill="1" applyBorder="1" applyAlignment="1">
      <alignment horizontal="center" vertical="center"/>
    </xf>
    <xf numFmtId="41" fontId="12" fillId="3" borderId="4" xfId="0" applyNumberFormat="1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4" xfId="0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>
      <alignment vertical="center"/>
    </xf>
    <xf numFmtId="0" fontId="0" fillId="0" borderId="4" xfId="0" applyBorder="1">
      <alignment vertical="center"/>
    </xf>
    <xf numFmtId="41" fontId="0" fillId="3" borderId="4" xfId="1" applyFont="1" applyFill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right" vertical="center"/>
    </xf>
    <xf numFmtId="0" fontId="14" fillId="0" borderId="0" xfId="0" applyFont="1">
      <alignment vertical="center"/>
    </xf>
    <xf numFmtId="41" fontId="14" fillId="0" borderId="4" xfId="1" applyFont="1" applyBorder="1">
      <alignment vertical="center"/>
    </xf>
    <xf numFmtId="0" fontId="14" fillId="0" borderId="4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41" fontId="14" fillId="0" borderId="0" xfId="1" applyFont="1" applyBorder="1">
      <alignment vertical="center"/>
    </xf>
    <xf numFmtId="41" fontId="14" fillId="0" borderId="0" xfId="1" applyFont="1">
      <alignment vertical="center"/>
    </xf>
    <xf numFmtId="0" fontId="14" fillId="5" borderId="4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178" fontId="14" fillId="0" borderId="4" xfId="0" applyNumberFormat="1" applyFont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181" fontId="14" fillId="0" borderId="4" xfId="0" applyNumberFormat="1" applyFont="1" applyBorder="1" applyAlignment="1">
      <alignment horizontal="center" vertical="center"/>
    </xf>
    <xf numFmtId="176" fontId="14" fillId="0" borderId="4" xfId="0" applyNumberFormat="1" applyFont="1" applyBorder="1" applyAlignment="1">
      <alignment horizontal="center" vertical="center"/>
    </xf>
    <xf numFmtId="176" fontId="14" fillId="0" borderId="3" xfId="0" applyNumberFormat="1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 wrapText="1"/>
    </xf>
    <xf numFmtId="0" fontId="24" fillId="0" borderId="35" xfId="0" applyFont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3" fontId="0" fillId="0" borderId="0" xfId="0" applyNumberFormat="1">
      <alignment vertical="center"/>
    </xf>
    <xf numFmtId="3" fontId="25" fillId="0" borderId="11" xfId="0" applyNumberFormat="1" applyFont="1" applyBorder="1" applyAlignment="1">
      <alignment horizontal="center" vertical="center" wrapText="1"/>
    </xf>
    <xf numFmtId="3" fontId="23" fillId="0" borderId="11" xfId="0" applyNumberFormat="1" applyFont="1" applyBorder="1" applyAlignment="1">
      <alignment horizontal="center" vertical="center" wrapText="1"/>
    </xf>
    <xf numFmtId="3" fontId="23" fillId="0" borderId="17" xfId="0" applyNumberFormat="1" applyFont="1" applyBorder="1" applyAlignment="1">
      <alignment horizontal="center" vertical="center" wrapText="1"/>
    </xf>
    <xf numFmtId="3" fontId="23" fillId="0" borderId="39" xfId="0" applyNumberFormat="1" applyFont="1" applyBorder="1" applyAlignment="1">
      <alignment horizontal="center" vertical="center" wrapText="1"/>
    </xf>
    <xf numFmtId="3" fontId="23" fillId="0" borderId="8" xfId="0" applyNumberFormat="1" applyFont="1" applyBorder="1" applyAlignment="1">
      <alignment horizontal="center" vertical="center" wrapText="1"/>
    </xf>
    <xf numFmtId="3" fontId="23" fillId="0" borderId="40" xfId="0" applyNumberFormat="1" applyFont="1" applyBorder="1" applyAlignment="1">
      <alignment horizontal="center" vertical="center" wrapText="1"/>
    </xf>
    <xf numFmtId="41" fontId="14" fillId="0" borderId="4" xfId="1" applyFont="1" applyBorder="1" applyAlignment="1">
      <alignment horizontal="center" vertical="center"/>
    </xf>
    <xf numFmtId="182" fontId="14" fillId="0" borderId="4" xfId="1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80" fontId="0" fillId="0" borderId="0" xfId="0" applyNumberFormat="1" applyBorder="1" applyAlignment="1">
      <alignment horizontal="center" vertical="center"/>
    </xf>
    <xf numFmtId="180" fontId="0" fillId="0" borderId="0" xfId="0" applyNumberFormat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5" borderId="4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5" borderId="21" xfId="0" applyFont="1" applyFill="1" applyBorder="1" applyAlignment="1">
      <alignment horizontal="center" vertical="center"/>
    </xf>
    <xf numFmtId="0" fontId="14" fillId="5" borderId="23" xfId="0" applyFont="1" applyFill="1" applyBorder="1" applyAlignment="1">
      <alignment horizontal="center" vertical="center"/>
    </xf>
    <xf numFmtId="0" fontId="14" fillId="5" borderId="22" xfId="0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5" borderId="24" xfId="0" applyFont="1" applyFill="1" applyBorder="1" applyAlignment="1">
      <alignment horizontal="center" vertical="center" wrapText="1"/>
    </xf>
    <xf numFmtId="0" fontId="14" fillId="5" borderId="25" xfId="0" applyFont="1" applyFill="1" applyBorder="1" applyAlignment="1">
      <alignment horizontal="center" vertical="center" wrapText="1"/>
    </xf>
    <xf numFmtId="0" fontId="14" fillId="5" borderId="26" xfId="0" applyFont="1" applyFill="1" applyBorder="1" applyAlignment="1">
      <alignment horizontal="center" vertical="center" wrapText="1"/>
    </xf>
    <xf numFmtId="0" fontId="14" fillId="5" borderId="27" xfId="0" applyFont="1" applyFill="1" applyBorder="1" applyAlignment="1">
      <alignment horizontal="center" vertical="center" wrapText="1"/>
    </xf>
    <xf numFmtId="0" fontId="14" fillId="5" borderId="28" xfId="0" applyFont="1" applyFill="1" applyBorder="1" applyAlignment="1">
      <alignment horizontal="center" vertical="center" wrapText="1"/>
    </xf>
    <xf numFmtId="0" fontId="14" fillId="5" borderId="29" xfId="0" applyFont="1" applyFill="1" applyBorder="1" applyAlignment="1">
      <alignment horizontal="center" vertical="center" wrapText="1"/>
    </xf>
    <xf numFmtId="41" fontId="14" fillId="0" borderId="30" xfId="1" applyFont="1" applyBorder="1" applyAlignment="1">
      <alignment horizontal="left" vertical="center" wrapText="1"/>
    </xf>
    <xf numFmtId="41" fontId="14" fillId="0" borderId="25" xfId="1" applyFont="1" applyBorder="1" applyAlignment="1">
      <alignment horizontal="left" vertical="center"/>
    </xf>
    <xf numFmtId="41" fontId="14" fillId="0" borderId="26" xfId="1" applyFont="1" applyBorder="1" applyAlignment="1">
      <alignment horizontal="left" vertical="center"/>
    </xf>
    <xf numFmtId="41" fontId="14" fillId="0" borderId="5" xfId="1" applyFont="1" applyBorder="1" applyAlignment="1">
      <alignment horizontal="left" vertical="center"/>
    </xf>
    <xf numFmtId="41" fontId="14" fillId="0" borderId="0" xfId="1" applyFont="1" applyBorder="1" applyAlignment="1">
      <alignment horizontal="left" vertical="center"/>
    </xf>
    <xf numFmtId="41" fontId="14" fillId="0" borderId="20" xfId="1" applyFont="1" applyBorder="1" applyAlignment="1">
      <alignment horizontal="left" vertical="center"/>
    </xf>
    <xf numFmtId="41" fontId="14" fillId="0" borderId="31" xfId="1" applyFont="1" applyBorder="1" applyAlignment="1">
      <alignment horizontal="left" vertical="center"/>
    </xf>
    <xf numFmtId="41" fontId="14" fillId="0" borderId="28" xfId="1" applyFont="1" applyBorder="1" applyAlignment="1">
      <alignment horizontal="left" vertical="center"/>
    </xf>
    <xf numFmtId="41" fontId="14" fillId="0" borderId="29" xfId="1" applyFont="1" applyBorder="1" applyAlignment="1">
      <alignment horizontal="left" vertical="center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24" fillId="0" borderId="37" xfId="0" applyFont="1" applyBorder="1" applyAlignment="1">
      <alignment horizontal="center" vertical="center" wrapText="1"/>
    </xf>
    <xf numFmtId="0" fontId="24" fillId="0" borderId="38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</cellXfs>
  <cellStyles count="5">
    <cellStyle name="쉼표 [0]" xfId="1" builtinId="6"/>
    <cellStyle name="쉼표 [0] 3" xfId="3"/>
    <cellStyle name="표준" xfId="0" builtinId="0"/>
    <cellStyle name="표준_100806_소규모수도시설_현황양식" xfId="4"/>
    <cellStyle name="표준_1-1.일반현황_마을상수도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.%20&#51089;&#50629;&#48169;/2014&#45380;/&#45436;&#49328;&#49884;%20&#49688;&#46020;&#51221;&#48708;&#44592;&#48376;&#44228;&#54925;%20&#48143;%20&#47932;%20&#49688;&#50836;&#44288;&#47532;(&#48320;&#44221;)%20&#50857;&#50669;/02.%20&#51089;&#50629;&#48169;/10.%20&#47560;&#51012;&#49345;&#49688;&#46020;(&#49548;&#44508;&#47784;&#44553;&#49688;&#49884;&#49444;)%20&#51221;&#47532;/&#47560;&#51012;&#49345;&#49688;&#46020;(&#49548;&#44508;&#47784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.%20&#51089;&#50629;&#48169;/2014&#45380;/&#45436;&#49328;&#49884;%20&#49688;&#46020;&#51221;&#48708;&#44592;&#48376;&#44228;&#54925;%20&#48143;%20&#47932;%20&#49688;&#50836;&#44288;&#47532;(&#48320;&#44221;)%20&#50857;&#50669;/02.%20&#51089;&#50629;&#48169;/10.%20&#47560;&#51012;&#49345;&#49688;&#46020;(&#49548;&#44508;&#47784;&#44553;&#49688;&#49884;&#49444;)%20&#51221;&#47532;/&#53685;&#54633;%20DB/&#44228;&#49549;%20&#44288;&#47532;%20&#45824;&#51109;-2011.02.%2027%20&#47560;&#51012;&#49345;&#49688;&#46020;,%20&#49548;&#44508;&#47784;&#44553;&#49688;&#49884;&#49444;%20&#54788;&#548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논산시 마을상수도"/>
      <sheetName val="논산시 마을상수도 (2)"/>
    </sheetNames>
    <sheetDataSet>
      <sheetData sheetId="0">
        <row r="5">
          <cell r="E5" t="str">
            <v>YM-K02</v>
          </cell>
          <cell r="F5" t="str">
            <v>지하수</v>
          </cell>
          <cell r="G5">
            <v>1978</v>
          </cell>
          <cell r="H5">
            <v>35</v>
          </cell>
          <cell r="I5">
            <v>105</v>
          </cell>
          <cell r="J5">
            <v>60</v>
          </cell>
          <cell r="K5">
            <v>30</v>
          </cell>
        </row>
        <row r="6">
          <cell r="E6" t="str">
            <v>YM-N04</v>
          </cell>
          <cell r="F6" t="str">
            <v>지하수</v>
          </cell>
          <cell r="G6">
            <v>2002</v>
          </cell>
          <cell r="H6">
            <v>77</v>
          </cell>
          <cell r="I6">
            <v>231</v>
          </cell>
          <cell r="J6">
            <v>120</v>
          </cell>
          <cell r="K6">
            <v>30</v>
          </cell>
        </row>
        <row r="7">
          <cell r="E7" t="str">
            <v>YM-N08</v>
          </cell>
          <cell r="F7" t="str">
            <v>지하수</v>
          </cell>
          <cell r="G7">
            <v>2005</v>
          </cell>
          <cell r="H7">
            <v>53</v>
          </cell>
          <cell r="I7">
            <v>240</v>
          </cell>
          <cell r="J7">
            <v>120</v>
          </cell>
          <cell r="K7">
            <v>20</v>
          </cell>
        </row>
        <row r="9">
          <cell r="E9" t="str">
            <v>GS-K02</v>
          </cell>
          <cell r="F9" t="str">
            <v>지하수</v>
          </cell>
          <cell r="G9">
            <v>1995</v>
          </cell>
          <cell r="H9">
            <v>50</v>
          </cell>
          <cell r="I9">
            <v>150</v>
          </cell>
          <cell r="J9">
            <v>80</v>
          </cell>
          <cell r="K9">
            <v>30</v>
          </cell>
        </row>
        <row r="10">
          <cell r="E10" t="str">
            <v>GS-N04</v>
          </cell>
          <cell r="F10" t="str">
            <v>지하수</v>
          </cell>
          <cell r="G10">
            <v>1999</v>
          </cell>
          <cell r="H10">
            <v>40</v>
          </cell>
          <cell r="I10">
            <v>128</v>
          </cell>
          <cell r="J10">
            <v>80</v>
          </cell>
          <cell r="K10">
            <v>30</v>
          </cell>
        </row>
        <row r="11">
          <cell r="E11" t="str">
            <v>GS-N05</v>
          </cell>
          <cell r="F11" t="str">
            <v>지하수</v>
          </cell>
          <cell r="G11">
            <v>2000</v>
          </cell>
          <cell r="H11">
            <v>34</v>
          </cell>
          <cell r="I11">
            <v>136</v>
          </cell>
          <cell r="J11">
            <v>70</v>
          </cell>
          <cell r="K11">
            <v>30</v>
          </cell>
        </row>
        <row r="12">
          <cell r="E12" t="str">
            <v>GS-N08</v>
          </cell>
          <cell r="F12" t="str">
            <v>지하수</v>
          </cell>
          <cell r="G12">
            <v>2003</v>
          </cell>
          <cell r="H12">
            <v>59</v>
          </cell>
          <cell r="I12">
            <v>150</v>
          </cell>
          <cell r="J12">
            <v>80</v>
          </cell>
          <cell r="K12">
            <v>30</v>
          </cell>
        </row>
        <row r="13">
          <cell r="E13" t="str">
            <v>GS-N09</v>
          </cell>
          <cell r="F13" t="str">
            <v>지하수</v>
          </cell>
          <cell r="G13">
            <v>2005</v>
          </cell>
          <cell r="H13">
            <v>58</v>
          </cell>
          <cell r="I13">
            <v>232</v>
          </cell>
          <cell r="J13">
            <v>120</v>
          </cell>
          <cell r="K13">
            <v>40</v>
          </cell>
        </row>
        <row r="14">
          <cell r="E14" t="str">
            <v>GS-N11</v>
          </cell>
          <cell r="F14" t="str">
            <v>지하수</v>
          </cell>
          <cell r="G14">
            <v>2006</v>
          </cell>
          <cell r="H14">
            <v>44</v>
          </cell>
          <cell r="I14">
            <v>108</v>
          </cell>
          <cell r="J14">
            <v>60</v>
          </cell>
          <cell r="K14">
            <v>25</v>
          </cell>
        </row>
        <row r="15">
          <cell r="E15" t="str">
            <v>GS-N12</v>
          </cell>
          <cell r="F15" t="str">
            <v>지하수</v>
          </cell>
          <cell r="G15">
            <v>2007</v>
          </cell>
          <cell r="H15">
            <v>37</v>
          </cell>
          <cell r="I15">
            <v>148</v>
          </cell>
          <cell r="J15">
            <v>80</v>
          </cell>
          <cell r="K15">
            <v>30</v>
          </cell>
        </row>
        <row r="16">
          <cell r="E16" t="str">
            <v>GS-N14</v>
          </cell>
          <cell r="F16" t="str">
            <v>지하수</v>
          </cell>
          <cell r="G16">
            <v>2008</v>
          </cell>
          <cell r="H16">
            <v>73</v>
          </cell>
          <cell r="I16">
            <v>250</v>
          </cell>
          <cell r="J16">
            <v>130</v>
          </cell>
          <cell r="K16">
            <v>30</v>
          </cell>
        </row>
        <row r="17">
          <cell r="E17" t="str">
            <v>GS-S02</v>
          </cell>
          <cell r="F17" t="str">
            <v>지하수</v>
          </cell>
          <cell r="G17">
            <v>1995</v>
          </cell>
          <cell r="H17">
            <v>52</v>
          </cell>
          <cell r="I17">
            <v>134</v>
          </cell>
          <cell r="J17">
            <v>70</v>
          </cell>
          <cell r="K17">
            <v>30</v>
          </cell>
        </row>
        <row r="19">
          <cell r="E19" t="str">
            <v>NS-N01</v>
          </cell>
          <cell r="F19" t="str">
            <v>지하수</v>
          </cell>
          <cell r="G19">
            <v>2000</v>
          </cell>
          <cell r="H19">
            <v>76</v>
          </cell>
          <cell r="I19">
            <v>266</v>
          </cell>
          <cell r="J19">
            <v>140</v>
          </cell>
          <cell r="K19">
            <v>60</v>
          </cell>
        </row>
        <row r="20">
          <cell r="E20" t="str">
            <v>NS-N02</v>
          </cell>
          <cell r="F20" t="str">
            <v>지하수</v>
          </cell>
          <cell r="G20">
            <v>2001</v>
          </cell>
          <cell r="H20">
            <v>84</v>
          </cell>
          <cell r="I20">
            <v>276</v>
          </cell>
          <cell r="J20">
            <v>140</v>
          </cell>
          <cell r="K20">
            <v>40</v>
          </cell>
        </row>
        <row r="21">
          <cell r="E21" t="str">
            <v>NS-N03</v>
          </cell>
          <cell r="F21" t="str">
            <v>지하수</v>
          </cell>
          <cell r="G21">
            <v>2004</v>
          </cell>
          <cell r="H21">
            <v>121</v>
          </cell>
          <cell r="I21">
            <v>385</v>
          </cell>
          <cell r="J21">
            <v>200</v>
          </cell>
          <cell r="K21">
            <v>40</v>
          </cell>
        </row>
        <row r="22">
          <cell r="E22" t="str">
            <v>NS-N04</v>
          </cell>
          <cell r="F22" t="str">
            <v>지하수</v>
          </cell>
          <cell r="G22">
            <v>2006</v>
          </cell>
          <cell r="H22">
            <v>61</v>
          </cell>
          <cell r="I22">
            <v>109</v>
          </cell>
          <cell r="J22">
            <v>60</v>
          </cell>
          <cell r="K22">
            <v>20</v>
          </cell>
        </row>
        <row r="23">
          <cell r="E23" t="str">
            <v>NS-N05</v>
          </cell>
          <cell r="F23" t="str">
            <v>지하수</v>
          </cell>
          <cell r="G23">
            <v>2007</v>
          </cell>
          <cell r="H23">
            <v>39</v>
          </cell>
          <cell r="I23">
            <v>156</v>
          </cell>
          <cell r="J23">
            <v>80</v>
          </cell>
          <cell r="K23">
            <v>20</v>
          </cell>
        </row>
        <row r="24">
          <cell r="E24" t="str">
            <v>NS-N06</v>
          </cell>
          <cell r="F24" t="str">
            <v>지하수</v>
          </cell>
          <cell r="G24">
            <v>2008</v>
          </cell>
          <cell r="H24">
            <v>41</v>
          </cell>
          <cell r="I24">
            <v>123</v>
          </cell>
          <cell r="J24">
            <v>70</v>
          </cell>
          <cell r="K24">
            <v>20</v>
          </cell>
        </row>
        <row r="25">
          <cell r="E25" t="str">
            <v>NS-N07</v>
          </cell>
          <cell r="F25" t="str">
            <v>지하수</v>
          </cell>
          <cell r="G25">
            <v>2009</v>
          </cell>
          <cell r="H25">
            <v>52</v>
          </cell>
          <cell r="I25">
            <v>180</v>
          </cell>
          <cell r="J25">
            <v>90</v>
          </cell>
          <cell r="K25">
            <v>25</v>
          </cell>
        </row>
        <row r="26">
          <cell r="E26" t="str">
            <v>NS-N08</v>
          </cell>
          <cell r="F26" t="str">
            <v>지하수</v>
          </cell>
          <cell r="G26">
            <v>2010</v>
          </cell>
          <cell r="H26">
            <v>34</v>
          </cell>
          <cell r="I26">
            <v>102</v>
          </cell>
          <cell r="J26">
            <v>60</v>
          </cell>
          <cell r="K26">
            <v>15</v>
          </cell>
        </row>
        <row r="27">
          <cell r="E27" t="str">
            <v>NS-N09</v>
          </cell>
          <cell r="F27" t="str">
            <v>지하수</v>
          </cell>
          <cell r="G27">
            <v>2010</v>
          </cell>
          <cell r="H27">
            <v>80</v>
          </cell>
          <cell r="I27">
            <v>160</v>
          </cell>
          <cell r="J27">
            <v>80</v>
          </cell>
          <cell r="K27">
            <v>30</v>
          </cell>
        </row>
        <row r="28">
          <cell r="E28" t="str">
            <v>NS-N10</v>
          </cell>
          <cell r="F28" t="str">
            <v>지하수</v>
          </cell>
          <cell r="G28">
            <v>2012</v>
          </cell>
          <cell r="H28">
            <v>50</v>
          </cell>
          <cell r="I28">
            <v>150</v>
          </cell>
          <cell r="J28">
            <v>80</v>
          </cell>
          <cell r="K28">
            <v>30</v>
          </cell>
        </row>
        <row r="29">
          <cell r="E29" t="str">
            <v>NS-N11</v>
          </cell>
          <cell r="F29" t="str">
            <v>지하수</v>
          </cell>
          <cell r="G29">
            <v>2012</v>
          </cell>
          <cell r="H29">
            <v>47</v>
          </cell>
          <cell r="I29">
            <v>101</v>
          </cell>
          <cell r="J29">
            <v>60</v>
          </cell>
          <cell r="K29">
            <v>30</v>
          </cell>
        </row>
        <row r="30">
          <cell r="E30" t="str">
            <v>NS-S01</v>
          </cell>
          <cell r="F30" t="str">
            <v>지하수</v>
          </cell>
          <cell r="G30">
            <v>1977</v>
          </cell>
          <cell r="H30">
            <v>50</v>
          </cell>
          <cell r="I30">
            <v>99</v>
          </cell>
          <cell r="J30">
            <v>60</v>
          </cell>
          <cell r="K30">
            <v>20</v>
          </cell>
        </row>
        <row r="31">
          <cell r="E31" t="str">
            <v>NS-S02</v>
          </cell>
          <cell r="F31" t="str">
            <v>지하수</v>
          </cell>
          <cell r="G31">
            <v>1977</v>
          </cell>
          <cell r="H31">
            <v>15</v>
          </cell>
          <cell r="I31">
            <v>55</v>
          </cell>
          <cell r="J31">
            <v>30</v>
          </cell>
          <cell r="K31">
            <v>20</v>
          </cell>
        </row>
        <row r="32">
          <cell r="E32" t="str">
            <v>NS-S03</v>
          </cell>
          <cell r="F32" t="str">
            <v>지하수</v>
          </cell>
          <cell r="G32">
            <v>1978</v>
          </cell>
          <cell r="H32">
            <v>14</v>
          </cell>
          <cell r="I32">
            <v>20</v>
          </cell>
          <cell r="J32">
            <v>10</v>
          </cell>
          <cell r="K32">
            <v>20</v>
          </cell>
        </row>
        <row r="33">
          <cell r="E33" t="str">
            <v>NS-S04</v>
          </cell>
          <cell r="F33" t="str">
            <v>지하수</v>
          </cell>
          <cell r="G33">
            <v>1978</v>
          </cell>
          <cell r="H33">
            <v>20</v>
          </cell>
          <cell r="I33">
            <v>60</v>
          </cell>
          <cell r="J33">
            <v>30</v>
          </cell>
          <cell r="K33">
            <v>30</v>
          </cell>
        </row>
        <row r="34">
          <cell r="E34" t="str">
            <v>NS-S05</v>
          </cell>
          <cell r="F34" t="str">
            <v>지하수</v>
          </cell>
          <cell r="G34">
            <v>1979</v>
          </cell>
          <cell r="H34">
            <v>23</v>
          </cell>
          <cell r="I34">
            <v>62</v>
          </cell>
          <cell r="J34">
            <v>40</v>
          </cell>
          <cell r="K34">
            <v>30</v>
          </cell>
        </row>
        <row r="35">
          <cell r="E35" t="str">
            <v>NS-S07</v>
          </cell>
          <cell r="F35" t="str">
            <v>지하수</v>
          </cell>
          <cell r="G35">
            <v>1979</v>
          </cell>
          <cell r="H35">
            <v>19</v>
          </cell>
          <cell r="I35">
            <v>47</v>
          </cell>
          <cell r="J35">
            <v>30</v>
          </cell>
          <cell r="K35">
            <v>30</v>
          </cell>
        </row>
        <row r="36">
          <cell r="E36" t="str">
            <v>NS-S08</v>
          </cell>
          <cell r="F36" t="str">
            <v>지하수</v>
          </cell>
          <cell r="G36">
            <v>1979</v>
          </cell>
          <cell r="H36">
            <v>20</v>
          </cell>
          <cell r="I36">
            <v>42</v>
          </cell>
          <cell r="J36">
            <v>30</v>
          </cell>
          <cell r="K36">
            <v>20</v>
          </cell>
        </row>
        <row r="37">
          <cell r="E37" t="str">
            <v>NS-S09</v>
          </cell>
          <cell r="F37" t="str">
            <v>계곡수</v>
          </cell>
          <cell r="G37">
            <v>1982</v>
          </cell>
          <cell r="H37">
            <v>15</v>
          </cell>
          <cell r="I37">
            <v>33</v>
          </cell>
          <cell r="J37">
            <v>20</v>
          </cell>
          <cell r="K37">
            <v>20</v>
          </cell>
        </row>
        <row r="38">
          <cell r="E38" t="str">
            <v>NS-S10</v>
          </cell>
          <cell r="F38" t="str">
            <v>지하수</v>
          </cell>
          <cell r="G38">
            <v>1982</v>
          </cell>
          <cell r="H38">
            <v>14</v>
          </cell>
          <cell r="I38">
            <v>32</v>
          </cell>
          <cell r="J38">
            <v>20</v>
          </cell>
          <cell r="K38">
            <v>20</v>
          </cell>
        </row>
        <row r="39">
          <cell r="E39" t="str">
            <v>NS-S11</v>
          </cell>
          <cell r="F39" t="str">
            <v>지하수</v>
          </cell>
          <cell r="G39">
            <v>1982</v>
          </cell>
          <cell r="H39">
            <v>19</v>
          </cell>
          <cell r="I39">
            <v>32</v>
          </cell>
          <cell r="J39">
            <v>20</v>
          </cell>
          <cell r="K39">
            <v>20</v>
          </cell>
        </row>
        <row r="40">
          <cell r="E40" t="str">
            <v>NS-S12</v>
          </cell>
          <cell r="F40" t="str">
            <v>지하수</v>
          </cell>
          <cell r="G40">
            <v>1996</v>
          </cell>
          <cell r="H40">
            <v>42</v>
          </cell>
          <cell r="I40">
            <v>98</v>
          </cell>
          <cell r="J40">
            <v>50</v>
          </cell>
          <cell r="K40">
            <v>30</v>
          </cell>
        </row>
        <row r="41">
          <cell r="E41" t="str">
            <v>NS-S13</v>
          </cell>
          <cell r="F41" t="str">
            <v>지하수</v>
          </cell>
          <cell r="G41">
            <v>1996</v>
          </cell>
          <cell r="H41">
            <v>34</v>
          </cell>
          <cell r="I41">
            <v>80</v>
          </cell>
          <cell r="J41">
            <v>40</v>
          </cell>
          <cell r="K41">
            <v>30</v>
          </cell>
        </row>
        <row r="42">
          <cell r="E42" t="str">
            <v>NS-S14</v>
          </cell>
          <cell r="F42" t="str">
            <v>지하수</v>
          </cell>
          <cell r="G42">
            <v>2010</v>
          </cell>
          <cell r="H42">
            <v>9</v>
          </cell>
          <cell r="I42">
            <v>18</v>
          </cell>
          <cell r="J42">
            <v>10</v>
          </cell>
          <cell r="K42">
            <v>10</v>
          </cell>
        </row>
        <row r="43">
          <cell r="E43" t="str">
            <v>NS-N15</v>
          </cell>
          <cell r="F43" t="str">
            <v>지하수</v>
          </cell>
          <cell r="G43">
            <v>2012</v>
          </cell>
          <cell r="H43">
            <v>17</v>
          </cell>
          <cell r="I43">
            <v>45</v>
          </cell>
          <cell r="J43">
            <v>30</v>
          </cell>
          <cell r="K43">
            <v>30</v>
          </cell>
        </row>
        <row r="44">
          <cell r="E44" t="str">
            <v>NS-N16</v>
          </cell>
          <cell r="F44" t="str">
            <v>지하수</v>
          </cell>
          <cell r="G44">
            <v>2013</v>
          </cell>
          <cell r="H44">
            <v>22</v>
          </cell>
          <cell r="I44">
            <v>49</v>
          </cell>
          <cell r="J44">
            <v>30</v>
          </cell>
          <cell r="K44">
            <v>20</v>
          </cell>
        </row>
        <row r="46">
          <cell r="E46" t="str">
            <v>SW-K01</v>
          </cell>
          <cell r="F46" t="str">
            <v>지하수</v>
          </cell>
          <cell r="G46">
            <v>1975</v>
          </cell>
          <cell r="H46">
            <v>67</v>
          </cell>
          <cell r="I46">
            <v>172</v>
          </cell>
          <cell r="J46">
            <v>90</v>
          </cell>
          <cell r="K46">
            <v>40</v>
          </cell>
        </row>
        <row r="47">
          <cell r="E47" t="str">
            <v>SW-K02</v>
          </cell>
          <cell r="F47" t="str">
            <v>지하수</v>
          </cell>
          <cell r="G47">
            <v>1987</v>
          </cell>
          <cell r="H47" t="str">
            <v>-</v>
          </cell>
          <cell r="I47">
            <v>150</v>
          </cell>
          <cell r="J47">
            <v>80</v>
          </cell>
          <cell r="K47">
            <v>50</v>
          </cell>
        </row>
        <row r="48">
          <cell r="E48" t="str">
            <v>SW-N04</v>
          </cell>
          <cell r="F48" t="str">
            <v>지하수</v>
          </cell>
          <cell r="G48">
            <v>2000</v>
          </cell>
          <cell r="H48">
            <v>48</v>
          </cell>
          <cell r="I48">
            <v>192</v>
          </cell>
          <cell r="J48">
            <v>100</v>
          </cell>
          <cell r="K48">
            <v>30</v>
          </cell>
        </row>
        <row r="49">
          <cell r="E49" t="str">
            <v>SW-N05</v>
          </cell>
          <cell r="F49" t="str">
            <v>지하수</v>
          </cell>
          <cell r="G49">
            <v>2001</v>
          </cell>
          <cell r="H49">
            <v>66</v>
          </cell>
          <cell r="I49">
            <v>185</v>
          </cell>
          <cell r="J49">
            <v>100</v>
          </cell>
          <cell r="K49">
            <v>30</v>
          </cell>
        </row>
        <row r="50">
          <cell r="E50" t="str">
            <v>SW-N06</v>
          </cell>
          <cell r="F50" t="str">
            <v>지하수</v>
          </cell>
          <cell r="G50">
            <v>2003</v>
          </cell>
          <cell r="H50">
            <v>55</v>
          </cell>
          <cell r="I50">
            <v>140</v>
          </cell>
          <cell r="J50">
            <v>70</v>
          </cell>
          <cell r="K50">
            <v>30</v>
          </cell>
        </row>
        <row r="51">
          <cell r="E51" t="str">
            <v>SW-N07</v>
          </cell>
          <cell r="F51" t="str">
            <v>지하수</v>
          </cell>
          <cell r="G51">
            <v>2003</v>
          </cell>
          <cell r="H51">
            <v>50</v>
          </cell>
          <cell r="I51">
            <v>145</v>
          </cell>
          <cell r="J51">
            <v>80</v>
          </cell>
          <cell r="K51">
            <v>30</v>
          </cell>
        </row>
        <row r="52">
          <cell r="E52" t="str">
            <v>SW-N08</v>
          </cell>
          <cell r="F52" t="str">
            <v>지하수</v>
          </cell>
          <cell r="G52">
            <v>2005</v>
          </cell>
          <cell r="H52">
            <v>53</v>
          </cell>
          <cell r="I52">
            <v>212</v>
          </cell>
          <cell r="J52">
            <v>110</v>
          </cell>
          <cell r="K52">
            <v>20</v>
          </cell>
        </row>
        <row r="53">
          <cell r="E53" t="str">
            <v>SW-N09</v>
          </cell>
          <cell r="F53" t="str">
            <v>지하수</v>
          </cell>
          <cell r="G53">
            <v>2006</v>
          </cell>
          <cell r="H53">
            <v>25</v>
          </cell>
          <cell r="I53">
            <v>100</v>
          </cell>
          <cell r="J53">
            <v>50</v>
          </cell>
          <cell r="K53">
            <v>20</v>
          </cell>
        </row>
        <row r="54">
          <cell r="E54" t="str">
            <v>SW-N10</v>
          </cell>
          <cell r="F54" t="str">
            <v>지하수</v>
          </cell>
          <cell r="G54">
            <v>2009</v>
          </cell>
          <cell r="H54">
            <v>61</v>
          </cell>
          <cell r="I54">
            <v>200</v>
          </cell>
          <cell r="J54">
            <v>100</v>
          </cell>
          <cell r="K54">
            <v>25</v>
          </cell>
        </row>
        <row r="55">
          <cell r="E55" t="str">
            <v>SW-N11</v>
          </cell>
          <cell r="F55" t="str">
            <v>지하수</v>
          </cell>
          <cell r="G55">
            <v>2010</v>
          </cell>
          <cell r="H55">
            <v>73</v>
          </cell>
          <cell r="I55">
            <v>219</v>
          </cell>
          <cell r="J55">
            <v>110</v>
          </cell>
          <cell r="K55">
            <v>30</v>
          </cell>
        </row>
        <row r="56">
          <cell r="E56" t="str">
            <v>SW-S01</v>
          </cell>
          <cell r="F56" t="str">
            <v>지하수</v>
          </cell>
          <cell r="G56">
            <v>1974</v>
          </cell>
          <cell r="H56">
            <v>25</v>
          </cell>
          <cell r="I56">
            <v>57</v>
          </cell>
          <cell r="J56">
            <v>30</v>
          </cell>
          <cell r="K56">
            <v>30</v>
          </cell>
        </row>
        <row r="57">
          <cell r="E57" t="str">
            <v>SW-S02</v>
          </cell>
          <cell r="F57" t="str">
            <v>지하수</v>
          </cell>
          <cell r="G57">
            <v>1975</v>
          </cell>
          <cell r="H57">
            <v>27</v>
          </cell>
          <cell r="I57">
            <v>62</v>
          </cell>
          <cell r="J57">
            <v>40</v>
          </cell>
          <cell r="K57">
            <v>30</v>
          </cell>
        </row>
        <row r="58">
          <cell r="E58" t="str">
            <v>SW-S06</v>
          </cell>
          <cell r="F58" t="str">
            <v>지하수</v>
          </cell>
          <cell r="G58">
            <v>1983</v>
          </cell>
          <cell r="H58">
            <v>29</v>
          </cell>
          <cell r="I58">
            <v>70</v>
          </cell>
          <cell r="J58">
            <v>40</v>
          </cell>
          <cell r="K58">
            <v>30</v>
          </cell>
        </row>
        <row r="59">
          <cell r="E59" t="str">
            <v>SW-S08</v>
          </cell>
          <cell r="F59" t="str">
            <v>지하수</v>
          </cell>
          <cell r="G59">
            <v>1984</v>
          </cell>
          <cell r="H59">
            <v>28</v>
          </cell>
          <cell r="I59">
            <v>70</v>
          </cell>
          <cell r="J59">
            <v>40</v>
          </cell>
          <cell r="K59">
            <v>30</v>
          </cell>
        </row>
        <row r="60">
          <cell r="E60" t="str">
            <v>SW-S09</v>
          </cell>
          <cell r="F60" t="str">
            <v>지하수</v>
          </cell>
          <cell r="G60">
            <v>1984</v>
          </cell>
          <cell r="H60">
            <v>16</v>
          </cell>
          <cell r="I60">
            <v>42</v>
          </cell>
          <cell r="J60">
            <v>30</v>
          </cell>
          <cell r="K60">
            <v>30</v>
          </cell>
        </row>
        <row r="61">
          <cell r="E61" t="str">
            <v>SW-S10</v>
          </cell>
          <cell r="F61" t="str">
            <v>지하수</v>
          </cell>
          <cell r="G61">
            <v>1985</v>
          </cell>
          <cell r="H61">
            <v>30</v>
          </cell>
          <cell r="I61">
            <v>80</v>
          </cell>
          <cell r="J61">
            <v>40</v>
          </cell>
          <cell r="K61">
            <v>20</v>
          </cell>
        </row>
        <row r="62">
          <cell r="E62" t="str">
            <v>SW-S11</v>
          </cell>
          <cell r="F62" t="str">
            <v>지하수</v>
          </cell>
          <cell r="G62">
            <v>1985</v>
          </cell>
          <cell r="H62">
            <v>30</v>
          </cell>
          <cell r="I62">
            <v>68</v>
          </cell>
          <cell r="J62">
            <v>40</v>
          </cell>
          <cell r="K62">
            <v>20</v>
          </cell>
        </row>
        <row r="63">
          <cell r="E63" t="str">
            <v>SW-S12</v>
          </cell>
          <cell r="F63" t="str">
            <v>지하수</v>
          </cell>
          <cell r="G63">
            <v>1985</v>
          </cell>
          <cell r="H63">
            <v>21</v>
          </cell>
          <cell r="I63">
            <v>50</v>
          </cell>
          <cell r="J63">
            <v>30</v>
          </cell>
          <cell r="K63">
            <v>20</v>
          </cell>
        </row>
        <row r="64">
          <cell r="E64" t="str">
            <v>SW-S13</v>
          </cell>
          <cell r="F64" t="str">
            <v>지하수</v>
          </cell>
          <cell r="G64">
            <v>2001</v>
          </cell>
          <cell r="H64">
            <v>25</v>
          </cell>
          <cell r="I64">
            <v>55</v>
          </cell>
          <cell r="J64">
            <v>30</v>
          </cell>
          <cell r="K64">
            <v>50</v>
          </cell>
        </row>
        <row r="66">
          <cell r="E66" t="str">
            <v>BJ-N07</v>
          </cell>
          <cell r="F66" t="str">
            <v>지하수</v>
          </cell>
          <cell r="G66">
            <v>2000</v>
          </cell>
          <cell r="H66">
            <v>85</v>
          </cell>
          <cell r="I66">
            <v>259</v>
          </cell>
          <cell r="J66">
            <v>130</v>
          </cell>
          <cell r="K66">
            <v>50</v>
          </cell>
        </row>
        <row r="67">
          <cell r="E67" t="str">
            <v>BJ-N10</v>
          </cell>
          <cell r="F67" t="str">
            <v>지하수</v>
          </cell>
          <cell r="G67">
            <v>2009</v>
          </cell>
          <cell r="H67">
            <v>26</v>
          </cell>
          <cell r="I67">
            <v>101</v>
          </cell>
          <cell r="J67">
            <v>50</v>
          </cell>
          <cell r="K67">
            <v>10</v>
          </cell>
        </row>
        <row r="68">
          <cell r="E68" t="str">
            <v>BJ-S04</v>
          </cell>
          <cell r="F68" t="str">
            <v>지하수</v>
          </cell>
          <cell r="G68">
            <v>1982</v>
          </cell>
          <cell r="H68">
            <v>20</v>
          </cell>
          <cell r="I68">
            <v>40</v>
          </cell>
          <cell r="J68">
            <v>30</v>
          </cell>
          <cell r="K68">
            <v>30</v>
          </cell>
        </row>
        <row r="70">
          <cell r="E70" t="str">
            <v>YS-N04</v>
          </cell>
          <cell r="F70" t="str">
            <v>지하수</v>
          </cell>
          <cell r="G70">
            <v>1998</v>
          </cell>
          <cell r="H70">
            <v>71</v>
          </cell>
          <cell r="I70">
            <v>224</v>
          </cell>
          <cell r="J70">
            <v>120</v>
          </cell>
          <cell r="K70">
            <v>30</v>
          </cell>
        </row>
        <row r="71">
          <cell r="E71" t="str">
            <v>YS-N07</v>
          </cell>
          <cell r="F71" t="str">
            <v>지하수</v>
          </cell>
          <cell r="G71">
            <v>2001</v>
          </cell>
          <cell r="H71">
            <v>83</v>
          </cell>
          <cell r="I71">
            <v>249</v>
          </cell>
          <cell r="J71">
            <v>130</v>
          </cell>
          <cell r="K71">
            <v>40</v>
          </cell>
        </row>
        <row r="72">
          <cell r="E72" t="str">
            <v>YS-N08</v>
          </cell>
          <cell r="F72" t="str">
            <v>지하수</v>
          </cell>
          <cell r="G72">
            <v>2002</v>
          </cell>
          <cell r="H72">
            <v>40</v>
          </cell>
          <cell r="I72">
            <v>158</v>
          </cell>
          <cell r="J72">
            <v>80</v>
          </cell>
          <cell r="K72">
            <v>30</v>
          </cell>
        </row>
        <row r="73">
          <cell r="E73" t="str">
            <v>YS-N09</v>
          </cell>
          <cell r="F73" t="str">
            <v>지하수</v>
          </cell>
          <cell r="G73">
            <v>2002</v>
          </cell>
          <cell r="H73">
            <v>60</v>
          </cell>
          <cell r="I73">
            <v>156</v>
          </cell>
          <cell r="J73">
            <v>80</v>
          </cell>
          <cell r="K73">
            <v>30</v>
          </cell>
        </row>
        <row r="74">
          <cell r="E74" t="str">
            <v>YS-N10</v>
          </cell>
          <cell r="F74" t="str">
            <v>지하수</v>
          </cell>
          <cell r="G74">
            <v>2003</v>
          </cell>
          <cell r="H74">
            <v>69</v>
          </cell>
          <cell r="I74">
            <v>200</v>
          </cell>
          <cell r="J74">
            <v>100</v>
          </cell>
          <cell r="K74">
            <v>40</v>
          </cell>
        </row>
        <row r="75">
          <cell r="E75" t="str">
            <v>YS-N11</v>
          </cell>
          <cell r="F75" t="str">
            <v>지하수</v>
          </cell>
          <cell r="G75">
            <v>2003</v>
          </cell>
          <cell r="H75">
            <v>52</v>
          </cell>
          <cell r="I75">
            <v>191</v>
          </cell>
          <cell r="J75">
            <v>100</v>
          </cell>
          <cell r="K75">
            <v>30</v>
          </cell>
        </row>
        <row r="76">
          <cell r="E76" t="str">
            <v>YS-N13</v>
          </cell>
          <cell r="F76" t="str">
            <v>지하수</v>
          </cell>
          <cell r="G76">
            <v>2004</v>
          </cell>
          <cell r="H76">
            <v>64</v>
          </cell>
          <cell r="I76">
            <v>175</v>
          </cell>
          <cell r="J76">
            <v>90</v>
          </cell>
          <cell r="K76">
            <v>20</v>
          </cell>
        </row>
        <row r="77">
          <cell r="E77" t="str">
            <v>YS-N14</v>
          </cell>
          <cell r="F77" t="str">
            <v>지하수</v>
          </cell>
          <cell r="G77">
            <v>2004</v>
          </cell>
          <cell r="H77">
            <v>55</v>
          </cell>
          <cell r="I77">
            <v>165</v>
          </cell>
          <cell r="J77">
            <v>90</v>
          </cell>
          <cell r="K77">
            <v>20</v>
          </cell>
        </row>
        <row r="78">
          <cell r="E78" t="str">
            <v>YS-N17</v>
          </cell>
          <cell r="F78" t="str">
            <v>지하수</v>
          </cell>
          <cell r="G78">
            <v>2006</v>
          </cell>
          <cell r="H78">
            <v>72</v>
          </cell>
          <cell r="I78">
            <v>158</v>
          </cell>
          <cell r="J78">
            <v>30</v>
          </cell>
          <cell r="K78">
            <v>20</v>
          </cell>
        </row>
        <row r="79">
          <cell r="E79" t="str">
            <v>YS-N21</v>
          </cell>
          <cell r="F79" t="str">
            <v>지하수</v>
          </cell>
          <cell r="G79">
            <v>2008</v>
          </cell>
          <cell r="H79">
            <v>33</v>
          </cell>
          <cell r="I79">
            <v>100</v>
          </cell>
          <cell r="J79">
            <v>50</v>
          </cell>
          <cell r="K79">
            <v>15</v>
          </cell>
        </row>
        <row r="80">
          <cell r="E80" t="str">
            <v>YS-N22</v>
          </cell>
          <cell r="F80" t="str">
            <v>지하수</v>
          </cell>
          <cell r="G80">
            <v>2008</v>
          </cell>
          <cell r="H80">
            <v>66</v>
          </cell>
          <cell r="I80">
            <v>198</v>
          </cell>
          <cell r="J80">
            <v>100</v>
          </cell>
          <cell r="K80">
            <v>30</v>
          </cell>
        </row>
        <row r="81">
          <cell r="E81" t="str">
            <v>YS-N23</v>
          </cell>
          <cell r="F81" t="str">
            <v>지하수</v>
          </cell>
          <cell r="G81">
            <v>2009</v>
          </cell>
          <cell r="H81">
            <v>48</v>
          </cell>
          <cell r="I81">
            <v>192</v>
          </cell>
          <cell r="J81">
            <v>100</v>
          </cell>
          <cell r="K81">
            <v>40</v>
          </cell>
        </row>
        <row r="82">
          <cell r="E82" t="str">
            <v>YS-N24</v>
          </cell>
          <cell r="F82" t="str">
            <v>지하수</v>
          </cell>
          <cell r="G82">
            <v>2010</v>
          </cell>
          <cell r="H82">
            <v>35</v>
          </cell>
          <cell r="I82">
            <v>105</v>
          </cell>
          <cell r="J82">
            <v>60</v>
          </cell>
          <cell r="K82">
            <v>15</v>
          </cell>
        </row>
        <row r="83">
          <cell r="E83" t="str">
            <v>YS-N25</v>
          </cell>
          <cell r="F83" t="str">
            <v>지하수</v>
          </cell>
          <cell r="G83">
            <v>2012</v>
          </cell>
          <cell r="H83">
            <v>48</v>
          </cell>
          <cell r="I83">
            <v>162</v>
          </cell>
          <cell r="J83">
            <v>80</v>
          </cell>
          <cell r="K83">
            <v>40</v>
          </cell>
        </row>
        <row r="84">
          <cell r="E84" t="str">
            <v>YS-S01</v>
          </cell>
          <cell r="F84" t="str">
            <v>지하수</v>
          </cell>
          <cell r="G84">
            <v>2004</v>
          </cell>
          <cell r="H84">
            <v>50</v>
          </cell>
          <cell r="I84">
            <v>116</v>
          </cell>
          <cell r="J84">
            <v>60</v>
          </cell>
          <cell r="K84">
            <v>30</v>
          </cell>
        </row>
        <row r="85">
          <cell r="E85" t="str">
            <v>YS-S02</v>
          </cell>
          <cell r="F85" t="str">
            <v>지하수</v>
          </cell>
          <cell r="G85">
            <v>2004</v>
          </cell>
          <cell r="H85">
            <v>39</v>
          </cell>
          <cell r="I85">
            <v>86</v>
          </cell>
          <cell r="J85">
            <v>50</v>
          </cell>
          <cell r="K85">
            <v>20</v>
          </cell>
        </row>
        <row r="86">
          <cell r="E86" t="str">
            <v>YS-S03</v>
          </cell>
          <cell r="F86" t="str">
            <v>지하수</v>
          </cell>
          <cell r="G86">
            <v>2007</v>
          </cell>
          <cell r="H86">
            <v>35</v>
          </cell>
          <cell r="I86">
            <v>98</v>
          </cell>
          <cell r="J86">
            <v>50</v>
          </cell>
          <cell r="K86">
            <v>30</v>
          </cell>
        </row>
        <row r="87">
          <cell r="E87" t="str">
            <v>YS-S04</v>
          </cell>
          <cell r="F87" t="str">
            <v>지하수</v>
          </cell>
          <cell r="G87">
            <v>2012</v>
          </cell>
          <cell r="H87">
            <v>25</v>
          </cell>
          <cell r="I87">
            <v>60</v>
          </cell>
          <cell r="J87">
            <v>30</v>
          </cell>
          <cell r="K87">
            <v>20</v>
          </cell>
        </row>
        <row r="88">
          <cell r="E88" t="str">
            <v>YS-K05</v>
          </cell>
          <cell r="F88" t="str">
            <v>지하수</v>
          </cell>
          <cell r="G88">
            <v>2000</v>
          </cell>
          <cell r="H88">
            <v>34</v>
          </cell>
          <cell r="I88">
            <v>84</v>
          </cell>
          <cell r="J88">
            <v>50</v>
          </cell>
          <cell r="K88">
            <v>30</v>
          </cell>
        </row>
        <row r="89">
          <cell r="E89" t="str">
            <v>YS-N18</v>
          </cell>
          <cell r="F89" t="str">
            <v>지하수</v>
          </cell>
          <cell r="G89">
            <v>2006</v>
          </cell>
          <cell r="H89">
            <v>24</v>
          </cell>
          <cell r="I89">
            <v>72</v>
          </cell>
          <cell r="J89">
            <v>40</v>
          </cell>
          <cell r="K89">
            <v>25</v>
          </cell>
        </row>
        <row r="90">
          <cell r="E90" t="str">
            <v>YS-N19</v>
          </cell>
          <cell r="F90" t="str">
            <v>지하수</v>
          </cell>
          <cell r="G90">
            <v>2008</v>
          </cell>
          <cell r="H90">
            <v>28</v>
          </cell>
          <cell r="I90">
            <v>84</v>
          </cell>
          <cell r="J90">
            <v>50</v>
          </cell>
          <cell r="K90">
            <v>15</v>
          </cell>
        </row>
        <row r="91">
          <cell r="E91" t="str">
            <v>YS-N20</v>
          </cell>
          <cell r="F91" t="str">
            <v>지하수</v>
          </cell>
          <cell r="G91">
            <v>2008</v>
          </cell>
          <cell r="H91">
            <v>29</v>
          </cell>
          <cell r="I91">
            <v>87</v>
          </cell>
          <cell r="J91">
            <v>50</v>
          </cell>
          <cell r="K91">
            <v>15</v>
          </cell>
        </row>
        <row r="93">
          <cell r="E93" t="str">
            <v>BG-N02</v>
          </cell>
          <cell r="F93" t="str">
            <v>지하수</v>
          </cell>
          <cell r="G93">
            <v>1999</v>
          </cell>
          <cell r="H93">
            <v>51</v>
          </cell>
          <cell r="I93">
            <v>125</v>
          </cell>
          <cell r="J93">
            <v>70</v>
          </cell>
          <cell r="K93">
            <v>30</v>
          </cell>
        </row>
        <row r="94">
          <cell r="E94" t="str">
            <v>BG-N03</v>
          </cell>
          <cell r="F94" t="str">
            <v>지하수</v>
          </cell>
          <cell r="G94">
            <v>2002</v>
          </cell>
          <cell r="H94">
            <v>90</v>
          </cell>
          <cell r="I94">
            <v>235</v>
          </cell>
          <cell r="J94">
            <v>110</v>
          </cell>
          <cell r="K94">
            <v>50</v>
          </cell>
        </row>
        <row r="95">
          <cell r="E95" t="str">
            <v>BG-K04</v>
          </cell>
          <cell r="F95" t="str">
            <v>지하수</v>
          </cell>
          <cell r="G95">
            <v>2004</v>
          </cell>
          <cell r="H95">
            <v>99</v>
          </cell>
          <cell r="I95">
            <v>232</v>
          </cell>
          <cell r="J95">
            <v>120</v>
          </cell>
          <cell r="K95">
            <v>60</v>
          </cell>
        </row>
        <row r="96">
          <cell r="E96" t="str">
            <v>BG-K05</v>
          </cell>
          <cell r="F96" t="str">
            <v>지하수</v>
          </cell>
          <cell r="G96">
            <v>2004</v>
          </cell>
          <cell r="H96">
            <v>53</v>
          </cell>
          <cell r="I96">
            <v>100</v>
          </cell>
          <cell r="J96">
            <v>50</v>
          </cell>
          <cell r="K96">
            <v>60</v>
          </cell>
        </row>
        <row r="97">
          <cell r="E97" t="str">
            <v>BG-K06</v>
          </cell>
          <cell r="F97" t="str">
            <v>지하수</v>
          </cell>
          <cell r="G97">
            <v>2004</v>
          </cell>
          <cell r="H97">
            <v>45</v>
          </cell>
          <cell r="I97">
            <v>100</v>
          </cell>
          <cell r="J97">
            <v>50</v>
          </cell>
          <cell r="K97">
            <v>50</v>
          </cell>
        </row>
        <row r="98">
          <cell r="E98" t="str">
            <v>BG-N07</v>
          </cell>
          <cell r="F98" t="str">
            <v>지하수</v>
          </cell>
          <cell r="G98">
            <v>2006</v>
          </cell>
          <cell r="H98">
            <v>46</v>
          </cell>
          <cell r="I98">
            <v>101</v>
          </cell>
          <cell r="J98">
            <v>40</v>
          </cell>
          <cell r="K98">
            <v>20</v>
          </cell>
        </row>
        <row r="99">
          <cell r="E99" t="str">
            <v>BG-N08</v>
          </cell>
          <cell r="F99" t="str">
            <v>지하수</v>
          </cell>
          <cell r="G99">
            <v>2008</v>
          </cell>
          <cell r="H99">
            <v>38</v>
          </cell>
          <cell r="I99">
            <v>114</v>
          </cell>
          <cell r="J99">
            <v>60</v>
          </cell>
          <cell r="K99">
            <v>20</v>
          </cell>
        </row>
        <row r="100">
          <cell r="E100" t="str">
            <v>BG-N09</v>
          </cell>
          <cell r="F100" t="str">
            <v>지하수</v>
          </cell>
          <cell r="G100">
            <v>2009</v>
          </cell>
          <cell r="H100">
            <v>32</v>
          </cell>
          <cell r="I100">
            <v>101</v>
          </cell>
          <cell r="J100">
            <v>50</v>
          </cell>
          <cell r="K100">
            <v>30</v>
          </cell>
        </row>
        <row r="101">
          <cell r="E101" t="str">
            <v>BG-N10</v>
          </cell>
          <cell r="F101" t="str">
            <v>지하수</v>
          </cell>
          <cell r="G101">
            <v>2009</v>
          </cell>
          <cell r="H101">
            <v>40</v>
          </cell>
          <cell r="I101">
            <v>135</v>
          </cell>
          <cell r="J101">
            <v>70</v>
          </cell>
          <cell r="K101">
            <v>20</v>
          </cell>
        </row>
        <row r="102">
          <cell r="E102" t="str">
            <v>BG-N11</v>
          </cell>
          <cell r="F102" t="str">
            <v>지하수</v>
          </cell>
          <cell r="G102">
            <v>2010</v>
          </cell>
          <cell r="H102">
            <v>37</v>
          </cell>
          <cell r="I102">
            <v>111</v>
          </cell>
          <cell r="J102">
            <v>60</v>
          </cell>
          <cell r="K102">
            <v>15</v>
          </cell>
        </row>
        <row r="103">
          <cell r="E103" t="str">
            <v>BG-S01</v>
          </cell>
          <cell r="F103" t="str">
            <v>지하수</v>
          </cell>
          <cell r="G103">
            <v>1976</v>
          </cell>
          <cell r="H103">
            <v>34</v>
          </cell>
          <cell r="I103">
            <v>98</v>
          </cell>
          <cell r="J103">
            <v>50</v>
          </cell>
          <cell r="K103">
            <v>30</v>
          </cell>
        </row>
        <row r="104">
          <cell r="E104" t="str">
            <v>BG-S02</v>
          </cell>
          <cell r="F104" t="str">
            <v>지하수</v>
          </cell>
          <cell r="G104">
            <v>1976</v>
          </cell>
          <cell r="H104">
            <v>40</v>
          </cell>
          <cell r="I104">
            <v>79</v>
          </cell>
          <cell r="J104">
            <v>40</v>
          </cell>
          <cell r="K104">
            <v>20</v>
          </cell>
        </row>
        <row r="105">
          <cell r="E105" t="str">
            <v>BG-S03</v>
          </cell>
          <cell r="F105" t="str">
            <v>지하수</v>
          </cell>
          <cell r="G105">
            <v>1978</v>
          </cell>
          <cell r="H105">
            <v>31</v>
          </cell>
          <cell r="I105">
            <v>65</v>
          </cell>
          <cell r="J105">
            <v>40</v>
          </cell>
          <cell r="K105">
            <v>30</v>
          </cell>
        </row>
        <row r="106">
          <cell r="E106" t="str">
            <v>BG-S04</v>
          </cell>
          <cell r="F106" t="str">
            <v>지하수</v>
          </cell>
          <cell r="G106">
            <v>1979</v>
          </cell>
          <cell r="H106">
            <v>30</v>
          </cell>
          <cell r="I106">
            <v>60</v>
          </cell>
          <cell r="J106">
            <v>30</v>
          </cell>
          <cell r="K106">
            <v>30</v>
          </cell>
        </row>
        <row r="107">
          <cell r="E107" t="str">
            <v>BG-S05</v>
          </cell>
          <cell r="F107" t="str">
            <v>계곡수</v>
          </cell>
          <cell r="G107">
            <v>1979</v>
          </cell>
          <cell r="H107">
            <v>15</v>
          </cell>
          <cell r="I107">
            <v>43</v>
          </cell>
          <cell r="J107">
            <v>30</v>
          </cell>
          <cell r="K107">
            <v>20</v>
          </cell>
        </row>
        <row r="108">
          <cell r="E108" t="str">
            <v>BG-S06</v>
          </cell>
          <cell r="F108" t="str">
            <v>지하수</v>
          </cell>
          <cell r="G108">
            <v>1980</v>
          </cell>
          <cell r="H108">
            <v>20</v>
          </cell>
          <cell r="I108">
            <v>40</v>
          </cell>
          <cell r="J108">
            <v>20</v>
          </cell>
          <cell r="K108">
            <v>30</v>
          </cell>
        </row>
        <row r="109">
          <cell r="E109" t="str">
            <v>BG-S07</v>
          </cell>
          <cell r="F109" t="str">
            <v>지하수</v>
          </cell>
          <cell r="G109">
            <v>1982</v>
          </cell>
          <cell r="H109">
            <v>19</v>
          </cell>
          <cell r="I109">
            <v>72</v>
          </cell>
          <cell r="J109">
            <v>40</v>
          </cell>
          <cell r="K109">
            <v>20</v>
          </cell>
        </row>
        <row r="110">
          <cell r="E110" t="str">
            <v>BG-S08</v>
          </cell>
          <cell r="F110" t="str">
            <v>지하수</v>
          </cell>
          <cell r="G110">
            <v>1984</v>
          </cell>
          <cell r="H110">
            <v>42</v>
          </cell>
          <cell r="I110">
            <v>89</v>
          </cell>
          <cell r="J110">
            <v>60</v>
          </cell>
          <cell r="K110">
            <v>30</v>
          </cell>
        </row>
        <row r="111">
          <cell r="E111" t="str">
            <v>BG-S09</v>
          </cell>
          <cell r="F111" t="str">
            <v>지하수</v>
          </cell>
          <cell r="G111">
            <v>1985</v>
          </cell>
          <cell r="H111">
            <v>25</v>
          </cell>
          <cell r="I111">
            <v>75</v>
          </cell>
          <cell r="J111">
            <v>40</v>
          </cell>
          <cell r="K111">
            <v>20</v>
          </cell>
        </row>
        <row r="112">
          <cell r="E112" t="str">
            <v>BG-S10</v>
          </cell>
          <cell r="F112" t="str">
            <v>지하수</v>
          </cell>
          <cell r="G112">
            <v>1985</v>
          </cell>
          <cell r="H112">
            <v>54</v>
          </cell>
          <cell r="I112">
            <v>99</v>
          </cell>
          <cell r="J112">
            <v>50</v>
          </cell>
          <cell r="K112">
            <v>30</v>
          </cell>
        </row>
        <row r="113">
          <cell r="E113" t="str">
            <v>BG-S12</v>
          </cell>
          <cell r="F113" t="str">
            <v>지하수</v>
          </cell>
          <cell r="G113">
            <v>2004</v>
          </cell>
          <cell r="H113">
            <v>25</v>
          </cell>
          <cell r="I113">
            <v>58</v>
          </cell>
          <cell r="J113">
            <v>30</v>
          </cell>
          <cell r="K113">
            <v>30</v>
          </cell>
        </row>
        <row r="114">
          <cell r="E114" t="str">
            <v>BG-S13</v>
          </cell>
          <cell r="F114" t="str">
            <v>지하수</v>
          </cell>
          <cell r="G114">
            <v>2004</v>
          </cell>
          <cell r="H114">
            <v>20</v>
          </cell>
          <cell r="I114">
            <v>35</v>
          </cell>
          <cell r="J114">
            <v>20</v>
          </cell>
          <cell r="K114">
            <v>30</v>
          </cell>
        </row>
        <row r="115">
          <cell r="E115" t="str">
            <v>BG-S15</v>
          </cell>
          <cell r="F115" t="str">
            <v>지하수</v>
          </cell>
          <cell r="G115">
            <v>2004</v>
          </cell>
          <cell r="H115">
            <v>46</v>
          </cell>
          <cell r="I115">
            <v>75</v>
          </cell>
          <cell r="J115">
            <v>40</v>
          </cell>
          <cell r="K115">
            <v>30</v>
          </cell>
        </row>
        <row r="116">
          <cell r="E116" t="str">
            <v>BG-S16</v>
          </cell>
          <cell r="F116" t="str">
            <v>지하수</v>
          </cell>
          <cell r="G116">
            <v>2006</v>
          </cell>
          <cell r="H116">
            <v>12</v>
          </cell>
          <cell r="I116">
            <v>25</v>
          </cell>
          <cell r="J116">
            <v>20</v>
          </cell>
          <cell r="K116">
            <v>20</v>
          </cell>
        </row>
        <row r="117">
          <cell r="E117" t="str">
            <v>BG-N17</v>
          </cell>
          <cell r="F117" t="str">
            <v>지하수</v>
          </cell>
          <cell r="G117">
            <v>2010</v>
          </cell>
          <cell r="H117">
            <v>29</v>
          </cell>
          <cell r="I117">
            <v>87</v>
          </cell>
          <cell r="J117">
            <v>50</v>
          </cell>
          <cell r="K117">
            <v>15</v>
          </cell>
        </row>
        <row r="118">
          <cell r="E118" t="str">
            <v>BG-N01</v>
          </cell>
          <cell r="F118" t="str">
            <v>지하수</v>
          </cell>
          <cell r="G118">
            <v>1996</v>
          </cell>
          <cell r="H118">
            <v>34</v>
          </cell>
          <cell r="I118">
            <v>81</v>
          </cell>
          <cell r="J118">
            <v>50</v>
          </cell>
          <cell r="K118">
            <v>30</v>
          </cell>
        </row>
        <row r="120">
          <cell r="E120" t="str">
            <v>YC-K01</v>
          </cell>
          <cell r="F120" t="str">
            <v>지하수</v>
          </cell>
          <cell r="G120">
            <v>1972</v>
          </cell>
          <cell r="H120">
            <v>54</v>
          </cell>
          <cell r="I120">
            <v>198</v>
          </cell>
          <cell r="J120">
            <v>100</v>
          </cell>
          <cell r="K120">
            <v>30</v>
          </cell>
        </row>
        <row r="121">
          <cell r="E121" t="str">
            <v>YC-K02</v>
          </cell>
          <cell r="F121" t="str">
            <v>지하수</v>
          </cell>
          <cell r="G121">
            <v>1980</v>
          </cell>
          <cell r="H121">
            <v>52</v>
          </cell>
          <cell r="I121">
            <v>120</v>
          </cell>
          <cell r="J121">
            <v>60</v>
          </cell>
          <cell r="K121">
            <v>50</v>
          </cell>
        </row>
        <row r="122">
          <cell r="E122" t="str">
            <v>YC-K04</v>
          </cell>
          <cell r="F122" t="str">
            <v>지하수</v>
          </cell>
          <cell r="G122">
            <v>1981</v>
          </cell>
          <cell r="H122">
            <v>43</v>
          </cell>
          <cell r="I122">
            <v>101</v>
          </cell>
          <cell r="J122">
            <v>50</v>
          </cell>
          <cell r="K122">
            <v>30</v>
          </cell>
        </row>
        <row r="123">
          <cell r="E123" t="str">
            <v>YC-K05</v>
          </cell>
          <cell r="F123" t="str">
            <v>지하수</v>
          </cell>
          <cell r="G123">
            <v>1983</v>
          </cell>
          <cell r="H123">
            <v>45</v>
          </cell>
          <cell r="I123">
            <v>120</v>
          </cell>
          <cell r="J123">
            <v>60</v>
          </cell>
          <cell r="K123">
            <v>30</v>
          </cell>
        </row>
        <row r="124">
          <cell r="E124" t="str">
            <v>YC-N06</v>
          </cell>
          <cell r="F124" t="str">
            <v>지하수</v>
          </cell>
          <cell r="G124">
            <v>1996</v>
          </cell>
          <cell r="H124">
            <v>32</v>
          </cell>
          <cell r="I124">
            <v>101</v>
          </cell>
          <cell r="J124">
            <v>30</v>
          </cell>
          <cell r="K124">
            <v>40</v>
          </cell>
        </row>
        <row r="125">
          <cell r="E125" t="str">
            <v>YC-K07</v>
          </cell>
          <cell r="F125" t="str">
            <v>지하수</v>
          </cell>
          <cell r="G125">
            <v>1998</v>
          </cell>
          <cell r="H125">
            <v>42</v>
          </cell>
          <cell r="I125">
            <v>102</v>
          </cell>
          <cell r="J125">
            <v>50</v>
          </cell>
          <cell r="K125">
            <v>30</v>
          </cell>
        </row>
        <row r="126">
          <cell r="E126" t="str">
            <v>YC-N08</v>
          </cell>
          <cell r="F126" t="str">
            <v>지하수</v>
          </cell>
          <cell r="G126">
            <v>1998</v>
          </cell>
          <cell r="H126">
            <v>71</v>
          </cell>
          <cell r="I126">
            <v>231</v>
          </cell>
          <cell r="J126">
            <v>120</v>
          </cell>
          <cell r="K126">
            <v>30</v>
          </cell>
        </row>
        <row r="127">
          <cell r="E127" t="str">
            <v>YC-N09</v>
          </cell>
          <cell r="F127" t="str">
            <v>지하수</v>
          </cell>
          <cell r="G127">
            <v>1999</v>
          </cell>
          <cell r="H127">
            <v>74</v>
          </cell>
          <cell r="I127">
            <v>144</v>
          </cell>
          <cell r="J127">
            <v>110</v>
          </cell>
          <cell r="K127">
            <v>60</v>
          </cell>
        </row>
        <row r="128">
          <cell r="E128" t="str">
            <v>YC-N10</v>
          </cell>
          <cell r="F128" t="str">
            <v>지하수</v>
          </cell>
          <cell r="G128">
            <v>2001</v>
          </cell>
          <cell r="H128">
            <v>54</v>
          </cell>
          <cell r="I128">
            <v>120</v>
          </cell>
          <cell r="J128">
            <v>60</v>
          </cell>
          <cell r="K128">
            <v>30</v>
          </cell>
        </row>
        <row r="129">
          <cell r="E129" t="str">
            <v>YC-N11</v>
          </cell>
          <cell r="F129" t="str">
            <v>지하수</v>
          </cell>
          <cell r="G129">
            <v>2001</v>
          </cell>
          <cell r="H129">
            <v>65</v>
          </cell>
          <cell r="I129">
            <v>183</v>
          </cell>
          <cell r="J129">
            <v>100</v>
          </cell>
          <cell r="K129">
            <v>40</v>
          </cell>
        </row>
        <row r="130">
          <cell r="E130" t="str">
            <v>YC-N13</v>
          </cell>
          <cell r="F130" t="str">
            <v>지하수</v>
          </cell>
          <cell r="G130">
            <v>2002</v>
          </cell>
          <cell r="H130">
            <v>50</v>
          </cell>
          <cell r="I130">
            <v>173</v>
          </cell>
          <cell r="J130">
            <v>90</v>
          </cell>
          <cell r="K130">
            <v>20</v>
          </cell>
        </row>
        <row r="131">
          <cell r="E131" t="str">
            <v>YC-N14</v>
          </cell>
          <cell r="F131" t="str">
            <v>지하수</v>
          </cell>
          <cell r="G131">
            <v>2003</v>
          </cell>
          <cell r="H131">
            <v>70</v>
          </cell>
          <cell r="I131">
            <v>210</v>
          </cell>
          <cell r="J131">
            <v>110</v>
          </cell>
          <cell r="K131">
            <v>40</v>
          </cell>
        </row>
        <row r="132">
          <cell r="E132" t="str">
            <v>YC-N15</v>
          </cell>
          <cell r="F132" t="str">
            <v>지하수</v>
          </cell>
          <cell r="G132">
            <v>2003</v>
          </cell>
          <cell r="H132">
            <v>53</v>
          </cell>
          <cell r="I132">
            <v>145</v>
          </cell>
          <cell r="J132">
            <v>80</v>
          </cell>
          <cell r="K132">
            <v>20</v>
          </cell>
        </row>
        <row r="133">
          <cell r="E133" t="str">
            <v>YC-N16</v>
          </cell>
          <cell r="F133" t="str">
            <v>지하수</v>
          </cell>
          <cell r="G133">
            <v>2004</v>
          </cell>
          <cell r="H133">
            <v>74</v>
          </cell>
          <cell r="I133">
            <v>201</v>
          </cell>
          <cell r="J133">
            <v>110</v>
          </cell>
          <cell r="K133">
            <v>30</v>
          </cell>
        </row>
        <row r="134">
          <cell r="E134" t="str">
            <v>YC-N17</v>
          </cell>
          <cell r="F134" t="str">
            <v>지하수</v>
          </cell>
          <cell r="G134">
            <v>2004</v>
          </cell>
          <cell r="H134">
            <v>87</v>
          </cell>
          <cell r="I134">
            <v>191</v>
          </cell>
          <cell r="J134">
            <v>100</v>
          </cell>
          <cell r="K134">
            <v>40</v>
          </cell>
        </row>
        <row r="135">
          <cell r="E135" t="str">
            <v>YC-N18</v>
          </cell>
          <cell r="F135" t="str">
            <v>지하수</v>
          </cell>
          <cell r="G135">
            <v>2005</v>
          </cell>
          <cell r="H135">
            <v>57</v>
          </cell>
          <cell r="I135">
            <v>228</v>
          </cell>
          <cell r="J135">
            <v>120</v>
          </cell>
          <cell r="K135">
            <v>20</v>
          </cell>
        </row>
        <row r="136">
          <cell r="E136" t="str">
            <v>YC-N20</v>
          </cell>
          <cell r="F136" t="str">
            <v>지하수</v>
          </cell>
          <cell r="G136">
            <v>2007</v>
          </cell>
          <cell r="H136">
            <v>27</v>
          </cell>
          <cell r="I136">
            <v>108</v>
          </cell>
          <cell r="J136">
            <v>60</v>
          </cell>
          <cell r="K136">
            <v>20</v>
          </cell>
        </row>
        <row r="137">
          <cell r="E137" t="str">
            <v>YC-S01</v>
          </cell>
          <cell r="F137" t="str">
            <v>지하수</v>
          </cell>
          <cell r="G137">
            <v>1983</v>
          </cell>
          <cell r="H137">
            <v>25</v>
          </cell>
          <cell r="I137">
            <v>78</v>
          </cell>
          <cell r="J137">
            <v>40</v>
          </cell>
          <cell r="K137">
            <v>70</v>
          </cell>
        </row>
        <row r="138">
          <cell r="E138" t="str">
            <v>YC-S03</v>
          </cell>
          <cell r="F138" t="str">
            <v>지하수</v>
          </cell>
          <cell r="G138">
            <v>1984</v>
          </cell>
          <cell r="H138">
            <v>19</v>
          </cell>
          <cell r="I138">
            <v>76</v>
          </cell>
          <cell r="J138">
            <v>40</v>
          </cell>
          <cell r="K138">
            <v>30</v>
          </cell>
        </row>
        <row r="139">
          <cell r="E139" t="str">
            <v>YC-S04</v>
          </cell>
          <cell r="F139" t="str">
            <v>계곡수</v>
          </cell>
          <cell r="G139">
            <v>1984</v>
          </cell>
          <cell r="H139">
            <v>10</v>
          </cell>
          <cell r="I139">
            <v>20</v>
          </cell>
          <cell r="J139">
            <v>10</v>
          </cell>
          <cell r="K139">
            <v>70</v>
          </cell>
        </row>
        <row r="140">
          <cell r="E140" t="str">
            <v>YC-S05</v>
          </cell>
          <cell r="F140" t="str">
            <v>계곡수</v>
          </cell>
          <cell r="G140">
            <v>1985</v>
          </cell>
          <cell r="H140">
            <v>18</v>
          </cell>
          <cell r="I140">
            <v>40</v>
          </cell>
          <cell r="J140">
            <v>20</v>
          </cell>
          <cell r="K140">
            <v>50</v>
          </cell>
        </row>
        <row r="141">
          <cell r="E141" t="str">
            <v>YC-S06</v>
          </cell>
          <cell r="F141" t="str">
            <v>지하수</v>
          </cell>
          <cell r="G141">
            <v>1996</v>
          </cell>
          <cell r="H141">
            <v>20</v>
          </cell>
          <cell r="I141">
            <v>60</v>
          </cell>
          <cell r="J141">
            <v>30</v>
          </cell>
          <cell r="K141">
            <v>40</v>
          </cell>
        </row>
        <row r="142">
          <cell r="E142" t="str">
            <v>YC-S07</v>
          </cell>
          <cell r="F142" t="str">
            <v>지하수</v>
          </cell>
          <cell r="G142">
            <v>2011</v>
          </cell>
          <cell r="H142">
            <v>35</v>
          </cell>
          <cell r="I142">
            <v>98</v>
          </cell>
          <cell r="J142">
            <v>50</v>
          </cell>
          <cell r="K142">
            <v>30</v>
          </cell>
        </row>
        <row r="143">
          <cell r="E143" t="str">
            <v>YC-N19</v>
          </cell>
          <cell r="F143" t="str">
            <v>지하수</v>
          </cell>
          <cell r="G143">
            <v>2006</v>
          </cell>
          <cell r="H143">
            <v>24</v>
          </cell>
          <cell r="I143">
            <v>72</v>
          </cell>
          <cell r="J143">
            <v>40</v>
          </cell>
          <cell r="K143">
            <v>15</v>
          </cell>
        </row>
        <row r="144">
          <cell r="E144" t="str">
            <v>YC-N21</v>
          </cell>
          <cell r="F144" t="str">
            <v>지하수</v>
          </cell>
          <cell r="G144">
            <v>2008</v>
          </cell>
          <cell r="H144">
            <v>18</v>
          </cell>
          <cell r="I144">
            <v>72</v>
          </cell>
          <cell r="J144">
            <v>40</v>
          </cell>
          <cell r="K144">
            <v>15</v>
          </cell>
        </row>
        <row r="146">
          <cell r="E146" t="str">
            <v>GY-N02</v>
          </cell>
          <cell r="F146" t="str">
            <v>지하수</v>
          </cell>
          <cell r="G146">
            <v>2003</v>
          </cell>
          <cell r="H146">
            <v>50</v>
          </cell>
          <cell r="I146">
            <v>145</v>
          </cell>
          <cell r="J146">
            <v>80</v>
          </cell>
          <cell r="K146">
            <v>30</v>
          </cell>
        </row>
        <row r="147">
          <cell r="E147" t="str">
            <v>GY-N03</v>
          </cell>
          <cell r="F147" t="str">
            <v>지하수</v>
          </cell>
          <cell r="G147">
            <v>2004</v>
          </cell>
          <cell r="H147">
            <v>69</v>
          </cell>
          <cell r="I147">
            <v>148</v>
          </cell>
          <cell r="J147">
            <v>110</v>
          </cell>
          <cell r="K147">
            <v>20</v>
          </cell>
        </row>
        <row r="148">
          <cell r="E148" t="str">
            <v>GY-N04</v>
          </cell>
          <cell r="F148" t="str">
            <v>지하수</v>
          </cell>
          <cell r="G148">
            <v>2006</v>
          </cell>
          <cell r="H148">
            <v>38</v>
          </cell>
          <cell r="I148">
            <v>101</v>
          </cell>
          <cell r="J148">
            <v>50</v>
          </cell>
          <cell r="K148">
            <v>20</v>
          </cell>
        </row>
        <row r="149">
          <cell r="E149" t="str">
            <v>GY-N05</v>
          </cell>
          <cell r="F149" t="str">
            <v>지하수</v>
          </cell>
          <cell r="G149">
            <v>2009</v>
          </cell>
          <cell r="H149">
            <v>50</v>
          </cell>
          <cell r="I149">
            <v>200</v>
          </cell>
          <cell r="J149">
            <v>100</v>
          </cell>
          <cell r="K149">
            <v>40</v>
          </cell>
        </row>
        <row r="150">
          <cell r="E150" t="str">
            <v>GY-N06</v>
          </cell>
          <cell r="F150" t="str">
            <v>지하수</v>
          </cell>
          <cell r="G150">
            <v>2009</v>
          </cell>
          <cell r="H150">
            <v>54</v>
          </cell>
          <cell r="I150">
            <v>216</v>
          </cell>
          <cell r="J150">
            <v>110</v>
          </cell>
          <cell r="K150">
            <v>20</v>
          </cell>
        </row>
        <row r="151">
          <cell r="E151" t="str">
            <v>GY-N07</v>
          </cell>
          <cell r="F151" t="str">
            <v>지하수</v>
          </cell>
          <cell r="G151">
            <v>2012</v>
          </cell>
          <cell r="H151">
            <v>46</v>
          </cell>
          <cell r="I151">
            <v>120</v>
          </cell>
          <cell r="J151">
            <v>60</v>
          </cell>
          <cell r="K151">
            <v>30</v>
          </cell>
        </row>
        <row r="152">
          <cell r="E152" t="str">
            <v>GY-N08</v>
          </cell>
          <cell r="F152" t="str">
            <v>지하수</v>
          </cell>
          <cell r="G152">
            <v>2013</v>
          </cell>
          <cell r="H152">
            <v>55</v>
          </cell>
          <cell r="I152">
            <v>117</v>
          </cell>
          <cell r="J152">
            <v>60</v>
          </cell>
          <cell r="K152">
            <v>25</v>
          </cell>
        </row>
        <row r="153">
          <cell r="E153" t="str">
            <v>GY-S01</v>
          </cell>
          <cell r="F153" t="str">
            <v>지하수</v>
          </cell>
          <cell r="G153">
            <v>1979</v>
          </cell>
          <cell r="H153">
            <v>31</v>
          </cell>
          <cell r="I153">
            <v>93</v>
          </cell>
          <cell r="J153">
            <v>50</v>
          </cell>
          <cell r="K153">
            <v>30</v>
          </cell>
        </row>
        <row r="154">
          <cell r="E154" t="str">
            <v>GY-S02</v>
          </cell>
          <cell r="F154" t="str">
            <v>지하수</v>
          </cell>
          <cell r="G154">
            <v>1980</v>
          </cell>
          <cell r="H154">
            <v>15</v>
          </cell>
          <cell r="I154">
            <v>53</v>
          </cell>
          <cell r="J154">
            <v>30</v>
          </cell>
          <cell r="K154">
            <v>30</v>
          </cell>
        </row>
        <row r="155">
          <cell r="E155" t="str">
            <v>GY-S03</v>
          </cell>
          <cell r="F155" t="str">
            <v>지하수</v>
          </cell>
          <cell r="G155">
            <v>1980</v>
          </cell>
          <cell r="H155">
            <v>19</v>
          </cell>
          <cell r="I155">
            <v>42</v>
          </cell>
          <cell r="J155">
            <v>30</v>
          </cell>
          <cell r="K155">
            <v>20</v>
          </cell>
        </row>
        <row r="156">
          <cell r="E156" t="str">
            <v>GY-S04</v>
          </cell>
          <cell r="F156" t="str">
            <v>지하수</v>
          </cell>
          <cell r="G156">
            <v>1981</v>
          </cell>
          <cell r="H156">
            <v>10</v>
          </cell>
          <cell r="I156">
            <v>35</v>
          </cell>
          <cell r="J156">
            <v>20</v>
          </cell>
          <cell r="K156">
            <v>20</v>
          </cell>
        </row>
        <row r="157">
          <cell r="E157" t="str">
            <v>GY-S05</v>
          </cell>
          <cell r="F157" t="str">
            <v>지하수</v>
          </cell>
          <cell r="G157">
            <v>1982</v>
          </cell>
          <cell r="H157">
            <v>13</v>
          </cell>
          <cell r="I157">
            <v>41</v>
          </cell>
          <cell r="J157">
            <v>30</v>
          </cell>
          <cell r="K157">
            <v>20</v>
          </cell>
        </row>
        <row r="158">
          <cell r="E158" t="str">
            <v>GY-S06</v>
          </cell>
          <cell r="F158" t="str">
            <v>지하수</v>
          </cell>
          <cell r="G158">
            <v>1983</v>
          </cell>
          <cell r="H158">
            <v>14</v>
          </cell>
          <cell r="I158">
            <v>35</v>
          </cell>
          <cell r="J158">
            <v>20</v>
          </cell>
          <cell r="K158">
            <v>20</v>
          </cell>
        </row>
        <row r="159">
          <cell r="E159" t="str">
            <v>GY-S07</v>
          </cell>
          <cell r="F159" t="str">
            <v>지하수</v>
          </cell>
          <cell r="G159">
            <v>1983</v>
          </cell>
          <cell r="H159">
            <v>14</v>
          </cell>
          <cell r="I159">
            <v>31</v>
          </cell>
          <cell r="J159">
            <v>20</v>
          </cell>
          <cell r="K159">
            <v>20</v>
          </cell>
        </row>
        <row r="160">
          <cell r="E160" t="str">
            <v>GY-S08</v>
          </cell>
          <cell r="F160" t="str">
            <v>지하수</v>
          </cell>
          <cell r="G160">
            <v>1983</v>
          </cell>
          <cell r="H160">
            <v>14</v>
          </cell>
          <cell r="I160">
            <v>43</v>
          </cell>
          <cell r="J160">
            <v>30</v>
          </cell>
          <cell r="K160">
            <v>20</v>
          </cell>
        </row>
        <row r="161">
          <cell r="E161" t="str">
            <v>GY-S09</v>
          </cell>
          <cell r="F161" t="str">
            <v>지하수</v>
          </cell>
          <cell r="G161">
            <v>1985</v>
          </cell>
          <cell r="H161">
            <v>22</v>
          </cell>
          <cell r="I161">
            <v>26</v>
          </cell>
          <cell r="J161">
            <v>20</v>
          </cell>
          <cell r="K161">
            <v>30</v>
          </cell>
        </row>
        <row r="162">
          <cell r="E162" t="str">
            <v>GY-S11</v>
          </cell>
          <cell r="F162" t="str">
            <v>지하수</v>
          </cell>
          <cell r="G162">
            <v>1985</v>
          </cell>
          <cell r="H162">
            <v>22</v>
          </cell>
          <cell r="I162">
            <v>62</v>
          </cell>
          <cell r="J162">
            <v>40</v>
          </cell>
          <cell r="K162">
            <v>30</v>
          </cell>
        </row>
        <row r="163">
          <cell r="E163" t="str">
            <v>GY-S12</v>
          </cell>
          <cell r="F163" t="str">
            <v>지하수</v>
          </cell>
          <cell r="G163">
            <v>1992</v>
          </cell>
          <cell r="H163">
            <v>20</v>
          </cell>
          <cell r="I163">
            <v>31</v>
          </cell>
          <cell r="J163">
            <v>20</v>
          </cell>
          <cell r="K163">
            <v>30</v>
          </cell>
        </row>
        <row r="164">
          <cell r="E164" t="str">
            <v>GY-S13</v>
          </cell>
          <cell r="F164" t="str">
            <v>지하수</v>
          </cell>
          <cell r="G164">
            <v>1994</v>
          </cell>
          <cell r="H164">
            <v>18</v>
          </cell>
          <cell r="I164">
            <v>35</v>
          </cell>
          <cell r="J164">
            <v>20</v>
          </cell>
          <cell r="K164">
            <v>20</v>
          </cell>
        </row>
        <row r="165">
          <cell r="E165" t="str">
            <v>GY-S14</v>
          </cell>
          <cell r="F165" t="str">
            <v>지하수</v>
          </cell>
          <cell r="G165">
            <v>1997</v>
          </cell>
          <cell r="H165">
            <v>30</v>
          </cell>
          <cell r="I165">
            <v>65</v>
          </cell>
          <cell r="J165">
            <v>40</v>
          </cell>
          <cell r="K165">
            <v>50</v>
          </cell>
        </row>
        <row r="166">
          <cell r="E166" t="str">
            <v>GY-S15</v>
          </cell>
          <cell r="F166" t="str">
            <v>지하수</v>
          </cell>
          <cell r="G166">
            <v>2013</v>
          </cell>
          <cell r="H166">
            <v>20</v>
          </cell>
          <cell r="I166">
            <v>46</v>
          </cell>
          <cell r="J166">
            <v>30</v>
          </cell>
          <cell r="K166">
            <v>20</v>
          </cell>
        </row>
        <row r="168">
          <cell r="E168" t="str">
            <v>EJ-N01</v>
          </cell>
          <cell r="F168" t="str">
            <v>지하수</v>
          </cell>
          <cell r="G168">
            <v>1998</v>
          </cell>
          <cell r="H168">
            <v>48</v>
          </cell>
          <cell r="I168">
            <v>144</v>
          </cell>
          <cell r="J168">
            <v>80</v>
          </cell>
          <cell r="K168">
            <v>40</v>
          </cell>
        </row>
        <row r="169">
          <cell r="E169" t="str">
            <v>EJ-N02</v>
          </cell>
          <cell r="F169" t="str">
            <v>지하수</v>
          </cell>
          <cell r="G169">
            <v>1999</v>
          </cell>
          <cell r="H169">
            <v>61</v>
          </cell>
          <cell r="I169">
            <v>175</v>
          </cell>
          <cell r="J169">
            <v>90</v>
          </cell>
          <cell r="K169">
            <v>30</v>
          </cell>
        </row>
        <row r="170">
          <cell r="E170" t="str">
            <v>EJ-N03</v>
          </cell>
          <cell r="F170" t="str">
            <v>지하수</v>
          </cell>
          <cell r="G170">
            <v>1998</v>
          </cell>
          <cell r="H170">
            <v>35</v>
          </cell>
          <cell r="I170">
            <v>105</v>
          </cell>
          <cell r="J170">
            <v>60</v>
          </cell>
          <cell r="K170">
            <v>40</v>
          </cell>
        </row>
        <row r="171">
          <cell r="E171" t="str">
            <v>EJ-N04</v>
          </cell>
          <cell r="F171" t="str">
            <v>지하수</v>
          </cell>
          <cell r="G171">
            <v>2000</v>
          </cell>
          <cell r="H171">
            <v>36</v>
          </cell>
          <cell r="I171">
            <v>144</v>
          </cell>
          <cell r="J171">
            <v>80</v>
          </cell>
          <cell r="K171">
            <v>30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VXXXXX"/>
      <sheetName val="총계"/>
      <sheetName val="마을상수도"/>
      <sheetName val="소규모급수시설"/>
      <sheetName val="전용상수도"/>
      <sheetName val="미가동 시설현황"/>
      <sheetName val="읍면동별 시설현황"/>
      <sheetName val="상수도현황"/>
      <sheetName val="13년 마을상수도 현황"/>
      <sheetName val="마을소규모운영(2-4)"/>
      <sheetName val="마을_소규모 인접거리"/>
      <sheetName val="소규모시설 현황(전체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8">
          <cell r="D8" t="str">
            <v>마전3리</v>
          </cell>
          <cell r="E8">
            <v>80</v>
          </cell>
          <cell r="F8">
            <v>50</v>
          </cell>
          <cell r="G8">
            <v>160</v>
          </cell>
          <cell r="H8" t="str">
            <v>지하수</v>
          </cell>
          <cell r="I8" t="str">
            <v>120</v>
          </cell>
          <cell r="J8" t="str">
            <v>180</v>
          </cell>
          <cell r="K8" t="str">
            <v>2003</v>
          </cell>
          <cell r="L8" t="str">
            <v>막여과</v>
          </cell>
          <cell r="M8">
            <v>2008</v>
          </cell>
          <cell r="N8">
            <v>30</v>
          </cell>
          <cell r="O8" t="str">
            <v>2005</v>
          </cell>
          <cell r="P8" t="str">
            <v>S·T·S</v>
          </cell>
        </row>
        <row r="9">
          <cell r="D9" t="str">
            <v>봉동3리</v>
          </cell>
          <cell r="E9">
            <v>140</v>
          </cell>
          <cell r="F9">
            <v>96</v>
          </cell>
          <cell r="G9">
            <v>267</v>
          </cell>
          <cell r="H9" t="str">
            <v>지하수</v>
          </cell>
          <cell r="I9" t="str">
            <v>120</v>
          </cell>
          <cell r="J9" t="str">
            <v>249</v>
          </cell>
          <cell r="K9">
            <v>2002</v>
          </cell>
          <cell r="N9">
            <v>30</v>
          </cell>
          <cell r="O9" t="str">
            <v>2002</v>
          </cell>
          <cell r="P9" t="str">
            <v>F·R·P</v>
          </cell>
        </row>
        <row r="10">
          <cell r="D10" t="str">
            <v>마전2리</v>
          </cell>
          <cell r="E10">
            <v>120</v>
          </cell>
          <cell r="F10">
            <v>60</v>
          </cell>
          <cell r="G10">
            <v>240</v>
          </cell>
          <cell r="H10" t="str">
            <v>지하수</v>
          </cell>
          <cell r="I10" t="str">
            <v>154</v>
          </cell>
          <cell r="J10" t="str">
            <v>190</v>
          </cell>
          <cell r="K10">
            <v>2005</v>
          </cell>
          <cell r="N10">
            <v>20</v>
          </cell>
          <cell r="O10" t="str">
            <v>2005</v>
          </cell>
          <cell r="P10" t="str">
            <v>S·T·S</v>
          </cell>
        </row>
        <row r="11">
          <cell r="D11" t="str">
            <v xml:space="preserve">정지4리 </v>
          </cell>
          <cell r="E11">
            <v>50</v>
          </cell>
          <cell r="F11">
            <v>33</v>
          </cell>
          <cell r="G11">
            <v>82</v>
          </cell>
          <cell r="H11" t="str">
            <v>지하수</v>
          </cell>
          <cell r="I11" t="str">
            <v>150</v>
          </cell>
          <cell r="J11" t="str">
            <v>180</v>
          </cell>
          <cell r="K11">
            <v>1998</v>
          </cell>
          <cell r="L11" t="str">
            <v>막여과</v>
          </cell>
          <cell r="M11">
            <v>2002</v>
          </cell>
          <cell r="N11">
            <v>30</v>
          </cell>
          <cell r="O11">
            <v>1998</v>
          </cell>
          <cell r="P11" t="str">
            <v>S·T·S</v>
          </cell>
        </row>
        <row r="12">
          <cell r="D12" t="str">
            <v xml:space="preserve">왕전1리(백조a) </v>
          </cell>
          <cell r="E12">
            <v>80</v>
          </cell>
          <cell r="F12">
            <v>50</v>
          </cell>
          <cell r="G12">
            <v>150</v>
          </cell>
          <cell r="H12" t="str">
            <v>지하수</v>
          </cell>
          <cell r="I12" t="str">
            <v>180</v>
          </cell>
          <cell r="J12" t="str">
            <v>150</v>
          </cell>
          <cell r="K12">
            <v>1995</v>
          </cell>
          <cell r="N12">
            <v>30</v>
          </cell>
          <cell r="O12">
            <v>1995</v>
          </cell>
          <cell r="P12" t="str">
            <v>S·T·S</v>
          </cell>
        </row>
        <row r="13">
          <cell r="D13" t="str">
            <v>사월리</v>
          </cell>
          <cell r="E13">
            <v>80</v>
          </cell>
          <cell r="F13">
            <v>40</v>
          </cell>
          <cell r="G13">
            <v>128</v>
          </cell>
          <cell r="H13" t="str">
            <v>지하수</v>
          </cell>
          <cell r="I13" t="str">
            <v>151</v>
          </cell>
          <cell r="J13" t="str">
            <v>274</v>
          </cell>
          <cell r="K13">
            <v>1999</v>
          </cell>
          <cell r="N13">
            <v>30</v>
          </cell>
          <cell r="O13">
            <v>1999</v>
          </cell>
          <cell r="P13" t="str">
            <v>S·T·S</v>
          </cell>
        </row>
        <row r="14">
          <cell r="D14" t="str">
            <v>항월4리</v>
          </cell>
          <cell r="E14">
            <v>70</v>
          </cell>
          <cell r="F14">
            <v>34</v>
          </cell>
          <cell r="G14">
            <v>136</v>
          </cell>
          <cell r="H14" t="str">
            <v>지하수</v>
          </cell>
          <cell r="I14" t="str">
            <v>152</v>
          </cell>
          <cell r="J14" t="str">
            <v>183</v>
          </cell>
          <cell r="K14" t="str">
            <v>2010</v>
          </cell>
          <cell r="N14">
            <v>30</v>
          </cell>
          <cell r="O14">
            <v>2000</v>
          </cell>
          <cell r="P14" t="str">
            <v>F·R·P</v>
          </cell>
        </row>
        <row r="15">
          <cell r="D15" t="str">
            <v>항월1리</v>
          </cell>
          <cell r="E15">
            <v>80</v>
          </cell>
          <cell r="F15">
            <v>59</v>
          </cell>
          <cell r="G15">
            <v>150</v>
          </cell>
          <cell r="H15" t="str">
            <v>지하수</v>
          </cell>
          <cell r="I15" t="str">
            <v>165</v>
          </cell>
          <cell r="J15" t="str">
            <v>149</v>
          </cell>
          <cell r="K15">
            <v>2003</v>
          </cell>
          <cell r="L15" t="str">
            <v>막여과</v>
          </cell>
          <cell r="M15">
            <v>2008</v>
          </cell>
          <cell r="N15">
            <v>30</v>
          </cell>
          <cell r="O15">
            <v>2003</v>
          </cell>
          <cell r="P15" t="str">
            <v>F·R·P</v>
          </cell>
        </row>
        <row r="16">
          <cell r="D16" t="str">
            <v>왕전1리</v>
          </cell>
          <cell r="E16">
            <v>120</v>
          </cell>
          <cell r="F16">
            <v>58</v>
          </cell>
          <cell r="G16">
            <v>232</v>
          </cell>
          <cell r="H16" t="str">
            <v>지하수</v>
          </cell>
          <cell r="I16" t="str">
            <v>165</v>
          </cell>
          <cell r="J16" t="str">
            <v>151</v>
          </cell>
          <cell r="K16" t="str">
            <v>2007</v>
          </cell>
          <cell r="N16">
            <v>20</v>
          </cell>
          <cell r="O16">
            <v>2005</v>
          </cell>
          <cell r="P16" t="str">
            <v>S·T·S</v>
          </cell>
        </row>
        <row r="17">
          <cell r="D17" t="str">
            <v>왕전3리</v>
          </cell>
          <cell r="E17">
            <v>60</v>
          </cell>
          <cell r="F17">
            <v>44</v>
          </cell>
          <cell r="G17">
            <v>108</v>
          </cell>
          <cell r="H17" t="str">
            <v>지하수</v>
          </cell>
          <cell r="I17" t="str">
            <v>114</v>
          </cell>
          <cell r="J17" t="str">
            <v>110</v>
          </cell>
          <cell r="K17">
            <v>2006</v>
          </cell>
          <cell r="N17">
            <v>25</v>
          </cell>
          <cell r="O17">
            <v>2006</v>
          </cell>
          <cell r="P17" t="str">
            <v>S·T·S</v>
          </cell>
        </row>
        <row r="18">
          <cell r="D18" t="str">
            <v>항월3리</v>
          </cell>
          <cell r="E18">
            <v>80</v>
          </cell>
          <cell r="F18">
            <v>37</v>
          </cell>
          <cell r="G18">
            <v>148</v>
          </cell>
          <cell r="H18" t="str">
            <v>지하수</v>
          </cell>
          <cell r="I18" t="str">
            <v>151</v>
          </cell>
          <cell r="J18" t="str">
            <v>160</v>
          </cell>
          <cell r="K18">
            <v>2007</v>
          </cell>
          <cell r="N18">
            <v>30</v>
          </cell>
          <cell r="O18">
            <v>2007</v>
          </cell>
          <cell r="P18" t="str">
            <v>S·T·S</v>
          </cell>
        </row>
        <row r="19">
          <cell r="D19" t="str">
            <v>천동2,3리</v>
          </cell>
          <cell r="E19">
            <v>130</v>
          </cell>
          <cell r="F19">
            <v>73</v>
          </cell>
          <cell r="G19">
            <v>250</v>
          </cell>
          <cell r="H19" t="str">
            <v>지하수</v>
          </cell>
          <cell r="I19" t="str">
            <v>150</v>
          </cell>
          <cell r="J19" t="str">
            <v>180</v>
          </cell>
          <cell r="K19">
            <v>2008</v>
          </cell>
          <cell r="N19">
            <v>30</v>
          </cell>
          <cell r="O19">
            <v>2008</v>
          </cell>
          <cell r="P19" t="str">
            <v>S·T·S</v>
          </cell>
        </row>
        <row r="20">
          <cell r="D20" t="str">
            <v>읍내1리</v>
          </cell>
          <cell r="E20">
            <v>140</v>
          </cell>
          <cell r="F20">
            <v>76</v>
          </cell>
          <cell r="G20">
            <v>266</v>
          </cell>
          <cell r="H20" t="str">
            <v>지하수</v>
          </cell>
          <cell r="I20" t="str">
            <v>205</v>
          </cell>
          <cell r="J20" t="str">
            <v>164</v>
          </cell>
          <cell r="K20">
            <v>2000</v>
          </cell>
          <cell r="N20">
            <v>60</v>
          </cell>
          <cell r="O20">
            <v>2000</v>
          </cell>
          <cell r="P20" t="str">
            <v>S·T·S</v>
          </cell>
        </row>
        <row r="21">
          <cell r="D21" t="str">
            <v>읍내2리(읍내3리)</v>
          </cell>
          <cell r="E21">
            <v>140</v>
          </cell>
          <cell r="F21">
            <v>84</v>
          </cell>
          <cell r="G21">
            <v>276</v>
          </cell>
          <cell r="H21" t="str">
            <v>지하수</v>
          </cell>
          <cell r="I21" t="str">
            <v>250</v>
          </cell>
          <cell r="J21" t="str">
            <v>164</v>
          </cell>
          <cell r="K21">
            <v>2001</v>
          </cell>
          <cell r="N21">
            <v>40</v>
          </cell>
          <cell r="O21">
            <v>2001</v>
          </cell>
          <cell r="P21" t="str">
            <v>S·T·S</v>
          </cell>
        </row>
        <row r="22">
          <cell r="D22" t="str">
            <v>교촌리</v>
          </cell>
          <cell r="E22">
            <v>200</v>
          </cell>
          <cell r="F22">
            <v>121</v>
          </cell>
          <cell r="G22">
            <v>385</v>
          </cell>
          <cell r="H22" t="str">
            <v>지하수</v>
          </cell>
          <cell r="I22" t="str">
            <v>200</v>
          </cell>
          <cell r="J22" t="str">
            <v>150</v>
          </cell>
          <cell r="K22">
            <v>2004</v>
          </cell>
          <cell r="L22" t="str">
            <v>기타</v>
          </cell>
          <cell r="N22">
            <v>40</v>
          </cell>
          <cell r="O22">
            <v>2004</v>
          </cell>
          <cell r="P22" t="str">
            <v>S·T·S</v>
          </cell>
        </row>
        <row r="23">
          <cell r="D23" t="str">
            <v>죽림3리</v>
          </cell>
          <cell r="E23">
            <v>50</v>
          </cell>
          <cell r="F23">
            <v>57</v>
          </cell>
          <cell r="G23">
            <v>93</v>
          </cell>
          <cell r="H23" t="str">
            <v>지하수</v>
          </cell>
          <cell r="I23" t="str">
            <v>158</v>
          </cell>
          <cell r="J23" t="str">
            <v>150</v>
          </cell>
          <cell r="K23">
            <v>2006</v>
          </cell>
          <cell r="N23">
            <v>20</v>
          </cell>
          <cell r="O23">
            <v>2006</v>
          </cell>
          <cell r="P23" t="str">
            <v>S·T·S</v>
          </cell>
        </row>
        <row r="24">
          <cell r="D24" t="str">
            <v>호암2리</v>
          </cell>
          <cell r="E24">
            <v>80</v>
          </cell>
          <cell r="F24">
            <v>39</v>
          </cell>
          <cell r="G24">
            <v>156</v>
          </cell>
          <cell r="H24" t="str">
            <v>지하수</v>
          </cell>
          <cell r="I24" t="str">
            <v>151</v>
          </cell>
          <cell r="J24" t="str">
            <v>170</v>
          </cell>
          <cell r="K24">
            <v>2007</v>
          </cell>
          <cell r="N24">
            <v>20</v>
          </cell>
          <cell r="O24">
            <v>2007</v>
          </cell>
          <cell r="P24" t="str">
            <v>S·T·S</v>
          </cell>
        </row>
        <row r="25">
          <cell r="D25" t="str">
            <v>두사2리</v>
          </cell>
          <cell r="E25">
            <v>70</v>
          </cell>
          <cell r="F25">
            <v>41</v>
          </cell>
          <cell r="G25">
            <v>123</v>
          </cell>
          <cell r="H25" t="str">
            <v>지하수</v>
          </cell>
          <cell r="I25" t="str">
            <v>152</v>
          </cell>
          <cell r="J25" t="str">
            <v>170</v>
          </cell>
          <cell r="K25">
            <v>2008</v>
          </cell>
          <cell r="N25">
            <v>20</v>
          </cell>
          <cell r="O25">
            <v>2008</v>
          </cell>
          <cell r="P25" t="str">
            <v>S·T·S</v>
          </cell>
        </row>
        <row r="26">
          <cell r="D26" t="str">
            <v>효죽리</v>
          </cell>
          <cell r="E26">
            <v>90</v>
          </cell>
          <cell r="F26">
            <v>52</v>
          </cell>
          <cell r="G26">
            <v>180</v>
          </cell>
          <cell r="H26" t="str">
            <v>지하수</v>
          </cell>
          <cell r="I26" t="str">
            <v>160</v>
          </cell>
          <cell r="J26" t="str">
            <v>153</v>
          </cell>
          <cell r="K26">
            <v>2009</v>
          </cell>
          <cell r="N26">
            <v>25</v>
          </cell>
          <cell r="O26">
            <v>2009</v>
          </cell>
          <cell r="P26" t="str">
            <v>S·T·S</v>
          </cell>
        </row>
        <row r="27">
          <cell r="D27" t="str">
            <v>노티1리</v>
          </cell>
          <cell r="E27">
            <v>60</v>
          </cell>
          <cell r="F27">
            <v>34</v>
          </cell>
          <cell r="G27">
            <v>102</v>
          </cell>
          <cell r="H27" t="str">
            <v>지하수</v>
          </cell>
          <cell r="I27" t="str">
            <v>150</v>
          </cell>
          <cell r="J27" t="str">
            <v>240</v>
          </cell>
          <cell r="K27" t="str">
            <v>2010</v>
          </cell>
          <cell r="N27">
            <v>15</v>
          </cell>
          <cell r="O27" t="str">
            <v>2010</v>
          </cell>
          <cell r="P27" t="str">
            <v>S·T·S</v>
          </cell>
        </row>
        <row r="28">
          <cell r="D28" t="str">
            <v>읍내2리</v>
          </cell>
          <cell r="E28">
            <v>80</v>
          </cell>
          <cell r="F28">
            <v>80</v>
          </cell>
          <cell r="G28">
            <v>160</v>
          </cell>
          <cell r="H28" t="str">
            <v>지하수</v>
          </cell>
          <cell r="I28" t="str">
            <v>150</v>
          </cell>
          <cell r="J28" t="str">
            <v>180</v>
          </cell>
          <cell r="K28" t="str">
            <v>1010</v>
          </cell>
          <cell r="N28">
            <v>30</v>
          </cell>
          <cell r="O28" t="str">
            <v>2010</v>
          </cell>
          <cell r="P28" t="str">
            <v>S·T·S</v>
          </cell>
        </row>
        <row r="29">
          <cell r="D29" t="str">
            <v>장구2리</v>
          </cell>
          <cell r="E29">
            <v>80</v>
          </cell>
          <cell r="F29">
            <v>50</v>
          </cell>
          <cell r="G29">
            <v>150</v>
          </cell>
          <cell r="H29" t="str">
            <v>지하수</v>
          </cell>
          <cell r="I29" t="str">
            <v>100</v>
          </cell>
          <cell r="J29" t="str">
            <v>170</v>
          </cell>
          <cell r="K29" t="str">
            <v>2012</v>
          </cell>
          <cell r="N29">
            <v>30</v>
          </cell>
          <cell r="O29" t="str">
            <v>2012</v>
          </cell>
          <cell r="P29" t="str">
            <v>S·T·S</v>
          </cell>
        </row>
        <row r="30">
          <cell r="D30" t="str">
            <v>호암1리</v>
          </cell>
          <cell r="E30">
            <v>60</v>
          </cell>
          <cell r="F30">
            <v>47</v>
          </cell>
          <cell r="G30">
            <v>101</v>
          </cell>
          <cell r="H30" t="str">
            <v>지하수</v>
          </cell>
          <cell r="I30" t="str">
            <v>100</v>
          </cell>
          <cell r="J30" t="str">
            <v>180</v>
          </cell>
          <cell r="K30" t="str">
            <v>2012</v>
          </cell>
          <cell r="N30">
            <v>30</v>
          </cell>
          <cell r="O30" t="str">
            <v>2012</v>
          </cell>
          <cell r="P30" t="str">
            <v>S·T·S</v>
          </cell>
        </row>
        <row r="31">
          <cell r="D31" t="str">
            <v>신충1리</v>
          </cell>
          <cell r="E31">
            <v>90</v>
          </cell>
          <cell r="F31">
            <v>67</v>
          </cell>
          <cell r="G31">
            <v>172</v>
          </cell>
          <cell r="H31" t="str">
            <v>지하수</v>
          </cell>
          <cell r="I31" t="str">
            <v>150</v>
          </cell>
          <cell r="J31" t="str">
            <v>150</v>
          </cell>
          <cell r="K31" t="str">
            <v>2003</v>
          </cell>
          <cell r="N31">
            <v>40</v>
          </cell>
          <cell r="O31">
            <v>1975</v>
          </cell>
          <cell r="P31" t="str">
            <v>S·T·S</v>
          </cell>
        </row>
        <row r="32">
          <cell r="D32" t="str">
            <v>월오리</v>
          </cell>
          <cell r="E32">
            <v>80</v>
          </cell>
          <cell r="F32">
            <v>1</v>
          </cell>
          <cell r="G32">
            <v>150</v>
          </cell>
          <cell r="H32" t="str">
            <v>지하수</v>
          </cell>
          <cell r="I32" t="str">
            <v>120</v>
          </cell>
          <cell r="J32" t="str">
            <v>140</v>
          </cell>
          <cell r="K32">
            <v>1987</v>
          </cell>
          <cell r="N32">
            <v>50</v>
          </cell>
          <cell r="O32">
            <v>1987</v>
          </cell>
          <cell r="P32" t="str">
            <v>프라스틱</v>
          </cell>
        </row>
        <row r="33">
          <cell r="D33" t="str">
            <v>상도1리</v>
          </cell>
          <cell r="E33">
            <v>100</v>
          </cell>
          <cell r="F33">
            <v>48</v>
          </cell>
          <cell r="G33">
            <v>192</v>
          </cell>
          <cell r="H33" t="str">
            <v>지하수</v>
          </cell>
          <cell r="I33" t="str">
            <v>152</v>
          </cell>
          <cell r="J33" t="str">
            <v>307</v>
          </cell>
          <cell r="K33">
            <v>2000</v>
          </cell>
          <cell r="N33">
            <v>30</v>
          </cell>
          <cell r="O33">
            <v>2000</v>
          </cell>
          <cell r="P33" t="str">
            <v>S·T·S</v>
          </cell>
        </row>
        <row r="34">
          <cell r="D34" t="str">
            <v>주곡리</v>
          </cell>
          <cell r="E34">
            <v>100</v>
          </cell>
          <cell r="F34">
            <v>66</v>
          </cell>
          <cell r="G34">
            <v>185</v>
          </cell>
          <cell r="H34" t="str">
            <v>지하수</v>
          </cell>
          <cell r="I34" t="str">
            <v>202</v>
          </cell>
          <cell r="J34" t="str">
            <v>182</v>
          </cell>
          <cell r="K34">
            <v>2001</v>
          </cell>
          <cell r="N34">
            <v>30</v>
          </cell>
          <cell r="O34">
            <v>2001</v>
          </cell>
          <cell r="P34" t="str">
            <v>S·T·S</v>
          </cell>
        </row>
        <row r="35">
          <cell r="D35" t="str">
            <v>숙진1리</v>
          </cell>
          <cell r="E35">
            <v>70</v>
          </cell>
          <cell r="F35">
            <v>55</v>
          </cell>
          <cell r="G35">
            <v>140</v>
          </cell>
          <cell r="H35" t="str">
            <v>지하수</v>
          </cell>
          <cell r="I35" t="str">
            <v>205</v>
          </cell>
          <cell r="J35" t="str">
            <v>299</v>
          </cell>
          <cell r="K35">
            <v>2003</v>
          </cell>
          <cell r="N35">
            <v>30</v>
          </cell>
          <cell r="O35">
            <v>2003</v>
          </cell>
          <cell r="P35" t="str">
            <v>S·T·S</v>
          </cell>
        </row>
        <row r="36">
          <cell r="D36" t="str">
            <v>상도2리</v>
          </cell>
          <cell r="E36">
            <v>80</v>
          </cell>
          <cell r="F36">
            <v>50</v>
          </cell>
          <cell r="G36">
            <v>145</v>
          </cell>
          <cell r="H36" t="str">
            <v>지하수</v>
          </cell>
          <cell r="I36" t="str">
            <v>205</v>
          </cell>
          <cell r="J36" t="str">
            <v>229</v>
          </cell>
          <cell r="K36">
            <v>2003</v>
          </cell>
          <cell r="N36">
            <v>30</v>
          </cell>
          <cell r="O36">
            <v>2003</v>
          </cell>
          <cell r="P36" t="str">
            <v>S·T·S</v>
          </cell>
        </row>
        <row r="37">
          <cell r="D37" t="str">
            <v>숙진2리</v>
          </cell>
          <cell r="E37">
            <v>110</v>
          </cell>
          <cell r="F37">
            <v>53</v>
          </cell>
          <cell r="G37">
            <v>212</v>
          </cell>
          <cell r="H37" t="str">
            <v>지하수</v>
          </cell>
          <cell r="I37" t="str">
            <v>153</v>
          </cell>
          <cell r="J37" t="str">
            <v>200</v>
          </cell>
          <cell r="K37">
            <v>2005</v>
          </cell>
          <cell r="N37">
            <v>20</v>
          </cell>
          <cell r="O37">
            <v>2005</v>
          </cell>
          <cell r="P37" t="str">
            <v>S·T·S</v>
          </cell>
        </row>
        <row r="38">
          <cell r="D38" t="str">
            <v>석종2리</v>
          </cell>
          <cell r="E38">
            <v>50</v>
          </cell>
          <cell r="F38">
            <v>25</v>
          </cell>
          <cell r="G38">
            <v>100</v>
          </cell>
          <cell r="H38" t="str">
            <v>지하수</v>
          </cell>
          <cell r="I38" t="str">
            <v>167</v>
          </cell>
          <cell r="J38" t="str">
            <v>220</v>
          </cell>
          <cell r="K38">
            <v>2006</v>
          </cell>
          <cell r="N38">
            <v>20</v>
          </cell>
          <cell r="O38">
            <v>2006</v>
          </cell>
          <cell r="P38" t="str">
            <v>S·T·S</v>
          </cell>
        </row>
        <row r="39">
          <cell r="D39" t="str">
            <v>한천1리</v>
          </cell>
          <cell r="E39">
            <v>100</v>
          </cell>
          <cell r="F39">
            <v>61</v>
          </cell>
          <cell r="G39">
            <v>200</v>
          </cell>
          <cell r="H39" t="str">
            <v>지하수</v>
          </cell>
          <cell r="I39" t="str">
            <v>150</v>
          </cell>
          <cell r="J39" t="str">
            <v>150</v>
          </cell>
          <cell r="K39">
            <v>2009</v>
          </cell>
          <cell r="N39">
            <v>25</v>
          </cell>
          <cell r="O39">
            <v>2009</v>
          </cell>
          <cell r="P39" t="str">
            <v>S·T·S</v>
          </cell>
        </row>
        <row r="40">
          <cell r="D40" t="str">
            <v>대명1리</v>
          </cell>
          <cell r="E40">
            <v>110</v>
          </cell>
          <cell r="F40">
            <v>73</v>
          </cell>
          <cell r="G40">
            <v>219</v>
          </cell>
          <cell r="H40" t="str">
            <v>지하수</v>
          </cell>
          <cell r="I40" t="str">
            <v>152</v>
          </cell>
          <cell r="J40" t="str">
            <v>172</v>
          </cell>
          <cell r="K40" t="str">
            <v>2010</v>
          </cell>
          <cell r="N40">
            <v>30</v>
          </cell>
          <cell r="O40" t="str">
            <v>2010</v>
          </cell>
          <cell r="P40" t="str">
            <v>S·T·S</v>
          </cell>
        </row>
        <row r="41">
          <cell r="D41" t="str">
            <v>부인2,3리</v>
          </cell>
          <cell r="E41">
            <v>130</v>
          </cell>
          <cell r="F41">
            <v>100</v>
          </cell>
          <cell r="G41">
            <v>259</v>
          </cell>
          <cell r="H41" t="str">
            <v>지하수</v>
          </cell>
          <cell r="I41" t="str">
            <v>200</v>
          </cell>
          <cell r="J41" t="str">
            <v>190</v>
          </cell>
          <cell r="K41">
            <v>2000</v>
          </cell>
          <cell r="N41">
            <v>50</v>
          </cell>
          <cell r="O41">
            <v>2000</v>
          </cell>
          <cell r="P41" t="str">
            <v>S·T·S</v>
          </cell>
        </row>
        <row r="42">
          <cell r="D42" t="str">
            <v>신풍1리</v>
          </cell>
          <cell r="E42">
            <v>50</v>
          </cell>
          <cell r="F42">
            <v>9</v>
          </cell>
          <cell r="G42">
            <v>36</v>
          </cell>
          <cell r="H42" t="str">
            <v>지하수</v>
          </cell>
          <cell r="I42" t="str">
            <v>150</v>
          </cell>
          <cell r="J42" t="str">
            <v>120</v>
          </cell>
          <cell r="K42">
            <v>2009</v>
          </cell>
          <cell r="N42">
            <v>10</v>
          </cell>
          <cell r="O42">
            <v>2009</v>
          </cell>
          <cell r="P42" t="str">
            <v>S·T·S</v>
          </cell>
        </row>
        <row r="43">
          <cell r="D43" t="str">
            <v>청동1리</v>
          </cell>
          <cell r="E43">
            <v>40</v>
          </cell>
          <cell r="F43">
            <v>31</v>
          </cell>
          <cell r="G43">
            <v>65</v>
          </cell>
          <cell r="H43" t="str">
            <v>지하수</v>
          </cell>
          <cell r="I43" t="str">
            <v>130</v>
          </cell>
          <cell r="J43" t="str">
            <v>145</v>
          </cell>
          <cell r="K43" t="str">
            <v>2003</v>
          </cell>
          <cell r="N43">
            <v>30</v>
          </cell>
          <cell r="O43">
            <v>1979</v>
          </cell>
          <cell r="P43" t="str">
            <v>S·T·S</v>
          </cell>
        </row>
        <row r="44">
          <cell r="D44" t="str">
            <v>덕암1리</v>
          </cell>
          <cell r="E44">
            <v>120</v>
          </cell>
          <cell r="F44">
            <v>71</v>
          </cell>
          <cell r="G44">
            <v>224</v>
          </cell>
          <cell r="H44" t="str">
            <v>지하수</v>
          </cell>
          <cell r="I44" t="str">
            <v>150</v>
          </cell>
          <cell r="J44" t="str">
            <v>170</v>
          </cell>
          <cell r="K44">
            <v>1998</v>
          </cell>
          <cell r="N44">
            <v>30</v>
          </cell>
          <cell r="O44">
            <v>1998</v>
          </cell>
          <cell r="P44" t="str">
            <v>S·T·S</v>
          </cell>
        </row>
        <row r="45">
          <cell r="D45" t="str">
            <v>백석2리</v>
          </cell>
          <cell r="E45">
            <v>50</v>
          </cell>
          <cell r="F45">
            <v>34</v>
          </cell>
          <cell r="G45">
            <v>84</v>
          </cell>
          <cell r="H45" t="str">
            <v>지하수</v>
          </cell>
          <cell r="I45" t="str">
            <v>120</v>
          </cell>
          <cell r="J45" t="str">
            <v>150</v>
          </cell>
          <cell r="K45">
            <v>2000</v>
          </cell>
          <cell r="N45">
            <v>30</v>
          </cell>
          <cell r="O45">
            <v>2000</v>
          </cell>
          <cell r="P45" t="str">
            <v>S·T·S</v>
          </cell>
        </row>
        <row r="46">
          <cell r="D46" t="str">
            <v>화악리</v>
          </cell>
          <cell r="E46">
            <v>130</v>
          </cell>
          <cell r="F46">
            <v>83</v>
          </cell>
          <cell r="G46">
            <v>249</v>
          </cell>
          <cell r="H46" t="str">
            <v>지하수</v>
          </cell>
          <cell r="I46" t="str">
            <v>205</v>
          </cell>
          <cell r="J46" t="str">
            <v>201</v>
          </cell>
          <cell r="K46">
            <v>2001</v>
          </cell>
          <cell r="N46">
            <v>40</v>
          </cell>
          <cell r="O46">
            <v>2001</v>
          </cell>
          <cell r="P46" t="str">
            <v>S·T·S</v>
          </cell>
        </row>
        <row r="47">
          <cell r="D47" t="str">
            <v>임리</v>
          </cell>
          <cell r="E47">
            <v>80</v>
          </cell>
          <cell r="F47">
            <v>40</v>
          </cell>
          <cell r="G47">
            <v>158</v>
          </cell>
          <cell r="H47" t="str">
            <v>지하수</v>
          </cell>
          <cell r="I47" t="str">
            <v>230</v>
          </cell>
          <cell r="J47" t="str">
            <v>153</v>
          </cell>
          <cell r="K47">
            <v>2002</v>
          </cell>
          <cell r="N47">
            <v>30</v>
          </cell>
          <cell r="O47">
            <v>2002</v>
          </cell>
          <cell r="P47" t="str">
            <v>S·T·S</v>
          </cell>
        </row>
        <row r="48">
          <cell r="D48" t="str">
            <v>장전3리</v>
          </cell>
          <cell r="E48">
            <v>80</v>
          </cell>
          <cell r="F48">
            <v>60</v>
          </cell>
          <cell r="G48">
            <v>156</v>
          </cell>
          <cell r="H48" t="str">
            <v>지하수</v>
          </cell>
          <cell r="I48" t="str">
            <v>200</v>
          </cell>
          <cell r="J48" t="str">
            <v>229</v>
          </cell>
          <cell r="K48">
            <v>2002</v>
          </cell>
          <cell r="N48">
            <v>30</v>
          </cell>
          <cell r="O48">
            <v>2002</v>
          </cell>
          <cell r="P48" t="str">
            <v>F·R·P</v>
          </cell>
        </row>
        <row r="49">
          <cell r="D49" t="str">
            <v>표정2리</v>
          </cell>
          <cell r="E49">
            <v>100</v>
          </cell>
          <cell r="F49">
            <v>69</v>
          </cell>
          <cell r="G49">
            <v>200</v>
          </cell>
          <cell r="H49" t="str">
            <v>지하수</v>
          </cell>
          <cell r="I49" t="str">
            <v>205</v>
          </cell>
          <cell r="J49" t="str">
            <v>215</v>
          </cell>
          <cell r="K49">
            <v>2003</v>
          </cell>
          <cell r="N49">
            <v>40</v>
          </cell>
          <cell r="O49">
            <v>2003</v>
          </cell>
          <cell r="P49" t="str">
            <v>F·R·P</v>
          </cell>
        </row>
        <row r="50">
          <cell r="D50" t="str">
            <v>장전2리</v>
          </cell>
          <cell r="E50">
            <v>100</v>
          </cell>
          <cell r="F50">
            <v>52</v>
          </cell>
          <cell r="G50">
            <v>191</v>
          </cell>
          <cell r="H50" t="str">
            <v>지하수</v>
          </cell>
          <cell r="I50" t="str">
            <v>205</v>
          </cell>
          <cell r="J50" t="str">
            <v>215</v>
          </cell>
          <cell r="K50">
            <v>2003</v>
          </cell>
          <cell r="N50">
            <v>30</v>
          </cell>
          <cell r="O50">
            <v>2003</v>
          </cell>
          <cell r="P50" t="str">
            <v>F·R·P</v>
          </cell>
        </row>
        <row r="51">
          <cell r="D51" t="str">
            <v>백석3리</v>
          </cell>
          <cell r="E51">
            <v>90</v>
          </cell>
          <cell r="F51">
            <v>64</v>
          </cell>
          <cell r="G51">
            <v>175</v>
          </cell>
          <cell r="H51" t="str">
            <v>지하수</v>
          </cell>
          <cell r="I51" t="str">
            <v>205</v>
          </cell>
          <cell r="J51" t="str">
            <v>236</v>
          </cell>
          <cell r="K51">
            <v>2004</v>
          </cell>
          <cell r="N51">
            <v>20</v>
          </cell>
          <cell r="O51">
            <v>2004</v>
          </cell>
          <cell r="P51" t="str">
            <v>S·T·S</v>
          </cell>
        </row>
        <row r="52">
          <cell r="D52" t="str">
            <v>신양2리</v>
          </cell>
          <cell r="E52">
            <v>90</v>
          </cell>
          <cell r="F52">
            <v>55</v>
          </cell>
          <cell r="G52">
            <v>165</v>
          </cell>
          <cell r="H52" t="str">
            <v>지하수</v>
          </cell>
          <cell r="I52" t="str">
            <v>240</v>
          </cell>
          <cell r="J52" t="str">
            <v>158</v>
          </cell>
          <cell r="K52">
            <v>2004</v>
          </cell>
          <cell r="N52">
            <v>20</v>
          </cell>
          <cell r="O52">
            <v>2004</v>
          </cell>
          <cell r="P52" t="str">
            <v>S·T·S</v>
          </cell>
        </row>
        <row r="53">
          <cell r="D53" t="str">
            <v>백석4리</v>
          </cell>
          <cell r="E53">
            <v>150</v>
          </cell>
          <cell r="F53">
            <v>74</v>
          </cell>
          <cell r="G53">
            <v>296</v>
          </cell>
          <cell r="H53" t="str">
            <v>지하수</v>
          </cell>
          <cell r="I53" t="str">
            <v>150</v>
          </cell>
          <cell r="J53" t="str">
            <v>210</v>
          </cell>
          <cell r="K53">
            <v>2005</v>
          </cell>
          <cell r="N53">
            <v>20</v>
          </cell>
          <cell r="O53">
            <v>2005</v>
          </cell>
          <cell r="P53" t="str">
            <v>S·T·S</v>
          </cell>
        </row>
        <row r="54">
          <cell r="D54" t="str">
            <v>송정1리</v>
          </cell>
          <cell r="E54">
            <v>30</v>
          </cell>
          <cell r="F54">
            <v>72</v>
          </cell>
          <cell r="G54">
            <v>158</v>
          </cell>
          <cell r="H54" t="str">
            <v>지하수</v>
          </cell>
          <cell r="I54" t="str">
            <v>141</v>
          </cell>
          <cell r="J54" t="str">
            <v>110</v>
          </cell>
          <cell r="K54">
            <v>2006</v>
          </cell>
          <cell r="N54">
            <v>20</v>
          </cell>
          <cell r="O54">
            <v>2006</v>
          </cell>
          <cell r="P54" t="str">
            <v>S.T.S</v>
          </cell>
        </row>
        <row r="55">
          <cell r="D55" t="str">
            <v>사포리</v>
          </cell>
          <cell r="E55">
            <v>40</v>
          </cell>
          <cell r="F55">
            <v>24</v>
          </cell>
          <cell r="G55">
            <v>72</v>
          </cell>
          <cell r="H55" t="str">
            <v>지하수</v>
          </cell>
          <cell r="I55" t="str">
            <v>150</v>
          </cell>
          <cell r="J55" t="str">
            <v>150</v>
          </cell>
          <cell r="K55">
            <v>2006</v>
          </cell>
          <cell r="N55">
            <v>25</v>
          </cell>
          <cell r="O55">
            <v>2006</v>
          </cell>
          <cell r="P55" t="str">
            <v>S.T.S</v>
          </cell>
        </row>
        <row r="56">
          <cell r="D56" t="str">
            <v>송정2리</v>
          </cell>
          <cell r="E56">
            <v>50</v>
          </cell>
          <cell r="F56">
            <v>28</v>
          </cell>
          <cell r="G56">
            <v>84</v>
          </cell>
          <cell r="H56" t="str">
            <v>지하수</v>
          </cell>
          <cell r="I56" t="str">
            <v>160</v>
          </cell>
          <cell r="J56" t="str">
            <v>145</v>
          </cell>
          <cell r="K56">
            <v>2008</v>
          </cell>
          <cell r="N56">
            <v>15</v>
          </cell>
          <cell r="O56">
            <v>2008</v>
          </cell>
          <cell r="P56" t="str">
            <v>S·T·S</v>
          </cell>
        </row>
        <row r="57">
          <cell r="D57" t="str">
            <v>한전2리</v>
          </cell>
          <cell r="E57">
            <v>50</v>
          </cell>
          <cell r="F57">
            <v>29</v>
          </cell>
          <cell r="G57">
            <v>87</v>
          </cell>
          <cell r="H57" t="str">
            <v>지하수</v>
          </cell>
          <cell r="I57" t="str">
            <v>172</v>
          </cell>
          <cell r="J57" t="str">
            <v>160</v>
          </cell>
          <cell r="K57">
            <v>2008</v>
          </cell>
          <cell r="N57">
            <v>15</v>
          </cell>
          <cell r="O57">
            <v>2008</v>
          </cell>
          <cell r="P57" t="str">
            <v>S·T·S</v>
          </cell>
        </row>
        <row r="58">
          <cell r="D58" t="str">
            <v>백석1리</v>
          </cell>
          <cell r="E58">
            <v>50</v>
          </cell>
          <cell r="F58">
            <v>33</v>
          </cell>
          <cell r="G58">
            <v>99</v>
          </cell>
          <cell r="H58" t="str">
            <v>지하수</v>
          </cell>
          <cell r="I58" t="str">
            <v>151</v>
          </cell>
          <cell r="J58" t="str">
            <v>243</v>
          </cell>
          <cell r="K58">
            <v>2008</v>
          </cell>
          <cell r="N58">
            <v>15</v>
          </cell>
          <cell r="O58">
            <v>2008</v>
          </cell>
          <cell r="P58" t="str">
            <v>S·T·S</v>
          </cell>
        </row>
        <row r="59">
          <cell r="D59" t="str">
            <v>신양1리(중2)</v>
          </cell>
          <cell r="E59">
            <v>100</v>
          </cell>
          <cell r="F59">
            <v>66</v>
          </cell>
          <cell r="G59">
            <v>198</v>
          </cell>
          <cell r="H59" t="str">
            <v>지하수</v>
          </cell>
          <cell r="I59" t="str">
            <v>156</v>
          </cell>
          <cell r="J59" t="str">
            <v>140</v>
          </cell>
          <cell r="K59">
            <v>2008</v>
          </cell>
          <cell r="N59">
            <v>30</v>
          </cell>
          <cell r="O59">
            <v>2008</v>
          </cell>
          <cell r="P59" t="str">
            <v>S·T·S</v>
          </cell>
        </row>
        <row r="60">
          <cell r="D60" t="str">
            <v>한전, 임리</v>
          </cell>
          <cell r="E60">
            <v>100</v>
          </cell>
          <cell r="F60">
            <v>48</v>
          </cell>
          <cell r="G60">
            <v>192</v>
          </cell>
          <cell r="H60" t="str">
            <v>지하수</v>
          </cell>
          <cell r="I60" t="str">
            <v>162</v>
          </cell>
          <cell r="J60" t="str">
            <v>130</v>
          </cell>
          <cell r="K60">
            <v>2009</v>
          </cell>
          <cell r="N60">
            <v>40</v>
          </cell>
          <cell r="O60">
            <v>2009</v>
          </cell>
          <cell r="P60" t="str">
            <v>S·T·S</v>
          </cell>
        </row>
        <row r="61">
          <cell r="D61" t="str">
            <v>어은2리</v>
          </cell>
          <cell r="E61">
            <v>60</v>
          </cell>
          <cell r="F61">
            <v>35</v>
          </cell>
          <cell r="G61">
            <v>105</v>
          </cell>
          <cell r="H61" t="str">
            <v>지하수</v>
          </cell>
          <cell r="I61" t="str">
            <v>152</v>
          </cell>
          <cell r="J61" t="str">
            <v>100</v>
          </cell>
          <cell r="K61" t="str">
            <v>2010</v>
          </cell>
          <cell r="N61">
            <v>15</v>
          </cell>
          <cell r="O61" t="str">
            <v>2010</v>
          </cell>
          <cell r="P61" t="str">
            <v>S·T·S</v>
          </cell>
        </row>
        <row r="62">
          <cell r="D62" t="str">
            <v>천호리</v>
          </cell>
          <cell r="E62">
            <v>80</v>
          </cell>
          <cell r="F62">
            <v>48</v>
          </cell>
          <cell r="G62">
            <v>162</v>
          </cell>
          <cell r="H62" t="str">
            <v>지하수</v>
          </cell>
          <cell r="I62" t="str">
            <v>180</v>
          </cell>
          <cell r="J62" t="str">
            <v>210</v>
          </cell>
          <cell r="K62" t="str">
            <v>2012</v>
          </cell>
          <cell r="N62">
            <v>40</v>
          </cell>
          <cell r="O62" t="str">
            <v>2012</v>
          </cell>
          <cell r="P62" t="str">
            <v>S·T·S</v>
          </cell>
        </row>
        <row r="63">
          <cell r="D63" t="str">
            <v>양산1리</v>
          </cell>
          <cell r="E63">
            <v>50</v>
          </cell>
          <cell r="F63">
            <v>34</v>
          </cell>
          <cell r="G63">
            <v>81</v>
          </cell>
          <cell r="H63" t="str">
            <v>지하수</v>
          </cell>
          <cell r="I63" t="str">
            <v>201</v>
          </cell>
          <cell r="J63" t="str">
            <v>120</v>
          </cell>
          <cell r="K63">
            <v>1996</v>
          </cell>
          <cell r="L63" t="str">
            <v>막여과</v>
          </cell>
          <cell r="M63">
            <v>2009</v>
          </cell>
          <cell r="N63">
            <v>30</v>
          </cell>
          <cell r="O63">
            <v>1996</v>
          </cell>
          <cell r="P63" t="str">
            <v>S·T·S</v>
          </cell>
        </row>
        <row r="64">
          <cell r="D64" t="str">
            <v>조동1리</v>
          </cell>
          <cell r="E64">
            <v>70</v>
          </cell>
          <cell r="F64">
            <v>51</v>
          </cell>
          <cell r="G64">
            <v>125</v>
          </cell>
          <cell r="H64" t="str">
            <v>지하수</v>
          </cell>
          <cell r="I64" t="str">
            <v>200</v>
          </cell>
          <cell r="J64" t="str">
            <v>150</v>
          </cell>
          <cell r="K64">
            <v>1999</v>
          </cell>
          <cell r="N64">
            <v>30</v>
          </cell>
          <cell r="O64">
            <v>1999</v>
          </cell>
          <cell r="P64" t="str">
            <v>S·T·S</v>
          </cell>
        </row>
        <row r="65">
          <cell r="D65" t="str">
            <v>대덕리</v>
          </cell>
          <cell r="E65">
            <v>110</v>
          </cell>
          <cell r="F65">
            <v>81</v>
          </cell>
          <cell r="G65">
            <v>219</v>
          </cell>
          <cell r="H65" t="str">
            <v>지하수</v>
          </cell>
          <cell r="I65" t="str">
            <v>198</v>
          </cell>
          <cell r="J65" t="str">
            <v>188</v>
          </cell>
          <cell r="K65">
            <v>2002</v>
          </cell>
          <cell r="N65">
            <v>30</v>
          </cell>
          <cell r="O65">
            <v>2002</v>
          </cell>
          <cell r="P65" t="str">
            <v>S·T·S</v>
          </cell>
        </row>
        <row r="66">
          <cell r="D66" t="str">
            <v xml:space="preserve">한삼천1 </v>
          </cell>
          <cell r="E66">
            <v>120</v>
          </cell>
          <cell r="F66">
            <v>99</v>
          </cell>
          <cell r="G66">
            <v>232</v>
          </cell>
          <cell r="H66" t="str">
            <v>지하수</v>
          </cell>
          <cell r="I66" t="str">
            <v>176</v>
          </cell>
          <cell r="J66" t="str">
            <v>180</v>
          </cell>
          <cell r="K66">
            <v>2004</v>
          </cell>
          <cell r="N66">
            <v>60</v>
          </cell>
          <cell r="O66">
            <v>2004</v>
          </cell>
          <cell r="P66" t="str">
            <v>S·T·S</v>
          </cell>
        </row>
        <row r="67">
          <cell r="D67" t="str">
            <v>수락1리</v>
          </cell>
          <cell r="E67">
            <v>50</v>
          </cell>
          <cell r="F67">
            <v>53</v>
          </cell>
          <cell r="G67">
            <v>99</v>
          </cell>
          <cell r="H67" t="str">
            <v>지하수</v>
          </cell>
          <cell r="I67" t="str">
            <v>150</v>
          </cell>
          <cell r="J67" t="str">
            <v>170</v>
          </cell>
          <cell r="K67">
            <v>2004</v>
          </cell>
          <cell r="N67">
            <v>60</v>
          </cell>
          <cell r="O67">
            <v>2004</v>
          </cell>
          <cell r="P67" t="str">
            <v>콘크리트</v>
          </cell>
        </row>
        <row r="68">
          <cell r="D68" t="str">
            <v>도산1리</v>
          </cell>
          <cell r="E68">
            <v>50</v>
          </cell>
          <cell r="F68">
            <v>45</v>
          </cell>
          <cell r="G68">
            <v>100</v>
          </cell>
          <cell r="H68" t="str">
            <v>지하수</v>
          </cell>
          <cell r="I68" t="str">
            <v>101</v>
          </cell>
          <cell r="J68" t="str">
            <v>160</v>
          </cell>
          <cell r="K68">
            <v>2004</v>
          </cell>
          <cell r="N68">
            <v>50</v>
          </cell>
          <cell r="O68">
            <v>2004</v>
          </cell>
          <cell r="P68" t="str">
            <v>S·T·S</v>
          </cell>
        </row>
        <row r="69">
          <cell r="D69" t="str">
            <v>어곡리</v>
          </cell>
          <cell r="E69">
            <v>40</v>
          </cell>
          <cell r="F69">
            <v>22</v>
          </cell>
          <cell r="G69">
            <v>66</v>
          </cell>
          <cell r="H69" t="str">
            <v>지하수</v>
          </cell>
          <cell r="I69" t="str">
            <v>160</v>
          </cell>
          <cell r="J69" t="str">
            <v>180</v>
          </cell>
          <cell r="K69">
            <v>2006</v>
          </cell>
          <cell r="N69">
            <v>20</v>
          </cell>
          <cell r="O69">
            <v>2006</v>
          </cell>
          <cell r="P69" t="str">
            <v>S.T.S</v>
          </cell>
        </row>
        <row r="70">
          <cell r="D70" t="str">
            <v>덕곡리</v>
          </cell>
          <cell r="E70">
            <v>60</v>
          </cell>
          <cell r="F70">
            <v>38</v>
          </cell>
          <cell r="G70">
            <v>114</v>
          </cell>
          <cell r="H70" t="str">
            <v>지하수</v>
          </cell>
          <cell r="I70" t="str">
            <v>155</v>
          </cell>
          <cell r="J70" t="str">
            <v>170</v>
          </cell>
          <cell r="K70">
            <v>2008</v>
          </cell>
          <cell r="N70">
            <v>20</v>
          </cell>
          <cell r="O70">
            <v>2008</v>
          </cell>
          <cell r="P70" t="str">
            <v>S·T·S</v>
          </cell>
        </row>
        <row r="71">
          <cell r="D71" t="str">
            <v>신양1리(벌곡)</v>
          </cell>
          <cell r="E71">
            <v>50</v>
          </cell>
          <cell r="F71">
            <v>32</v>
          </cell>
          <cell r="G71">
            <v>96</v>
          </cell>
          <cell r="H71" t="str">
            <v>지하수</v>
          </cell>
          <cell r="I71" t="str">
            <v>162</v>
          </cell>
          <cell r="J71" t="str">
            <v>160</v>
          </cell>
          <cell r="K71" t="str">
            <v>2009</v>
          </cell>
          <cell r="N71">
            <v>30</v>
          </cell>
          <cell r="O71" t="str">
            <v>2009</v>
          </cell>
          <cell r="P71" t="str">
            <v>S·T·S</v>
          </cell>
        </row>
        <row r="72">
          <cell r="D72" t="str">
            <v>덕곡리</v>
          </cell>
          <cell r="E72">
            <v>70</v>
          </cell>
          <cell r="F72">
            <v>40</v>
          </cell>
          <cell r="G72">
            <v>135</v>
          </cell>
          <cell r="H72" t="str">
            <v>지하수</v>
          </cell>
          <cell r="I72" t="str">
            <v>172</v>
          </cell>
          <cell r="J72" t="str">
            <v>170</v>
          </cell>
          <cell r="K72">
            <v>2009</v>
          </cell>
          <cell r="N72">
            <v>20</v>
          </cell>
          <cell r="O72">
            <v>2009</v>
          </cell>
          <cell r="P72" t="str">
            <v>S·T·S</v>
          </cell>
        </row>
        <row r="73">
          <cell r="D73" t="str">
            <v>사정2리</v>
          </cell>
          <cell r="E73">
            <v>60</v>
          </cell>
          <cell r="F73">
            <v>37</v>
          </cell>
          <cell r="G73">
            <v>111</v>
          </cell>
          <cell r="H73" t="str">
            <v>지하수</v>
          </cell>
          <cell r="I73" t="str">
            <v>154</v>
          </cell>
          <cell r="J73" t="str">
            <v>100</v>
          </cell>
          <cell r="K73" t="str">
            <v>2010</v>
          </cell>
          <cell r="N73">
            <v>15</v>
          </cell>
          <cell r="O73" t="str">
            <v>2010</v>
          </cell>
          <cell r="P73" t="str">
            <v>S·T·S</v>
          </cell>
        </row>
        <row r="74">
          <cell r="D74" t="str">
            <v>도평1리</v>
          </cell>
          <cell r="E74">
            <v>100</v>
          </cell>
          <cell r="F74">
            <v>54</v>
          </cell>
          <cell r="G74">
            <v>198</v>
          </cell>
          <cell r="H74" t="str">
            <v>지하수</v>
          </cell>
          <cell r="I74" t="str">
            <v>205</v>
          </cell>
          <cell r="J74" t="str">
            <v>195</v>
          </cell>
          <cell r="K74" t="str">
            <v>2004</v>
          </cell>
          <cell r="N74">
            <v>30</v>
          </cell>
          <cell r="O74">
            <v>1972</v>
          </cell>
          <cell r="P74" t="str">
            <v>S.T.S</v>
          </cell>
        </row>
        <row r="75">
          <cell r="D75" t="str">
            <v>모촌1리</v>
          </cell>
          <cell r="E75">
            <v>60</v>
          </cell>
          <cell r="F75">
            <v>52</v>
          </cell>
          <cell r="G75">
            <v>120</v>
          </cell>
          <cell r="H75" t="str">
            <v>지하수</v>
          </cell>
          <cell r="I75" t="str">
            <v>150</v>
          </cell>
          <cell r="J75" t="str">
            <v>170</v>
          </cell>
          <cell r="K75" t="str">
            <v>1998</v>
          </cell>
          <cell r="N75">
            <v>50</v>
          </cell>
          <cell r="O75">
            <v>1980</v>
          </cell>
          <cell r="P75" t="str">
            <v>S.T.S</v>
          </cell>
        </row>
        <row r="76">
          <cell r="D76" t="str">
            <v>남산1리</v>
          </cell>
          <cell r="E76">
            <v>80</v>
          </cell>
          <cell r="F76">
            <v>45</v>
          </cell>
          <cell r="G76">
            <v>150</v>
          </cell>
          <cell r="H76" t="str">
            <v>지하수</v>
          </cell>
          <cell r="I76" t="str">
            <v>130</v>
          </cell>
          <cell r="J76" t="str">
            <v>150</v>
          </cell>
          <cell r="K76">
            <v>1980</v>
          </cell>
          <cell r="N76">
            <v>30</v>
          </cell>
          <cell r="O76">
            <v>1980</v>
          </cell>
          <cell r="P76" t="str">
            <v>S.T.S</v>
          </cell>
        </row>
        <row r="77">
          <cell r="D77" t="str">
            <v>임화4리</v>
          </cell>
          <cell r="E77">
            <v>50</v>
          </cell>
          <cell r="F77">
            <v>43</v>
          </cell>
          <cell r="G77">
            <v>97</v>
          </cell>
          <cell r="H77" t="str">
            <v>계곡수
지하수</v>
          </cell>
          <cell r="I77" t="str">
            <v>140</v>
          </cell>
          <cell r="J77" t="str">
            <v>120</v>
          </cell>
          <cell r="K77">
            <v>1981</v>
          </cell>
          <cell r="N77">
            <v>30</v>
          </cell>
          <cell r="O77">
            <v>1981</v>
          </cell>
          <cell r="P77" t="str">
            <v>S.T.S</v>
          </cell>
        </row>
        <row r="78">
          <cell r="D78" t="str">
            <v>양촌2리(원앙촌)</v>
          </cell>
          <cell r="E78">
            <v>60</v>
          </cell>
          <cell r="F78">
            <v>45</v>
          </cell>
          <cell r="G78">
            <v>120</v>
          </cell>
          <cell r="H78" t="str">
            <v>지하수
계곡수</v>
          </cell>
          <cell r="I78" t="str">
            <v>124</v>
          </cell>
          <cell r="J78" t="str">
            <v>219</v>
          </cell>
          <cell r="K78">
            <v>1983</v>
          </cell>
          <cell r="N78">
            <v>30</v>
          </cell>
          <cell r="O78">
            <v>1983</v>
          </cell>
          <cell r="P78" t="str">
            <v>S.T.S</v>
          </cell>
        </row>
        <row r="79">
          <cell r="D79" t="str">
            <v>오산1리</v>
          </cell>
          <cell r="E79">
            <v>30</v>
          </cell>
          <cell r="F79">
            <v>19</v>
          </cell>
          <cell r="G79">
            <v>49</v>
          </cell>
          <cell r="H79" t="str">
            <v>지하수</v>
          </cell>
          <cell r="I79" t="str">
            <v>152</v>
          </cell>
          <cell r="J79" t="str">
            <v>150</v>
          </cell>
          <cell r="K79">
            <v>1996</v>
          </cell>
          <cell r="N79">
            <v>40</v>
          </cell>
          <cell r="O79">
            <v>1996</v>
          </cell>
          <cell r="P79" t="str">
            <v>S.T.S</v>
          </cell>
        </row>
        <row r="80">
          <cell r="D80" t="str">
            <v>석서2리</v>
          </cell>
          <cell r="E80">
            <v>50</v>
          </cell>
          <cell r="F80">
            <v>40</v>
          </cell>
          <cell r="G80">
            <v>90</v>
          </cell>
          <cell r="H80" t="str">
            <v>지하수</v>
          </cell>
          <cell r="I80" t="str">
            <v>151</v>
          </cell>
          <cell r="J80" t="str">
            <v>160</v>
          </cell>
          <cell r="K80">
            <v>1998</v>
          </cell>
          <cell r="N80">
            <v>30</v>
          </cell>
          <cell r="O80">
            <v>1998</v>
          </cell>
          <cell r="P80" t="str">
            <v>S.T.S</v>
          </cell>
        </row>
        <row r="81">
          <cell r="D81" t="str">
            <v>신기2리</v>
          </cell>
          <cell r="E81">
            <v>120</v>
          </cell>
          <cell r="F81">
            <v>71</v>
          </cell>
          <cell r="G81">
            <v>231</v>
          </cell>
          <cell r="H81" t="str">
            <v>지하수</v>
          </cell>
          <cell r="I81" t="str">
            <v>150</v>
          </cell>
          <cell r="J81" t="str">
            <v>170</v>
          </cell>
          <cell r="K81">
            <v>1998</v>
          </cell>
          <cell r="N81">
            <v>30</v>
          </cell>
          <cell r="O81">
            <v>1998</v>
          </cell>
          <cell r="P81" t="str">
            <v>S.T.S</v>
          </cell>
        </row>
        <row r="82">
          <cell r="D82" t="str">
            <v>중산3리</v>
          </cell>
          <cell r="E82">
            <v>110</v>
          </cell>
          <cell r="F82">
            <v>74</v>
          </cell>
          <cell r="G82">
            <v>144</v>
          </cell>
          <cell r="H82" t="str">
            <v>지하수</v>
          </cell>
          <cell r="I82" t="str">
            <v>200</v>
          </cell>
          <cell r="J82" t="str">
            <v>220</v>
          </cell>
          <cell r="K82" t="str">
            <v>2006</v>
          </cell>
          <cell r="N82">
            <v>30</v>
          </cell>
          <cell r="O82">
            <v>1999</v>
          </cell>
          <cell r="P82" t="str">
            <v>S.T.S</v>
          </cell>
        </row>
        <row r="83">
          <cell r="D83" t="str">
            <v>도평3리</v>
          </cell>
          <cell r="E83">
            <v>60</v>
          </cell>
          <cell r="F83">
            <v>54</v>
          </cell>
          <cell r="G83">
            <v>120</v>
          </cell>
          <cell r="H83" t="str">
            <v>지하수</v>
          </cell>
          <cell r="I83" t="str">
            <v>205</v>
          </cell>
          <cell r="J83" t="str">
            <v>120</v>
          </cell>
          <cell r="K83">
            <v>2001</v>
          </cell>
          <cell r="N83">
            <v>30</v>
          </cell>
          <cell r="O83">
            <v>2001</v>
          </cell>
          <cell r="P83" t="str">
            <v>F·R·P</v>
          </cell>
        </row>
        <row r="84">
          <cell r="D84" t="str">
            <v>채광2, 오산2리</v>
          </cell>
          <cell r="E84">
            <v>100</v>
          </cell>
          <cell r="F84">
            <v>65</v>
          </cell>
          <cell r="G84">
            <v>183</v>
          </cell>
          <cell r="H84" t="str">
            <v>지하수</v>
          </cell>
          <cell r="I84" t="str">
            <v>210</v>
          </cell>
          <cell r="J84" t="str">
            <v>158</v>
          </cell>
          <cell r="K84">
            <v>2001</v>
          </cell>
          <cell r="N84">
            <v>40</v>
          </cell>
          <cell r="O84">
            <v>2001</v>
          </cell>
          <cell r="P84" t="str">
            <v>S.T.S</v>
          </cell>
        </row>
        <row r="85">
          <cell r="D85" t="str">
            <v>오산2리</v>
          </cell>
          <cell r="E85">
            <v>90</v>
          </cell>
          <cell r="F85">
            <v>50</v>
          </cell>
          <cell r="G85">
            <v>173</v>
          </cell>
          <cell r="H85" t="str">
            <v>지하수</v>
          </cell>
          <cell r="I85" t="str">
            <v>200</v>
          </cell>
          <cell r="J85" t="str">
            <v>195</v>
          </cell>
          <cell r="K85">
            <v>2002</v>
          </cell>
          <cell r="N85">
            <v>20</v>
          </cell>
          <cell r="O85">
            <v>2002</v>
          </cell>
          <cell r="P85" t="str">
            <v>S.T.S</v>
          </cell>
        </row>
        <row r="86">
          <cell r="D86" t="str">
            <v>거사1리</v>
          </cell>
          <cell r="E86">
            <v>110</v>
          </cell>
          <cell r="F86">
            <v>70</v>
          </cell>
          <cell r="G86">
            <v>210</v>
          </cell>
          <cell r="H86" t="str">
            <v>지하수</v>
          </cell>
          <cell r="I86" t="str">
            <v>200</v>
          </cell>
          <cell r="J86" t="str">
            <v>215</v>
          </cell>
          <cell r="K86">
            <v>2003</v>
          </cell>
          <cell r="N86">
            <v>40</v>
          </cell>
          <cell r="O86">
            <v>2003</v>
          </cell>
          <cell r="P86" t="str">
            <v>F·R·P</v>
          </cell>
        </row>
        <row r="87">
          <cell r="D87" t="str">
            <v>중산1리</v>
          </cell>
          <cell r="E87">
            <v>80</v>
          </cell>
          <cell r="F87">
            <v>53</v>
          </cell>
          <cell r="G87">
            <v>145</v>
          </cell>
          <cell r="H87" t="str">
            <v>지하수</v>
          </cell>
          <cell r="I87" t="str">
            <v>205</v>
          </cell>
          <cell r="J87" t="str">
            <v>215</v>
          </cell>
          <cell r="K87">
            <v>2003</v>
          </cell>
          <cell r="N87">
            <v>20</v>
          </cell>
          <cell r="O87">
            <v>2003</v>
          </cell>
          <cell r="P87" t="str">
            <v>F·R·P</v>
          </cell>
        </row>
        <row r="88">
          <cell r="D88" t="str">
            <v>양촌1리</v>
          </cell>
          <cell r="E88">
            <v>110</v>
          </cell>
          <cell r="F88">
            <v>74</v>
          </cell>
          <cell r="G88">
            <v>201</v>
          </cell>
          <cell r="H88" t="str">
            <v>지하수</v>
          </cell>
          <cell r="I88" t="str">
            <v>330</v>
          </cell>
          <cell r="J88" t="str">
            <v>153</v>
          </cell>
          <cell r="K88">
            <v>2004</v>
          </cell>
          <cell r="N88">
            <v>30</v>
          </cell>
          <cell r="O88">
            <v>2004</v>
          </cell>
          <cell r="P88" t="str">
            <v>F·R·P</v>
          </cell>
        </row>
        <row r="89">
          <cell r="D89" t="str">
            <v>신기1리</v>
          </cell>
          <cell r="E89">
            <v>100</v>
          </cell>
          <cell r="F89">
            <v>87</v>
          </cell>
          <cell r="G89">
            <v>191</v>
          </cell>
          <cell r="H89" t="str">
            <v>지하수</v>
          </cell>
          <cell r="I89" t="str">
            <v>158</v>
          </cell>
          <cell r="J89" t="str">
            <v>110</v>
          </cell>
          <cell r="K89">
            <v>2004</v>
          </cell>
          <cell r="N89">
            <v>40</v>
          </cell>
          <cell r="O89">
            <v>2004</v>
          </cell>
          <cell r="P89" t="str">
            <v>S.T.S</v>
          </cell>
        </row>
        <row r="90">
          <cell r="D90" t="str">
            <v>석서1리</v>
          </cell>
          <cell r="E90">
            <v>120</v>
          </cell>
          <cell r="F90">
            <v>57</v>
          </cell>
          <cell r="G90">
            <v>228</v>
          </cell>
          <cell r="H90" t="str">
            <v>지하수</v>
          </cell>
          <cell r="I90" t="str">
            <v>154</v>
          </cell>
          <cell r="J90" t="str">
            <v>240</v>
          </cell>
          <cell r="K90" t="str">
            <v>2008</v>
          </cell>
          <cell r="N90">
            <v>20</v>
          </cell>
          <cell r="O90">
            <v>2005</v>
          </cell>
          <cell r="P90" t="str">
            <v>S.T.S</v>
          </cell>
        </row>
        <row r="91">
          <cell r="D91" t="str">
            <v xml:space="preserve">양촌2리(이문안) </v>
          </cell>
          <cell r="E91">
            <v>40</v>
          </cell>
          <cell r="F91">
            <v>24</v>
          </cell>
          <cell r="G91">
            <v>72</v>
          </cell>
          <cell r="H91" t="str">
            <v>지하수</v>
          </cell>
          <cell r="I91" t="str">
            <v>126</v>
          </cell>
          <cell r="J91" t="str">
            <v>200</v>
          </cell>
          <cell r="K91">
            <v>2006</v>
          </cell>
          <cell r="N91">
            <v>15</v>
          </cell>
          <cell r="O91">
            <v>2006</v>
          </cell>
          <cell r="P91" t="str">
            <v>S.T.S</v>
          </cell>
        </row>
        <row r="92">
          <cell r="D92" t="str">
            <v>임화3리</v>
          </cell>
          <cell r="E92">
            <v>60</v>
          </cell>
          <cell r="F92">
            <v>27</v>
          </cell>
          <cell r="G92">
            <v>108</v>
          </cell>
          <cell r="H92" t="str">
            <v>지하수</v>
          </cell>
          <cell r="I92" t="str">
            <v>155</v>
          </cell>
          <cell r="J92" t="str">
            <v>200</v>
          </cell>
          <cell r="K92">
            <v>2007</v>
          </cell>
          <cell r="N92">
            <v>20</v>
          </cell>
          <cell r="O92">
            <v>2007</v>
          </cell>
          <cell r="P92" t="str">
            <v>S·T·S</v>
          </cell>
        </row>
        <row r="93">
          <cell r="D93" t="str">
            <v>임화1리</v>
          </cell>
          <cell r="E93">
            <v>40</v>
          </cell>
          <cell r="F93">
            <v>18</v>
          </cell>
          <cell r="G93">
            <v>72</v>
          </cell>
          <cell r="H93" t="str">
            <v>지하수</v>
          </cell>
          <cell r="I93" t="str">
            <v>150</v>
          </cell>
          <cell r="J93" t="str">
            <v>170</v>
          </cell>
          <cell r="K93" t="str">
            <v>2008</v>
          </cell>
          <cell r="N93">
            <v>15</v>
          </cell>
          <cell r="O93" t="str">
            <v>2008</v>
          </cell>
          <cell r="P93" t="str">
            <v>S·T·S</v>
          </cell>
        </row>
        <row r="94">
          <cell r="D94" t="str">
            <v>삼전1리</v>
          </cell>
          <cell r="E94">
            <v>80</v>
          </cell>
          <cell r="F94">
            <v>50</v>
          </cell>
          <cell r="G94">
            <v>145</v>
          </cell>
          <cell r="H94" t="str">
            <v>지하수</v>
          </cell>
          <cell r="I94" t="str">
            <v>201</v>
          </cell>
          <cell r="J94" t="str">
            <v>188</v>
          </cell>
          <cell r="K94" t="str">
            <v>2009</v>
          </cell>
          <cell r="N94">
            <v>30</v>
          </cell>
          <cell r="O94">
            <v>2003</v>
          </cell>
          <cell r="P94" t="str">
            <v>F·R·P</v>
          </cell>
        </row>
        <row r="95">
          <cell r="D95" t="str">
            <v>함적2리</v>
          </cell>
          <cell r="E95">
            <v>110</v>
          </cell>
          <cell r="F95">
            <v>69</v>
          </cell>
          <cell r="G95">
            <v>148</v>
          </cell>
          <cell r="H95" t="str">
            <v>지하수</v>
          </cell>
          <cell r="I95" t="str">
            <v>290</v>
          </cell>
          <cell r="J95" t="str">
            <v>153</v>
          </cell>
          <cell r="K95">
            <v>2004</v>
          </cell>
          <cell r="N95">
            <v>20</v>
          </cell>
          <cell r="O95">
            <v>2004</v>
          </cell>
          <cell r="P95" t="str">
            <v>S.T.S</v>
          </cell>
        </row>
        <row r="96">
          <cell r="D96" t="str">
            <v>목곡2리</v>
          </cell>
          <cell r="E96">
            <v>30</v>
          </cell>
          <cell r="F96">
            <v>19</v>
          </cell>
          <cell r="G96">
            <v>57</v>
          </cell>
          <cell r="H96" t="str">
            <v>지하수</v>
          </cell>
          <cell r="I96" t="str">
            <v>164</v>
          </cell>
          <cell r="J96" t="str">
            <v>279</v>
          </cell>
          <cell r="K96">
            <v>2006</v>
          </cell>
          <cell r="N96">
            <v>20</v>
          </cell>
          <cell r="O96">
            <v>2006</v>
          </cell>
          <cell r="P96" t="str">
            <v>S.T.S</v>
          </cell>
        </row>
        <row r="97">
          <cell r="D97" t="str">
            <v>강청1리</v>
          </cell>
          <cell r="E97">
            <v>100</v>
          </cell>
          <cell r="F97">
            <v>50</v>
          </cell>
          <cell r="G97">
            <v>200</v>
          </cell>
          <cell r="H97" t="str">
            <v>지하수</v>
          </cell>
          <cell r="I97" t="str">
            <v>165</v>
          </cell>
          <cell r="J97" t="str">
            <v>160</v>
          </cell>
          <cell r="K97">
            <v>2009</v>
          </cell>
          <cell r="N97">
            <v>40</v>
          </cell>
          <cell r="O97">
            <v>2009</v>
          </cell>
          <cell r="P97" t="str">
            <v>S·T·S</v>
          </cell>
        </row>
        <row r="98">
          <cell r="D98" t="str">
            <v>등1리</v>
          </cell>
          <cell r="E98">
            <v>110</v>
          </cell>
          <cell r="F98">
            <v>54</v>
          </cell>
          <cell r="G98">
            <v>216</v>
          </cell>
          <cell r="H98" t="str">
            <v>지하수</v>
          </cell>
          <cell r="I98" t="str">
            <v>170</v>
          </cell>
          <cell r="J98" t="str">
            <v>15</v>
          </cell>
          <cell r="K98">
            <v>2009</v>
          </cell>
          <cell r="N98">
            <v>20</v>
          </cell>
          <cell r="O98">
            <v>2009</v>
          </cell>
          <cell r="P98" t="str">
            <v>S·T·S</v>
          </cell>
        </row>
        <row r="99">
          <cell r="D99" t="str">
            <v>등2리</v>
          </cell>
          <cell r="E99">
            <v>60</v>
          </cell>
          <cell r="F99">
            <v>46</v>
          </cell>
          <cell r="G99">
            <v>120</v>
          </cell>
          <cell r="H99" t="str">
            <v>지하수</v>
          </cell>
          <cell r="I99" t="str">
            <v>170</v>
          </cell>
          <cell r="J99" t="str">
            <v>250</v>
          </cell>
          <cell r="K99" t="str">
            <v>2012</v>
          </cell>
          <cell r="N99">
            <v>30</v>
          </cell>
          <cell r="O99" t="str">
            <v>2012</v>
          </cell>
          <cell r="P99" t="str">
            <v>S·T·S</v>
          </cell>
        </row>
        <row r="100">
          <cell r="D100" t="str">
            <v>시묘2리</v>
          </cell>
          <cell r="E100">
            <v>90</v>
          </cell>
          <cell r="F100">
            <v>61</v>
          </cell>
          <cell r="G100">
            <v>175</v>
          </cell>
          <cell r="H100" t="str">
            <v>지하수</v>
          </cell>
          <cell r="I100" t="str">
            <v>200</v>
          </cell>
          <cell r="J100" t="str">
            <v>230</v>
          </cell>
          <cell r="K100">
            <v>1999</v>
          </cell>
          <cell r="L100" t="str">
            <v>기타</v>
          </cell>
          <cell r="M100">
            <v>2009</v>
          </cell>
          <cell r="N100">
            <v>30</v>
          </cell>
          <cell r="O100">
            <v>1999</v>
          </cell>
          <cell r="P100" t="str">
            <v>S·M·C</v>
          </cell>
        </row>
        <row r="101">
          <cell r="D101" t="str">
            <v>시묘1리</v>
          </cell>
          <cell r="E101">
            <v>120</v>
          </cell>
          <cell r="F101">
            <v>58</v>
          </cell>
          <cell r="G101">
            <v>232</v>
          </cell>
          <cell r="H101" t="str">
            <v>지하수</v>
          </cell>
          <cell r="I101" t="str">
            <v>150</v>
          </cell>
          <cell r="J101" t="str">
            <v>245</v>
          </cell>
          <cell r="K101">
            <v>2000</v>
          </cell>
          <cell r="N101">
            <v>30</v>
          </cell>
          <cell r="O101">
            <v>2000</v>
          </cell>
          <cell r="P101" t="str">
            <v>F·R·P</v>
          </cell>
        </row>
        <row r="102">
          <cell r="D102" t="str">
            <v>유동</v>
          </cell>
          <cell r="E102">
            <v>70</v>
          </cell>
          <cell r="F102">
            <v>52</v>
          </cell>
          <cell r="G102">
            <v>134</v>
          </cell>
          <cell r="H102" t="str">
            <v>지하수</v>
          </cell>
          <cell r="I102" t="str">
            <v>6</v>
          </cell>
          <cell r="J102">
            <v>120</v>
          </cell>
          <cell r="K102">
            <v>2005</v>
          </cell>
          <cell r="N102">
            <v>30</v>
          </cell>
          <cell r="O102">
            <v>2005</v>
          </cell>
          <cell r="P102" t="str">
            <v>S·T·S</v>
          </cell>
        </row>
        <row r="103">
          <cell r="D103" t="str">
            <v>섭밭말</v>
          </cell>
          <cell r="E103">
            <v>60</v>
          </cell>
          <cell r="F103">
            <v>50</v>
          </cell>
          <cell r="G103">
            <v>102</v>
          </cell>
          <cell r="H103" t="str">
            <v>지하수</v>
          </cell>
          <cell r="I103" t="str">
            <v>120</v>
          </cell>
          <cell r="J103">
            <v>90</v>
          </cell>
          <cell r="K103">
            <v>2008</v>
          </cell>
          <cell r="N103">
            <v>20</v>
          </cell>
          <cell r="O103">
            <v>2008</v>
          </cell>
          <cell r="P103" t="str">
            <v>S·T·S</v>
          </cell>
        </row>
        <row r="104">
          <cell r="D104" t="str">
            <v>수박골</v>
          </cell>
          <cell r="E104">
            <v>30</v>
          </cell>
          <cell r="F104">
            <v>15</v>
          </cell>
          <cell r="G104">
            <v>55</v>
          </cell>
          <cell r="H104" t="str">
            <v>지하수</v>
          </cell>
          <cell r="I104" t="str">
            <v>112</v>
          </cell>
          <cell r="J104">
            <v>95</v>
          </cell>
          <cell r="K104">
            <v>2007</v>
          </cell>
          <cell r="N104">
            <v>20</v>
          </cell>
          <cell r="O104">
            <v>2007</v>
          </cell>
          <cell r="P104" t="str">
            <v>S·T·S</v>
          </cell>
        </row>
        <row r="105">
          <cell r="D105" t="str">
            <v>원가곡</v>
          </cell>
          <cell r="E105">
            <v>10</v>
          </cell>
          <cell r="F105">
            <v>14</v>
          </cell>
          <cell r="G105">
            <v>20</v>
          </cell>
          <cell r="H105" t="str">
            <v>지하수</v>
          </cell>
          <cell r="I105" t="str">
            <v>140</v>
          </cell>
          <cell r="J105">
            <v>85</v>
          </cell>
          <cell r="K105">
            <v>2003</v>
          </cell>
          <cell r="N105">
            <v>20</v>
          </cell>
          <cell r="O105">
            <v>2003</v>
          </cell>
          <cell r="P105" t="str">
            <v>S·T·S</v>
          </cell>
        </row>
        <row r="106">
          <cell r="D106" t="str">
            <v>안구암</v>
          </cell>
          <cell r="E106">
            <v>30</v>
          </cell>
          <cell r="F106">
            <v>20</v>
          </cell>
          <cell r="G106">
            <v>60</v>
          </cell>
          <cell r="H106" t="str">
            <v>지하수</v>
          </cell>
          <cell r="I106" t="str">
            <v>120</v>
          </cell>
          <cell r="J106">
            <v>140</v>
          </cell>
          <cell r="K106">
            <v>2004</v>
          </cell>
          <cell r="N106">
            <v>30</v>
          </cell>
          <cell r="O106">
            <v>2004</v>
          </cell>
          <cell r="P106" t="str">
            <v>S·T·S</v>
          </cell>
        </row>
        <row r="107">
          <cell r="D107" t="str">
            <v>윗말</v>
          </cell>
          <cell r="E107">
            <v>40</v>
          </cell>
          <cell r="F107">
            <v>23</v>
          </cell>
          <cell r="G107">
            <v>62</v>
          </cell>
          <cell r="H107" t="str">
            <v>지하수</v>
          </cell>
          <cell r="I107" t="str">
            <v>102</v>
          </cell>
          <cell r="J107">
            <v>80</v>
          </cell>
          <cell r="K107">
            <v>2006</v>
          </cell>
          <cell r="N107">
            <v>30</v>
          </cell>
          <cell r="O107">
            <v>2006</v>
          </cell>
          <cell r="P107" t="str">
            <v>S·T·S</v>
          </cell>
        </row>
        <row r="108">
          <cell r="D108" t="str">
            <v>모가올</v>
          </cell>
          <cell r="E108">
            <v>30</v>
          </cell>
          <cell r="F108">
            <v>19</v>
          </cell>
          <cell r="G108">
            <v>47</v>
          </cell>
          <cell r="H108" t="str">
            <v>지하수</v>
          </cell>
          <cell r="I108" t="str">
            <v>98</v>
          </cell>
          <cell r="J108">
            <v>120</v>
          </cell>
          <cell r="K108">
            <v>2008</v>
          </cell>
          <cell r="L108" t="str">
            <v>기타</v>
          </cell>
          <cell r="M108">
            <v>2009</v>
          </cell>
          <cell r="N108">
            <v>30</v>
          </cell>
          <cell r="O108">
            <v>2008</v>
          </cell>
          <cell r="P108" t="str">
            <v>S·T·S</v>
          </cell>
        </row>
        <row r="109">
          <cell r="D109" t="str">
            <v>윗승동</v>
          </cell>
          <cell r="E109">
            <v>30</v>
          </cell>
          <cell r="F109">
            <v>20</v>
          </cell>
          <cell r="G109">
            <v>42</v>
          </cell>
          <cell r="H109" t="str">
            <v>지하수</v>
          </cell>
          <cell r="I109" t="str">
            <v>110</v>
          </cell>
          <cell r="J109">
            <v>90</v>
          </cell>
          <cell r="K109">
            <v>2006</v>
          </cell>
          <cell r="N109">
            <v>20</v>
          </cell>
          <cell r="O109">
            <v>2006</v>
          </cell>
          <cell r="P109" t="str">
            <v>S·T·S</v>
          </cell>
        </row>
        <row r="110">
          <cell r="D110" t="str">
            <v>원병사</v>
          </cell>
          <cell r="E110">
            <v>20</v>
          </cell>
          <cell r="F110">
            <v>15</v>
          </cell>
          <cell r="G110">
            <v>33</v>
          </cell>
          <cell r="H110" t="str">
            <v>계곡수</v>
          </cell>
          <cell r="I110" t="str">
            <v>0</v>
          </cell>
          <cell r="J110">
            <v>50</v>
          </cell>
          <cell r="K110">
            <v>2008</v>
          </cell>
          <cell r="N110">
            <v>20</v>
          </cell>
          <cell r="O110">
            <v>2008</v>
          </cell>
          <cell r="P110" t="str">
            <v>S·T·S</v>
          </cell>
        </row>
        <row r="111">
          <cell r="D111" t="str">
            <v>구증골</v>
          </cell>
          <cell r="E111">
            <v>20</v>
          </cell>
          <cell r="F111">
            <v>14</v>
          </cell>
          <cell r="G111">
            <v>32</v>
          </cell>
          <cell r="H111" t="str">
            <v>지하수
계곡수</v>
          </cell>
          <cell r="I111" t="str">
            <v>99</v>
          </cell>
          <cell r="J111">
            <v>110</v>
          </cell>
          <cell r="K111">
            <v>2007</v>
          </cell>
          <cell r="N111">
            <v>20</v>
          </cell>
          <cell r="O111">
            <v>2007</v>
          </cell>
          <cell r="P111" t="str">
            <v>S·T·S</v>
          </cell>
        </row>
        <row r="112">
          <cell r="D112" t="str">
            <v>증골</v>
          </cell>
          <cell r="E112">
            <v>20</v>
          </cell>
          <cell r="F112">
            <v>19</v>
          </cell>
          <cell r="G112">
            <v>32</v>
          </cell>
          <cell r="H112" t="str">
            <v>지하수</v>
          </cell>
          <cell r="I112" t="str">
            <v>98</v>
          </cell>
          <cell r="J112">
            <v>100</v>
          </cell>
          <cell r="K112">
            <v>2006</v>
          </cell>
          <cell r="N112">
            <v>20</v>
          </cell>
          <cell r="O112">
            <v>2006</v>
          </cell>
          <cell r="P112" t="str">
            <v>S·T·S</v>
          </cell>
        </row>
        <row r="113">
          <cell r="D113" t="str">
            <v>두사1</v>
          </cell>
          <cell r="E113">
            <v>50</v>
          </cell>
          <cell r="F113">
            <v>42</v>
          </cell>
          <cell r="G113">
            <v>98</v>
          </cell>
          <cell r="H113" t="str">
            <v>지하수</v>
          </cell>
          <cell r="I113" t="str">
            <v>102</v>
          </cell>
          <cell r="J113">
            <v>95</v>
          </cell>
          <cell r="K113" t="str">
            <v>1996</v>
          </cell>
          <cell r="L113" t="str">
            <v>막여과</v>
          </cell>
          <cell r="M113">
            <v>2009</v>
          </cell>
          <cell r="N113">
            <v>30</v>
          </cell>
          <cell r="O113" t="str">
            <v>1996</v>
          </cell>
          <cell r="P113" t="str">
            <v>S·T·S</v>
          </cell>
        </row>
        <row r="114">
          <cell r="D114" t="str">
            <v>하도2</v>
          </cell>
          <cell r="E114">
            <v>40</v>
          </cell>
          <cell r="F114">
            <v>34</v>
          </cell>
          <cell r="G114">
            <v>80</v>
          </cell>
          <cell r="H114" t="str">
            <v>지하수</v>
          </cell>
          <cell r="I114" t="str">
            <v>105</v>
          </cell>
          <cell r="J114">
            <v>98</v>
          </cell>
          <cell r="K114">
            <v>2006</v>
          </cell>
          <cell r="N114">
            <v>30</v>
          </cell>
          <cell r="O114">
            <v>2007</v>
          </cell>
          <cell r="P114" t="str">
            <v>S·T·S</v>
          </cell>
        </row>
        <row r="115">
          <cell r="D115" t="str">
            <v>아랫장마루</v>
          </cell>
          <cell r="E115">
            <v>10</v>
          </cell>
          <cell r="F115">
            <v>9</v>
          </cell>
          <cell r="G115">
            <v>18</v>
          </cell>
          <cell r="H115" t="str">
            <v>지하수</v>
          </cell>
          <cell r="I115" t="str">
            <v>125</v>
          </cell>
          <cell r="J115">
            <v>90</v>
          </cell>
          <cell r="K115">
            <v>2010</v>
          </cell>
          <cell r="N115">
            <v>8</v>
          </cell>
          <cell r="O115">
            <v>2010</v>
          </cell>
          <cell r="P115" t="str">
            <v>S·T·S</v>
          </cell>
        </row>
        <row r="116">
          <cell r="D116" t="str">
            <v>지장골</v>
          </cell>
          <cell r="E116">
            <v>30</v>
          </cell>
          <cell r="F116">
            <v>17</v>
          </cell>
          <cell r="G116">
            <v>45</v>
          </cell>
          <cell r="H116" t="str">
            <v>지하수</v>
          </cell>
          <cell r="I116" t="str">
            <v>100</v>
          </cell>
          <cell r="J116">
            <v>240</v>
          </cell>
          <cell r="K116">
            <v>2012</v>
          </cell>
          <cell r="N116">
            <v>30</v>
          </cell>
          <cell r="O116">
            <v>2012</v>
          </cell>
          <cell r="P116" t="str">
            <v>S·T·S</v>
          </cell>
        </row>
        <row r="117">
          <cell r="D117" t="str">
            <v>새말</v>
          </cell>
          <cell r="E117">
            <v>30</v>
          </cell>
          <cell r="F117">
            <v>25</v>
          </cell>
          <cell r="G117">
            <v>57</v>
          </cell>
          <cell r="H117" t="str">
            <v>지하수
계곡수</v>
          </cell>
          <cell r="I117" t="str">
            <v>110</v>
          </cell>
          <cell r="J117">
            <v>50</v>
          </cell>
          <cell r="K117">
            <v>2010</v>
          </cell>
          <cell r="N117">
            <v>30</v>
          </cell>
          <cell r="O117">
            <v>2010</v>
          </cell>
          <cell r="P117" t="str">
            <v>S·T·S</v>
          </cell>
        </row>
        <row r="118">
          <cell r="D118" t="str">
            <v>신충2</v>
          </cell>
          <cell r="E118">
            <v>40</v>
          </cell>
          <cell r="F118">
            <v>27</v>
          </cell>
          <cell r="G118">
            <v>62</v>
          </cell>
          <cell r="H118" t="str">
            <v>지하수</v>
          </cell>
          <cell r="I118" t="str">
            <v>100</v>
          </cell>
          <cell r="J118">
            <v>90</v>
          </cell>
          <cell r="K118">
            <v>2009</v>
          </cell>
          <cell r="N118">
            <v>30</v>
          </cell>
          <cell r="O118">
            <v>2009</v>
          </cell>
          <cell r="P118" t="str">
            <v>S·T·S</v>
          </cell>
        </row>
        <row r="119">
          <cell r="D119" t="str">
            <v>강거럼</v>
          </cell>
          <cell r="E119">
            <v>10</v>
          </cell>
          <cell r="F119">
            <v>5</v>
          </cell>
          <cell r="G119">
            <v>17</v>
          </cell>
          <cell r="H119" t="str">
            <v>지하수</v>
          </cell>
          <cell r="I119" t="str">
            <v>150</v>
          </cell>
          <cell r="J119">
            <v>160</v>
          </cell>
          <cell r="K119">
            <v>2010</v>
          </cell>
          <cell r="N119">
            <v>30</v>
          </cell>
          <cell r="O119">
            <v>2010</v>
          </cell>
          <cell r="P119" t="str">
            <v>S·T·S</v>
          </cell>
        </row>
        <row r="120">
          <cell r="D120" t="str">
            <v>지경터</v>
          </cell>
          <cell r="E120">
            <v>40</v>
          </cell>
          <cell r="F120">
            <v>29</v>
          </cell>
          <cell r="G120">
            <v>70</v>
          </cell>
          <cell r="H120" t="str">
            <v>지하수</v>
          </cell>
          <cell r="I120" t="str">
            <v>100</v>
          </cell>
          <cell r="J120">
            <v>90</v>
          </cell>
          <cell r="K120">
            <v>2007</v>
          </cell>
          <cell r="L120" t="str">
            <v>막여과</v>
          </cell>
          <cell r="M120">
            <v>2008</v>
          </cell>
          <cell r="N120">
            <v>30</v>
          </cell>
          <cell r="O120">
            <v>2007</v>
          </cell>
          <cell r="P120" t="str">
            <v>S·T·S</v>
          </cell>
        </row>
        <row r="121">
          <cell r="D121" t="str">
            <v>중뜸</v>
          </cell>
          <cell r="E121">
            <v>40</v>
          </cell>
          <cell r="F121">
            <v>28</v>
          </cell>
          <cell r="G121">
            <v>70</v>
          </cell>
          <cell r="H121" t="str">
            <v>지하수</v>
          </cell>
          <cell r="I121" t="str">
            <v>120</v>
          </cell>
          <cell r="J121">
            <v>110</v>
          </cell>
          <cell r="K121">
            <v>2007</v>
          </cell>
          <cell r="N121">
            <v>30</v>
          </cell>
          <cell r="O121">
            <v>2007</v>
          </cell>
          <cell r="P121" t="str">
            <v>콘크리트</v>
          </cell>
        </row>
        <row r="122">
          <cell r="D122" t="str">
            <v>궁골달미</v>
          </cell>
          <cell r="E122">
            <v>30</v>
          </cell>
          <cell r="F122">
            <v>16</v>
          </cell>
          <cell r="G122">
            <v>42</v>
          </cell>
          <cell r="H122" t="str">
            <v>지하수</v>
          </cell>
          <cell r="I122" t="str">
            <v>105</v>
          </cell>
          <cell r="J122">
            <v>98</v>
          </cell>
          <cell r="K122">
            <v>2010</v>
          </cell>
          <cell r="N122">
            <v>30</v>
          </cell>
          <cell r="O122">
            <v>2011</v>
          </cell>
          <cell r="P122" t="str">
            <v>S·T·S</v>
          </cell>
        </row>
        <row r="123">
          <cell r="D123" t="str">
            <v>바우내</v>
          </cell>
          <cell r="E123">
            <v>40</v>
          </cell>
          <cell r="F123">
            <v>30</v>
          </cell>
          <cell r="G123">
            <v>80</v>
          </cell>
          <cell r="H123" t="str">
            <v>지하수</v>
          </cell>
          <cell r="I123" t="str">
            <v>110</v>
          </cell>
          <cell r="J123">
            <v>80</v>
          </cell>
          <cell r="K123">
            <v>2007</v>
          </cell>
          <cell r="N123">
            <v>20</v>
          </cell>
          <cell r="O123">
            <v>2007</v>
          </cell>
          <cell r="P123" t="str">
            <v>S·T·S</v>
          </cell>
        </row>
        <row r="124">
          <cell r="D124" t="str">
            <v>샛터</v>
          </cell>
          <cell r="E124">
            <v>40</v>
          </cell>
          <cell r="F124">
            <v>30</v>
          </cell>
          <cell r="G124">
            <v>68</v>
          </cell>
          <cell r="H124" t="str">
            <v>지하수
계곡수</v>
          </cell>
          <cell r="I124" t="str">
            <v>120</v>
          </cell>
          <cell r="J124">
            <v>80</v>
          </cell>
          <cell r="K124">
            <v>2010</v>
          </cell>
          <cell r="N124">
            <v>20</v>
          </cell>
          <cell r="O124">
            <v>2010</v>
          </cell>
          <cell r="P124" t="str">
            <v>S·T·S</v>
          </cell>
        </row>
        <row r="125">
          <cell r="D125" t="str">
            <v>안터</v>
          </cell>
          <cell r="E125">
            <v>30</v>
          </cell>
          <cell r="F125">
            <v>21</v>
          </cell>
          <cell r="G125">
            <v>50</v>
          </cell>
          <cell r="H125" t="str">
            <v>지하수</v>
          </cell>
          <cell r="I125" t="str">
            <v>115</v>
          </cell>
          <cell r="J125">
            <v>90</v>
          </cell>
          <cell r="K125">
            <v>2006</v>
          </cell>
          <cell r="N125">
            <v>20</v>
          </cell>
          <cell r="O125">
            <v>2006</v>
          </cell>
          <cell r="P125" t="str">
            <v>S·T·S</v>
          </cell>
        </row>
        <row r="126">
          <cell r="D126" t="str">
            <v>들말</v>
          </cell>
          <cell r="E126">
            <v>30</v>
          </cell>
          <cell r="F126">
            <v>25</v>
          </cell>
          <cell r="G126">
            <v>55</v>
          </cell>
          <cell r="H126" t="str">
            <v>지하수</v>
          </cell>
          <cell r="I126" t="str">
            <v>140</v>
          </cell>
          <cell r="J126">
            <v>110</v>
          </cell>
          <cell r="K126">
            <v>2001</v>
          </cell>
          <cell r="N126">
            <v>50</v>
          </cell>
          <cell r="O126">
            <v>2001</v>
          </cell>
          <cell r="P126" t="str">
            <v>콘크리트</v>
          </cell>
        </row>
        <row r="127">
          <cell r="D127" t="str">
            <v>상외성</v>
          </cell>
          <cell r="E127">
            <v>30</v>
          </cell>
          <cell r="F127">
            <v>23</v>
          </cell>
          <cell r="G127">
            <v>60</v>
          </cell>
          <cell r="H127" t="str">
            <v>지하수</v>
          </cell>
          <cell r="I127" t="str">
            <v>108</v>
          </cell>
          <cell r="J127">
            <v>90</v>
          </cell>
          <cell r="K127">
            <v>2001</v>
          </cell>
          <cell r="N127">
            <v>30</v>
          </cell>
          <cell r="O127">
            <v>2001</v>
          </cell>
          <cell r="P127" t="str">
            <v>F·R·P</v>
          </cell>
        </row>
        <row r="128">
          <cell r="D128" t="str">
            <v>어은리</v>
          </cell>
          <cell r="E128">
            <v>60</v>
          </cell>
          <cell r="F128">
            <v>50</v>
          </cell>
          <cell r="G128">
            <v>116</v>
          </cell>
          <cell r="H128" t="str">
            <v>지하수</v>
          </cell>
          <cell r="I128" t="str">
            <v>95</v>
          </cell>
          <cell r="J128">
            <v>200</v>
          </cell>
          <cell r="K128">
            <v>2004</v>
          </cell>
          <cell r="N128">
            <v>30</v>
          </cell>
          <cell r="O128">
            <v>2004</v>
          </cell>
          <cell r="P128" t="str">
            <v>S·T·S</v>
          </cell>
        </row>
        <row r="129">
          <cell r="D129" t="str">
            <v>행경</v>
          </cell>
          <cell r="E129">
            <v>50</v>
          </cell>
          <cell r="F129">
            <v>39</v>
          </cell>
          <cell r="G129">
            <v>86</v>
          </cell>
          <cell r="H129" t="str">
            <v>지하수</v>
          </cell>
          <cell r="I129" t="str">
            <v>112</v>
          </cell>
          <cell r="J129">
            <v>110</v>
          </cell>
          <cell r="K129">
            <v>2004</v>
          </cell>
          <cell r="N129">
            <v>20</v>
          </cell>
          <cell r="O129">
            <v>2004</v>
          </cell>
          <cell r="P129" t="str">
            <v>S·T·S</v>
          </cell>
        </row>
        <row r="130">
          <cell r="D130" t="str">
            <v>상송</v>
          </cell>
          <cell r="E130">
            <v>50</v>
          </cell>
          <cell r="F130">
            <v>35</v>
          </cell>
          <cell r="G130">
            <v>98</v>
          </cell>
          <cell r="H130" t="str">
            <v>지하수</v>
          </cell>
          <cell r="I130" t="str">
            <v>98</v>
          </cell>
          <cell r="J130">
            <v>90</v>
          </cell>
          <cell r="K130">
            <v>2007</v>
          </cell>
          <cell r="N130">
            <v>30</v>
          </cell>
          <cell r="O130">
            <v>2007</v>
          </cell>
          <cell r="P130" t="str">
            <v>S·T·S</v>
          </cell>
        </row>
        <row r="131">
          <cell r="D131" t="str">
            <v>대석골</v>
          </cell>
          <cell r="E131">
            <v>30</v>
          </cell>
          <cell r="F131">
            <v>25</v>
          </cell>
          <cell r="G131">
            <v>60</v>
          </cell>
          <cell r="H131" t="str">
            <v>지하수</v>
          </cell>
          <cell r="I131" t="str">
            <v>110</v>
          </cell>
          <cell r="J131">
            <v>90</v>
          </cell>
          <cell r="K131">
            <v>2011</v>
          </cell>
          <cell r="N131">
            <v>20</v>
          </cell>
          <cell r="O131">
            <v>2011</v>
          </cell>
          <cell r="P131" t="str">
            <v>S·T·S</v>
          </cell>
        </row>
        <row r="132">
          <cell r="D132" t="str">
            <v>양산</v>
          </cell>
          <cell r="E132">
            <v>50</v>
          </cell>
          <cell r="F132">
            <v>34</v>
          </cell>
          <cell r="G132">
            <v>98</v>
          </cell>
          <cell r="H132" t="str">
            <v>지하수</v>
          </cell>
          <cell r="I132" t="str">
            <v>130</v>
          </cell>
          <cell r="J132">
            <v>95</v>
          </cell>
          <cell r="K132">
            <v>2009</v>
          </cell>
          <cell r="N132">
            <v>30</v>
          </cell>
          <cell r="O132">
            <v>2009</v>
          </cell>
          <cell r="P132" t="str">
            <v>S·T·S</v>
          </cell>
        </row>
        <row r="133">
          <cell r="D133" t="str">
            <v>한삼천</v>
          </cell>
          <cell r="E133">
            <v>40</v>
          </cell>
          <cell r="F133">
            <v>40</v>
          </cell>
          <cell r="G133">
            <v>79</v>
          </cell>
          <cell r="H133" t="str">
            <v>지하수</v>
          </cell>
          <cell r="I133" t="str">
            <v>140</v>
          </cell>
          <cell r="J133">
            <v>120</v>
          </cell>
          <cell r="K133">
            <v>2002</v>
          </cell>
          <cell r="N133">
            <v>20</v>
          </cell>
          <cell r="O133">
            <v>2002</v>
          </cell>
          <cell r="P133" t="str">
            <v>S·T·S</v>
          </cell>
        </row>
        <row r="134">
          <cell r="D134" t="str">
            <v>신대</v>
          </cell>
          <cell r="E134">
            <v>40</v>
          </cell>
          <cell r="F134">
            <v>31</v>
          </cell>
          <cell r="G134">
            <v>65</v>
          </cell>
          <cell r="H134" t="str">
            <v>지하수</v>
          </cell>
          <cell r="I134" t="str">
            <v>120</v>
          </cell>
          <cell r="J134">
            <v>98</v>
          </cell>
          <cell r="K134">
            <v>2007</v>
          </cell>
          <cell r="N134">
            <v>30</v>
          </cell>
          <cell r="O134">
            <v>2007</v>
          </cell>
          <cell r="P134" t="str">
            <v>S·T·S</v>
          </cell>
        </row>
        <row r="135">
          <cell r="D135" t="str">
            <v>공심이</v>
          </cell>
          <cell r="E135">
            <v>30</v>
          </cell>
          <cell r="F135">
            <v>30</v>
          </cell>
          <cell r="G135">
            <v>60</v>
          </cell>
          <cell r="H135" t="str">
            <v>지하수</v>
          </cell>
          <cell r="I135" t="str">
            <v>105</v>
          </cell>
          <cell r="J135">
            <v>120</v>
          </cell>
          <cell r="K135">
            <v>2007</v>
          </cell>
          <cell r="N135">
            <v>30</v>
          </cell>
          <cell r="O135">
            <v>2007</v>
          </cell>
          <cell r="P135" t="str">
            <v>S·T·S</v>
          </cell>
        </row>
        <row r="136">
          <cell r="D136" t="str">
            <v>독뱅이</v>
          </cell>
          <cell r="E136">
            <v>30</v>
          </cell>
          <cell r="F136">
            <v>15</v>
          </cell>
          <cell r="G136">
            <v>43</v>
          </cell>
          <cell r="H136" t="str">
            <v>계곡수</v>
          </cell>
          <cell r="I136" t="str">
            <v>0</v>
          </cell>
          <cell r="J136">
            <v>80</v>
          </cell>
          <cell r="K136">
            <v>2006</v>
          </cell>
          <cell r="N136">
            <v>20</v>
          </cell>
          <cell r="O136">
            <v>2006</v>
          </cell>
          <cell r="P136" t="str">
            <v>S·T·S</v>
          </cell>
        </row>
        <row r="137">
          <cell r="D137" t="str">
            <v>속골</v>
          </cell>
          <cell r="E137">
            <v>20</v>
          </cell>
          <cell r="F137">
            <v>20</v>
          </cell>
          <cell r="G137">
            <v>40</v>
          </cell>
          <cell r="H137" t="str">
            <v>지하수</v>
          </cell>
          <cell r="I137" t="str">
            <v>110</v>
          </cell>
          <cell r="J137">
            <v>95</v>
          </cell>
          <cell r="K137">
            <v>2008</v>
          </cell>
          <cell r="N137">
            <v>30</v>
          </cell>
          <cell r="O137">
            <v>2008</v>
          </cell>
          <cell r="P137" t="str">
            <v>S·T·S</v>
          </cell>
        </row>
        <row r="138">
          <cell r="D138" t="str">
            <v>새재</v>
          </cell>
          <cell r="E138">
            <v>40</v>
          </cell>
          <cell r="F138">
            <v>19</v>
          </cell>
          <cell r="G138">
            <v>72</v>
          </cell>
          <cell r="H138" t="str">
            <v>지하수</v>
          </cell>
          <cell r="I138" t="str">
            <v>120</v>
          </cell>
          <cell r="J138">
            <v>120</v>
          </cell>
          <cell r="K138">
            <v>2006</v>
          </cell>
          <cell r="N138">
            <v>20</v>
          </cell>
          <cell r="O138">
            <v>2006</v>
          </cell>
          <cell r="P138" t="str">
            <v>S·T·S</v>
          </cell>
        </row>
        <row r="139">
          <cell r="D139" t="str">
            <v>오작실</v>
          </cell>
          <cell r="E139">
            <v>30</v>
          </cell>
          <cell r="F139">
            <v>20</v>
          </cell>
          <cell r="G139">
            <v>49</v>
          </cell>
          <cell r="H139" t="str">
            <v>지하수</v>
          </cell>
          <cell r="I139" t="str">
            <v>112</v>
          </cell>
          <cell r="J139">
            <v>150</v>
          </cell>
          <cell r="K139">
            <v>2010</v>
          </cell>
          <cell r="N139">
            <v>30</v>
          </cell>
          <cell r="O139">
            <v>2010</v>
          </cell>
          <cell r="P139" t="str">
            <v>S·T·S</v>
          </cell>
        </row>
        <row r="140">
          <cell r="D140" t="str">
            <v>느락골</v>
          </cell>
          <cell r="E140">
            <v>40</v>
          </cell>
          <cell r="F140">
            <v>25</v>
          </cell>
          <cell r="G140">
            <v>75</v>
          </cell>
          <cell r="H140" t="str">
            <v>지하수</v>
          </cell>
          <cell r="I140" t="str">
            <v>110</v>
          </cell>
          <cell r="J140">
            <v>100</v>
          </cell>
          <cell r="K140">
            <v>2006</v>
          </cell>
          <cell r="N140">
            <v>20</v>
          </cell>
          <cell r="O140">
            <v>2006</v>
          </cell>
          <cell r="P140" t="str">
            <v>S·T·S</v>
          </cell>
        </row>
        <row r="141">
          <cell r="D141" t="str">
            <v>도산2</v>
          </cell>
          <cell r="E141">
            <v>50</v>
          </cell>
          <cell r="F141">
            <v>54</v>
          </cell>
          <cell r="G141">
            <v>99</v>
          </cell>
          <cell r="H141" t="str">
            <v>지하수</v>
          </cell>
          <cell r="I141" t="str">
            <v>209</v>
          </cell>
          <cell r="J141">
            <v>95</v>
          </cell>
          <cell r="K141">
            <v>2011</v>
          </cell>
          <cell r="N141">
            <v>30</v>
          </cell>
          <cell r="O141">
            <v>2007</v>
          </cell>
          <cell r="P141" t="str">
            <v>S·T·S</v>
          </cell>
        </row>
        <row r="142">
          <cell r="D142" t="str">
            <v>윗사정</v>
          </cell>
          <cell r="E142">
            <v>30</v>
          </cell>
          <cell r="F142">
            <v>25</v>
          </cell>
          <cell r="G142">
            <v>58</v>
          </cell>
          <cell r="H142" t="str">
            <v>지하수</v>
          </cell>
          <cell r="I142" t="str">
            <v>105</v>
          </cell>
          <cell r="J142">
            <v>100</v>
          </cell>
          <cell r="K142">
            <v>2004</v>
          </cell>
          <cell r="N142">
            <v>30</v>
          </cell>
          <cell r="O142">
            <v>2004</v>
          </cell>
          <cell r="P142" t="str">
            <v>S·T·S</v>
          </cell>
        </row>
        <row r="143">
          <cell r="D143" t="str">
            <v>자고목</v>
          </cell>
          <cell r="E143">
            <v>20</v>
          </cell>
          <cell r="F143">
            <v>20</v>
          </cell>
          <cell r="G143">
            <v>35</v>
          </cell>
          <cell r="H143" t="str">
            <v>지하수</v>
          </cell>
          <cell r="I143" t="str">
            <v>110</v>
          </cell>
          <cell r="J143">
            <v>150</v>
          </cell>
          <cell r="K143">
            <v>2004</v>
          </cell>
          <cell r="N143">
            <v>30</v>
          </cell>
          <cell r="O143">
            <v>2004</v>
          </cell>
          <cell r="P143" t="str">
            <v>S·T·S</v>
          </cell>
        </row>
        <row r="144">
          <cell r="D144" t="str">
            <v>상수락</v>
          </cell>
          <cell r="E144">
            <v>40</v>
          </cell>
          <cell r="F144">
            <v>46</v>
          </cell>
          <cell r="G144">
            <v>75</v>
          </cell>
          <cell r="H144" t="str">
            <v>지하수</v>
          </cell>
          <cell r="I144" t="str">
            <v>156</v>
          </cell>
          <cell r="J144">
            <v>90</v>
          </cell>
          <cell r="K144">
            <v>2004</v>
          </cell>
          <cell r="N144">
            <v>30</v>
          </cell>
          <cell r="O144">
            <v>2004</v>
          </cell>
          <cell r="P144" t="str">
            <v>S·T·S</v>
          </cell>
        </row>
        <row r="145">
          <cell r="D145" t="str">
            <v>상만목</v>
          </cell>
          <cell r="E145">
            <v>20</v>
          </cell>
          <cell r="F145">
            <v>12</v>
          </cell>
          <cell r="G145">
            <v>25</v>
          </cell>
          <cell r="H145" t="str">
            <v>지하수</v>
          </cell>
          <cell r="I145" t="str">
            <v>120</v>
          </cell>
          <cell r="J145">
            <v>140</v>
          </cell>
          <cell r="K145">
            <v>2006</v>
          </cell>
          <cell r="N145">
            <v>20</v>
          </cell>
          <cell r="O145">
            <v>2006</v>
          </cell>
          <cell r="P145" t="str">
            <v>S·T·S</v>
          </cell>
        </row>
        <row r="146">
          <cell r="D146" t="str">
            <v>대목골</v>
          </cell>
          <cell r="E146">
            <v>50</v>
          </cell>
          <cell r="F146">
            <v>29</v>
          </cell>
          <cell r="G146">
            <v>87</v>
          </cell>
          <cell r="H146" t="str">
            <v>지하수</v>
          </cell>
          <cell r="I146" t="str">
            <v>150</v>
          </cell>
          <cell r="J146">
            <v>180</v>
          </cell>
          <cell r="K146">
            <v>2010</v>
          </cell>
          <cell r="N146">
            <v>15</v>
          </cell>
          <cell r="O146">
            <v>2010</v>
          </cell>
          <cell r="P146" t="str">
            <v>S·T·S</v>
          </cell>
        </row>
        <row r="147">
          <cell r="D147" t="str">
            <v>도정</v>
          </cell>
          <cell r="E147">
            <v>40</v>
          </cell>
          <cell r="F147">
            <v>25</v>
          </cell>
          <cell r="G147">
            <v>78</v>
          </cell>
          <cell r="H147" t="str">
            <v>지하수</v>
          </cell>
          <cell r="I147" t="str">
            <v>120</v>
          </cell>
          <cell r="J147">
            <v>110</v>
          </cell>
          <cell r="K147" t="str">
            <v>1983</v>
          </cell>
          <cell r="N147">
            <v>70</v>
          </cell>
          <cell r="O147" t="str">
            <v>1983</v>
          </cell>
          <cell r="P147" t="str">
            <v>콘크리트</v>
          </cell>
        </row>
        <row r="148">
          <cell r="D148" t="str">
            <v>새터</v>
          </cell>
          <cell r="E148">
            <v>40</v>
          </cell>
          <cell r="F148">
            <v>19</v>
          </cell>
          <cell r="G148">
            <v>76</v>
          </cell>
          <cell r="H148" t="str">
            <v>지하수</v>
          </cell>
          <cell r="I148" t="str">
            <v>135</v>
          </cell>
          <cell r="J148">
            <v>90</v>
          </cell>
          <cell r="K148">
            <v>2008</v>
          </cell>
          <cell r="N148">
            <v>30</v>
          </cell>
          <cell r="O148">
            <v>2008</v>
          </cell>
          <cell r="P148" t="str">
            <v>S·T·S</v>
          </cell>
        </row>
        <row r="149">
          <cell r="D149" t="str">
            <v>암말</v>
          </cell>
          <cell r="E149">
            <v>10</v>
          </cell>
          <cell r="F149">
            <v>10</v>
          </cell>
          <cell r="G149">
            <v>20</v>
          </cell>
          <cell r="H149" t="str">
            <v>계곡수</v>
          </cell>
          <cell r="I149" t="str">
            <v>0</v>
          </cell>
          <cell r="J149">
            <v>75</v>
          </cell>
          <cell r="K149" t="str">
            <v>1984</v>
          </cell>
          <cell r="N149">
            <v>70</v>
          </cell>
          <cell r="O149" t="str">
            <v>1984</v>
          </cell>
          <cell r="P149" t="str">
            <v>콘크리트</v>
          </cell>
        </row>
        <row r="150">
          <cell r="D150" t="str">
            <v>새터-1</v>
          </cell>
          <cell r="E150">
            <v>20</v>
          </cell>
          <cell r="F150">
            <v>18</v>
          </cell>
          <cell r="G150">
            <v>40</v>
          </cell>
          <cell r="H150" t="str">
            <v>계곡수</v>
          </cell>
          <cell r="I150" t="str">
            <v>0</v>
          </cell>
          <cell r="J150">
            <v>50</v>
          </cell>
          <cell r="K150" t="str">
            <v>1985</v>
          </cell>
          <cell r="N150">
            <v>50</v>
          </cell>
          <cell r="O150" t="str">
            <v>1985</v>
          </cell>
          <cell r="P150" t="str">
            <v>콘크리트</v>
          </cell>
        </row>
        <row r="151">
          <cell r="D151" t="str">
            <v>광달리</v>
          </cell>
          <cell r="E151">
            <v>30</v>
          </cell>
          <cell r="F151">
            <v>20</v>
          </cell>
          <cell r="G151">
            <v>60</v>
          </cell>
          <cell r="H151" t="str">
            <v>지하수</v>
          </cell>
          <cell r="I151" t="str">
            <v>115</v>
          </cell>
          <cell r="J151">
            <v>100</v>
          </cell>
          <cell r="K151">
            <v>2008</v>
          </cell>
          <cell r="N151">
            <v>40</v>
          </cell>
          <cell r="O151">
            <v>2008</v>
          </cell>
          <cell r="P151" t="str">
            <v>S·T·S</v>
          </cell>
        </row>
        <row r="152">
          <cell r="D152" t="str">
            <v>이매골</v>
          </cell>
          <cell r="E152">
            <v>50</v>
          </cell>
          <cell r="F152">
            <v>35</v>
          </cell>
          <cell r="G152">
            <v>98</v>
          </cell>
          <cell r="H152" t="str">
            <v>지하수</v>
          </cell>
          <cell r="I152" t="str">
            <v>110</v>
          </cell>
          <cell r="J152">
            <v>100</v>
          </cell>
          <cell r="K152">
            <v>2010</v>
          </cell>
          <cell r="N152">
            <v>30</v>
          </cell>
          <cell r="O152">
            <v>2010</v>
          </cell>
          <cell r="P152" t="str">
            <v>S·T·S</v>
          </cell>
        </row>
        <row r="153">
          <cell r="D153" t="str">
            <v>독점</v>
          </cell>
          <cell r="E153">
            <v>50</v>
          </cell>
          <cell r="F153">
            <v>31</v>
          </cell>
          <cell r="G153">
            <v>93</v>
          </cell>
          <cell r="H153" t="str">
            <v>지하수</v>
          </cell>
          <cell r="I153" t="str">
            <v>110</v>
          </cell>
          <cell r="J153">
            <v>98</v>
          </cell>
          <cell r="K153" t="str">
            <v>2002</v>
          </cell>
          <cell r="N153">
            <v>30</v>
          </cell>
          <cell r="O153" t="str">
            <v>2002</v>
          </cell>
          <cell r="P153" t="str">
            <v>S·T·S</v>
          </cell>
        </row>
        <row r="154">
          <cell r="D154" t="str">
            <v>장상동</v>
          </cell>
          <cell r="E154">
            <v>30</v>
          </cell>
          <cell r="F154">
            <v>15</v>
          </cell>
          <cell r="G154">
            <v>53</v>
          </cell>
          <cell r="H154" t="str">
            <v>지하수</v>
          </cell>
          <cell r="I154" t="str">
            <v>98</v>
          </cell>
          <cell r="J154">
            <v>90</v>
          </cell>
          <cell r="K154">
            <v>2006</v>
          </cell>
          <cell r="N154">
            <v>30</v>
          </cell>
          <cell r="O154">
            <v>2006</v>
          </cell>
          <cell r="P154" t="str">
            <v>S·T·S</v>
          </cell>
        </row>
        <row r="155">
          <cell r="D155" t="str">
            <v>정골</v>
          </cell>
          <cell r="E155">
            <v>30</v>
          </cell>
          <cell r="F155">
            <v>39</v>
          </cell>
          <cell r="G155">
            <v>98</v>
          </cell>
          <cell r="H155" t="str">
            <v>지하수</v>
          </cell>
          <cell r="I155" t="str">
            <v>154</v>
          </cell>
          <cell r="J155">
            <v>90</v>
          </cell>
          <cell r="K155">
            <v>2011</v>
          </cell>
          <cell r="N155">
            <v>20</v>
          </cell>
          <cell r="O155">
            <v>2011</v>
          </cell>
          <cell r="P155" t="str">
            <v>S·T·S</v>
          </cell>
        </row>
        <row r="156">
          <cell r="D156" t="str">
            <v>구로고개</v>
          </cell>
          <cell r="E156">
            <v>20</v>
          </cell>
          <cell r="F156">
            <v>10</v>
          </cell>
          <cell r="G156">
            <v>35</v>
          </cell>
          <cell r="H156" t="str">
            <v>지하수</v>
          </cell>
          <cell r="I156" t="str">
            <v>118</v>
          </cell>
          <cell r="J156">
            <v>98</v>
          </cell>
          <cell r="K156" t="str">
            <v>1981</v>
          </cell>
          <cell r="N156">
            <v>20</v>
          </cell>
          <cell r="O156">
            <v>2001</v>
          </cell>
          <cell r="P156" t="str">
            <v>S·T·S</v>
          </cell>
        </row>
        <row r="157">
          <cell r="D157" t="str">
            <v>배추간</v>
          </cell>
          <cell r="E157">
            <v>30</v>
          </cell>
          <cell r="F157">
            <v>13</v>
          </cell>
          <cell r="G157">
            <v>41</v>
          </cell>
          <cell r="H157" t="str">
            <v>지하수</v>
          </cell>
          <cell r="I157" t="str">
            <v>156</v>
          </cell>
          <cell r="J157">
            <v>80</v>
          </cell>
          <cell r="K157">
            <v>2007</v>
          </cell>
          <cell r="N157">
            <v>20</v>
          </cell>
          <cell r="O157">
            <v>2007</v>
          </cell>
          <cell r="P157" t="str">
            <v>S·T·S</v>
          </cell>
        </row>
        <row r="158">
          <cell r="D158" t="str">
            <v>만목</v>
          </cell>
          <cell r="E158">
            <v>20</v>
          </cell>
          <cell r="F158">
            <v>14</v>
          </cell>
          <cell r="G158">
            <v>35</v>
          </cell>
          <cell r="H158" t="str">
            <v>지하수</v>
          </cell>
          <cell r="I158" t="str">
            <v>121</v>
          </cell>
          <cell r="J158">
            <v>90</v>
          </cell>
          <cell r="K158">
            <v>2001</v>
          </cell>
          <cell r="N158">
            <v>20</v>
          </cell>
          <cell r="O158">
            <v>2006</v>
          </cell>
          <cell r="P158" t="str">
            <v>S·T·S</v>
          </cell>
        </row>
        <row r="159">
          <cell r="D159" t="str">
            <v>개경자</v>
          </cell>
          <cell r="E159">
            <v>20</v>
          </cell>
          <cell r="F159">
            <v>14</v>
          </cell>
          <cell r="G159">
            <v>31</v>
          </cell>
          <cell r="H159" t="str">
            <v>지하수</v>
          </cell>
          <cell r="I159" t="str">
            <v>129</v>
          </cell>
          <cell r="J159">
            <v>95</v>
          </cell>
          <cell r="K159">
            <v>2010</v>
          </cell>
          <cell r="N159">
            <v>20</v>
          </cell>
          <cell r="O159">
            <v>2010</v>
          </cell>
          <cell r="P159" t="str">
            <v>S·T·S</v>
          </cell>
        </row>
        <row r="160">
          <cell r="D160" t="str">
            <v>육한</v>
          </cell>
          <cell r="E160">
            <v>30</v>
          </cell>
          <cell r="F160">
            <v>14</v>
          </cell>
          <cell r="G160">
            <v>43</v>
          </cell>
          <cell r="H160" t="str">
            <v>지하수</v>
          </cell>
          <cell r="I160" t="str">
            <v>100</v>
          </cell>
          <cell r="J160">
            <v>80</v>
          </cell>
          <cell r="K160">
            <v>2007</v>
          </cell>
          <cell r="N160">
            <v>20</v>
          </cell>
          <cell r="O160">
            <v>2007</v>
          </cell>
          <cell r="P160" t="str">
            <v>S·T·S</v>
          </cell>
        </row>
        <row r="161">
          <cell r="D161" t="str">
            <v>매오리</v>
          </cell>
          <cell r="E161">
            <v>20</v>
          </cell>
          <cell r="F161">
            <v>22</v>
          </cell>
          <cell r="G161">
            <v>26</v>
          </cell>
          <cell r="H161" t="str">
            <v>지하수</v>
          </cell>
          <cell r="I161" t="str">
            <v>98</v>
          </cell>
          <cell r="J161">
            <v>90</v>
          </cell>
          <cell r="K161" t="str">
            <v>1985</v>
          </cell>
          <cell r="N161">
            <v>30</v>
          </cell>
          <cell r="O161" t="str">
            <v>1985</v>
          </cell>
          <cell r="P161" t="str">
            <v>S·T·S</v>
          </cell>
        </row>
        <row r="162">
          <cell r="D162" t="str">
            <v>갱골</v>
          </cell>
          <cell r="E162">
            <v>80</v>
          </cell>
          <cell r="F162">
            <v>54</v>
          </cell>
          <cell r="G162">
            <v>151</v>
          </cell>
          <cell r="H162" t="str">
            <v>지하수</v>
          </cell>
          <cell r="I162" t="str">
            <v>110</v>
          </cell>
          <cell r="J162">
            <v>150</v>
          </cell>
          <cell r="K162" t="str">
            <v>1985</v>
          </cell>
          <cell r="L162" t="str">
            <v>기타</v>
          </cell>
          <cell r="M162">
            <v>2009</v>
          </cell>
          <cell r="N162">
            <v>30</v>
          </cell>
          <cell r="O162">
            <v>2008</v>
          </cell>
          <cell r="P162" t="str">
            <v>S·T·S</v>
          </cell>
        </row>
        <row r="163">
          <cell r="D163" t="str">
            <v>가늠자골</v>
          </cell>
          <cell r="E163">
            <v>40</v>
          </cell>
          <cell r="F163">
            <v>22</v>
          </cell>
          <cell r="G163">
            <v>62</v>
          </cell>
          <cell r="H163" t="str">
            <v>지하수</v>
          </cell>
          <cell r="I163" t="str">
            <v>98</v>
          </cell>
          <cell r="J163">
            <v>60</v>
          </cell>
          <cell r="K163" t="str">
            <v>1985</v>
          </cell>
          <cell r="N163">
            <v>30</v>
          </cell>
          <cell r="O163">
            <v>2006</v>
          </cell>
          <cell r="P163" t="str">
            <v>S·T·S</v>
          </cell>
        </row>
        <row r="164">
          <cell r="D164" t="str">
            <v>소사</v>
          </cell>
          <cell r="E164">
            <v>20</v>
          </cell>
          <cell r="F164">
            <v>20</v>
          </cell>
          <cell r="G164">
            <v>31</v>
          </cell>
          <cell r="H164" t="str">
            <v>지하수</v>
          </cell>
          <cell r="I164" t="str">
            <v>120</v>
          </cell>
          <cell r="J164">
            <v>110</v>
          </cell>
          <cell r="K164">
            <v>2008</v>
          </cell>
          <cell r="N164">
            <v>30</v>
          </cell>
          <cell r="O164">
            <v>2008</v>
          </cell>
          <cell r="P164" t="str">
            <v>S·T·S</v>
          </cell>
        </row>
        <row r="165">
          <cell r="D165" t="str">
            <v>종두못</v>
          </cell>
          <cell r="E165">
            <v>20</v>
          </cell>
          <cell r="F165">
            <v>18</v>
          </cell>
          <cell r="G165">
            <v>35</v>
          </cell>
          <cell r="H165" t="str">
            <v>지하수</v>
          </cell>
          <cell r="I165" t="str">
            <v>110</v>
          </cell>
          <cell r="J165">
            <v>100</v>
          </cell>
          <cell r="K165">
            <v>2010</v>
          </cell>
          <cell r="N165">
            <v>20</v>
          </cell>
          <cell r="O165">
            <v>2010</v>
          </cell>
          <cell r="P165" t="str">
            <v>S·T·S</v>
          </cell>
        </row>
        <row r="166">
          <cell r="D166" t="str">
            <v>북소</v>
          </cell>
          <cell r="E166">
            <v>40</v>
          </cell>
          <cell r="F166">
            <v>30</v>
          </cell>
          <cell r="G166">
            <v>65</v>
          </cell>
          <cell r="H166" t="str">
            <v>지하수</v>
          </cell>
          <cell r="I166" t="str">
            <v>140</v>
          </cell>
          <cell r="J166">
            <v>150</v>
          </cell>
          <cell r="K166">
            <v>2006</v>
          </cell>
          <cell r="N166">
            <v>30</v>
          </cell>
          <cell r="O166">
            <v>2006</v>
          </cell>
          <cell r="P166" t="str">
            <v>S·T·S</v>
          </cell>
        </row>
        <row r="167">
          <cell r="D167" t="str">
            <v>댓골</v>
          </cell>
          <cell r="E167">
            <v>40</v>
          </cell>
          <cell r="F167">
            <v>30</v>
          </cell>
          <cell r="G167">
            <v>62</v>
          </cell>
          <cell r="H167" t="str">
            <v>지하수</v>
          </cell>
          <cell r="I167" t="str">
            <v>110</v>
          </cell>
          <cell r="J167">
            <v>105</v>
          </cell>
          <cell r="K167">
            <v>2005</v>
          </cell>
          <cell r="L167" t="str">
            <v>막여과</v>
          </cell>
          <cell r="M167">
            <v>2002</v>
          </cell>
          <cell r="N167">
            <v>30</v>
          </cell>
          <cell r="O167">
            <v>2005</v>
          </cell>
          <cell r="P167" t="str">
            <v>S·T·S</v>
          </cell>
        </row>
      </sheetData>
      <sheetData sheetId="11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T39"/>
  <sheetViews>
    <sheetView workbookViewId="0">
      <selection activeCell="B21" sqref="B21"/>
    </sheetView>
  </sheetViews>
  <sheetFormatPr defaultRowHeight="20.100000000000001" customHeight="1"/>
  <cols>
    <col min="1" max="10" width="10.625" customWidth="1"/>
    <col min="14" max="20" width="11.5" customWidth="1"/>
  </cols>
  <sheetData>
    <row r="2" spans="1:10" ht="20.100000000000001" customHeight="1">
      <c r="J2" s="10" t="s">
        <v>392</v>
      </c>
    </row>
    <row r="3" spans="1:10" ht="20.100000000000001" customHeight="1">
      <c r="A3" s="83" t="s">
        <v>100</v>
      </c>
      <c r="B3" s="83" t="s">
        <v>109</v>
      </c>
      <c r="C3" s="83" t="s">
        <v>103</v>
      </c>
      <c r="D3" s="86" t="s">
        <v>97</v>
      </c>
      <c r="E3" s="83" t="s">
        <v>104</v>
      </c>
      <c r="F3" s="83" t="s">
        <v>105</v>
      </c>
      <c r="G3" s="83"/>
      <c r="H3" s="83" t="s">
        <v>106</v>
      </c>
      <c r="I3" s="83"/>
      <c r="J3" s="83" t="s">
        <v>101</v>
      </c>
    </row>
    <row r="4" spans="1:10" ht="20.100000000000001" customHeight="1">
      <c r="A4" s="83"/>
      <c r="B4" s="83"/>
      <c r="C4" s="83"/>
      <c r="D4" s="86"/>
      <c r="E4" s="83"/>
      <c r="F4" s="38" t="s">
        <v>107</v>
      </c>
      <c r="G4" s="38" t="s">
        <v>108</v>
      </c>
      <c r="H4" s="38" t="s">
        <v>107</v>
      </c>
      <c r="I4" s="38" t="s">
        <v>108</v>
      </c>
      <c r="J4" s="83"/>
    </row>
    <row r="5" spans="1:10" ht="20.100000000000001" customHeight="1">
      <c r="A5" s="84" t="str">
        <f>'마을,소규모 급수시설'!A4</f>
        <v>마을              상수도</v>
      </c>
      <c r="B5" s="39" t="str">
        <f>'마을,소규모 급수시설'!B4</f>
        <v>상월면</v>
      </c>
      <c r="C5" s="39" t="str">
        <f>'마을,소규모 급수시설'!D4</f>
        <v>월오리</v>
      </c>
      <c r="D5" s="39">
        <f>'마을,소규모 급수시설'!E4</f>
        <v>80</v>
      </c>
      <c r="E5" s="14">
        <f>G5+I5</f>
        <v>108340</v>
      </c>
      <c r="F5" s="15" t="s">
        <v>119</v>
      </c>
      <c r="G5" s="16">
        <f>VLOOKUP(D5,'개량사업비 산정기준'!$A$5:$I$23,2,FALSE)</f>
        <v>43000</v>
      </c>
      <c r="H5" s="15" t="s">
        <v>119</v>
      </c>
      <c r="I5" s="16">
        <f>VLOOKUP(D5,'개량사업비 산정기준'!$A$5:$I$23,5,FALSE)</f>
        <v>65340</v>
      </c>
      <c r="J5" s="40"/>
    </row>
    <row r="6" spans="1:10" ht="20.100000000000001" customHeight="1">
      <c r="A6" s="84"/>
      <c r="B6" s="85" t="str">
        <f>'마을,소규모 급수시설'!B5</f>
        <v>양촌면</v>
      </c>
      <c r="C6" s="39" t="str">
        <f>'마을,소규모 급수시설'!D5</f>
        <v>도평1리</v>
      </c>
      <c r="D6" s="39">
        <f>'마을,소규모 급수시설'!E5</f>
        <v>100</v>
      </c>
      <c r="E6" s="14">
        <f>G6+I6</f>
        <v>68759</v>
      </c>
      <c r="F6" s="39" t="s">
        <v>114</v>
      </c>
      <c r="G6" s="16">
        <v>0</v>
      </c>
      <c r="H6" s="15" t="s">
        <v>119</v>
      </c>
      <c r="I6" s="16">
        <f>VLOOKUP(D6,'개량사업비 산정기준'!$A$5:$I$23,5,FALSE)</f>
        <v>68759</v>
      </c>
      <c r="J6" s="40"/>
    </row>
    <row r="7" spans="1:10" ht="20.100000000000001" customHeight="1">
      <c r="A7" s="84"/>
      <c r="B7" s="85"/>
      <c r="C7" s="39" t="str">
        <f>'마을,소규모 급수시설'!D6</f>
        <v>모촌1리</v>
      </c>
      <c r="D7" s="39">
        <f>'마을,소규모 급수시설'!E6</f>
        <v>60</v>
      </c>
      <c r="E7" s="14">
        <f t="shared" ref="E7:E15" si="0">G7+I7</f>
        <v>52795</v>
      </c>
      <c r="F7" s="39" t="s">
        <v>114</v>
      </c>
      <c r="G7" s="16">
        <v>0</v>
      </c>
      <c r="H7" s="15" t="s">
        <v>119</v>
      </c>
      <c r="I7" s="16">
        <f>VLOOKUP(D7,'개량사업비 산정기준'!$A$5:$I$23,5,FALSE)</f>
        <v>52795</v>
      </c>
      <c r="J7" s="40"/>
    </row>
    <row r="8" spans="1:10" ht="20.100000000000001" customHeight="1">
      <c r="A8" s="84"/>
      <c r="B8" s="85"/>
      <c r="C8" s="39" t="str">
        <f>'마을,소규모 급수시설'!D7</f>
        <v>임화4리</v>
      </c>
      <c r="D8" s="39">
        <f>'마을,소규모 급수시설'!E7</f>
        <v>50</v>
      </c>
      <c r="E8" s="14">
        <f t="shared" si="0"/>
        <v>86487</v>
      </c>
      <c r="F8" s="15" t="s">
        <v>119</v>
      </c>
      <c r="G8" s="16">
        <f>VLOOKUP(D8,'개량사업비 산정기준'!$A$5:$I$23,2,FALSE)</f>
        <v>39000</v>
      </c>
      <c r="H8" s="15" t="s">
        <v>119</v>
      </c>
      <c r="I8" s="16">
        <f>VLOOKUP(D8,'개량사업비 산정기준'!$A$5:$I$23,5,FALSE)</f>
        <v>47487</v>
      </c>
      <c r="J8" s="40"/>
    </row>
    <row r="9" spans="1:10" ht="20.100000000000001" customHeight="1">
      <c r="A9" s="84"/>
      <c r="B9" s="85"/>
      <c r="C9" s="39" t="str">
        <f>'마을,소규모 급수시설'!D8</f>
        <v>양촌2리</v>
      </c>
      <c r="D9" s="39">
        <f>'마을,소규모 급수시설'!E8</f>
        <v>60</v>
      </c>
      <c r="E9" s="14">
        <f t="shared" si="0"/>
        <v>95795</v>
      </c>
      <c r="F9" s="15" t="s">
        <v>119</v>
      </c>
      <c r="G9" s="16">
        <f>VLOOKUP(D9,'개량사업비 산정기준'!$A$5:$I$23,2,FALSE)</f>
        <v>43000</v>
      </c>
      <c r="H9" s="15" t="s">
        <v>119</v>
      </c>
      <c r="I9" s="16">
        <f>VLOOKUP(D9,'개량사업비 산정기준'!$A$5:$I$23,5,FALSE)</f>
        <v>52795</v>
      </c>
      <c r="J9" s="40"/>
    </row>
    <row r="10" spans="1:10" ht="20.100000000000001" customHeight="1">
      <c r="A10" s="86" t="str">
        <f>'마을,소규모 급수시설'!A9</f>
        <v>소규모               급수시설</v>
      </c>
      <c r="B10" s="38" t="str">
        <f>'마을,소규모 급수시설'!B9</f>
        <v>노성면</v>
      </c>
      <c r="C10" s="38" t="str">
        <f>'마을,소규모 급수시설'!D9</f>
        <v>원병사</v>
      </c>
      <c r="D10" s="38">
        <f>'마을,소규모 급수시설'!E9</f>
        <v>20</v>
      </c>
      <c r="E10" s="12">
        <f t="shared" si="0"/>
        <v>72319</v>
      </c>
      <c r="F10" s="38" t="s">
        <v>122</v>
      </c>
      <c r="G10" s="13">
        <f>VLOOKUP(D10,'개량사업비 산정기준'!$A$5:$I$23,2,FALSE)</f>
        <v>39000</v>
      </c>
      <c r="H10" s="38" t="s">
        <v>122</v>
      </c>
      <c r="I10" s="13">
        <f>VLOOKUP(D10,'개량사업비 산정기준'!$A$5:$I$23,5,FALSE)</f>
        <v>33319</v>
      </c>
      <c r="J10" s="41"/>
    </row>
    <row r="11" spans="1:10" ht="20.100000000000001" customHeight="1">
      <c r="A11" s="86"/>
      <c r="B11" s="38" t="str">
        <f>'마을,소규모 급수시설'!B10</f>
        <v>벌곡면</v>
      </c>
      <c r="C11" s="38" t="str">
        <f>'마을,소규모 급수시설'!D10</f>
        <v>독뱅이</v>
      </c>
      <c r="D11" s="38">
        <f>'마을,소규모 급수시설'!E10</f>
        <v>30</v>
      </c>
      <c r="E11" s="12">
        <f t="shared" si="0"/>
        <v>80236</v>
      </c>
      <c r="F11" s="38" t="s">
        <v>122</v>
      </c>
      <c r="G11" s="13">
        <f>VLOOKUP(D11,'개량사업비 산정기준'!$A$5:$I$23,2,FALSE)</f>
        <v>39000</v>
      </c>
      <c r="H11" s="38" t="s">
        <v>122</v>
      </c>
      <c r="I11" s="13">
        <f>VLOOKUP(D11,'개량사업비 산정기준'!$A$5:$I$23,5,FALSE)</f>
        <v>41236</v>
      </c>
      <c r="J11" s="41"/>
    </row>
    <row r="12" spans="1:10" ht="20.100000000000001" customHeight="1">
      <c r="A12" s="86"/>
      <c r="B12" s="83" t="str">
        <f>'마을,소규모 급수시설'!B11</f>
        <v>양촌면</v>
      </c>
      <c r="C12" s="38" t="str">
        <f>'마을,소규모 급수시설'!D11</f>
        <v>도정</v>
      </c>
      <c r="D12" s="38">
        <f>'마을,소규모 급수시설'!E11</f>
        <v>40</v>
      </c>
      <c r="E12" s="12">
        <f t="shared" si="0"/>
        <v>81571</v>
      </c>
      <c r="F12" s="15" t="s">
        <v>119</v>
      </c>
      <c r="G12" s="13">
        <f>VLOOKUP(D12,'개량사업비 산정기준'!$A$5:$I$23,2,FALSE)</f>
        <v>39000</v>
      </c>
      <c r="H12" s="15" t="s">
        <v>119</v>
      </c>
      <c r="I12" s="13">
        <f>VLOOKUP(D12,'개량사업비 산정기준'!$A$5:$I$23,5,FALSE)</f>
        <v>42571</v>
      </c>
      <c r="J12" s="41"/>
    </row>
    <row r="13" spans="1:10" ht="20.100000000000001" customHeight="1">
      <c r="A13" s="86"/>
      <c r="B13" s="83"/>
      <c r="C13" s="38" t="str">
        <f>'마을,소규모 급수시설'!D12</f>
        <v>암말</v>
      </c>
      <c r="D13" s="38">
        <f>'마을,소규모 급수시설'!E12</f>
        <v>10</v>
      </c>
      <c r="E13" s="12">
        <f t="shared" si="0"/>
        <v>70427</v>
      </c>
      <c r="F13" s="15" t="s">
        <v>119</v>
      </c>
      <c r="G13" s="13">
        <f>VLOOKUP(D13,'개량사업비 산정기준'!$A$5:$I$23,2,FALSE)</f>
        <v>39000</v>
      </c>
      <c r="H13" s="15" t="s">
        <v>119</v>
      </c>
      <c r="I13" s="13">
        <f>VLOOKUP(D13,'개량사업비 산정기준'!$A$5:$I$23,5,FALSE)</f>
        <v>31427</v>
      </c>
      <c r="J13" s="41"/>
    </row>
    <row r="14" spans="1:10" ht="20.100000000000001" customHeight="1">
      <c r="A14" s="86"/>
      <c r="B14" s="83"/>
      <c r="C14" s="38" t="str">
        <f>'마을,소규모 급수시설'!D13</f>
        <v>새터-1</v>
      </c>
      <c r="D14" s="38">
        <f>'마을,소규모 급수시설'!E13</f>
        <v>20</v>
      </c>
      <c r="E14" s="12">
        <f t="shared" si="0"/>
        <v>72319</v>
      </c>
      <c r="F14" s="15" t="s">
        <v>119</v>
      </c>
      <c r="G14" s="13">
        <f>VLOOKUP(D14,'개량사업비 산정기준'!$A$5:$I$23,2,FALSE)</f>
        <v>39000</v>
      </c>
      <c r="H14" s="15" t="s">
        <v>119</v>
      </c>
      <c r="I14" s="13">
        <f>VLOOKUP(D14,'개량사업비 산정기준'!$A$5:$I$23,5,FALSE)</f>
        <v>33319</v>
      </c>
      <c r="J14" s="41"/>
    </row>
    <row r="15" spans="1:10" ht="20.100000000000001" customHeight="1">
      <c r="A15" s="86"/>
      <c r="B15" s="83" t="str">
        <f>'마을,소규모 급수시설'!B14</f>
        <v>가야곡면</v>
      </c>
      <c r="C15" s="38" t="str">
        <f>'마을,소규모 급수시설'!D14</f>
        <v>구로고개</v>
      </c>
      <c r="D15" s="38">
        <f>'마을,소규모 급수시설'!E14</f>
        <v>20</v>
      </c>
      <c r="E15" s="12">
        <f t="shared" si="0"/>
        <v>39000</v>
      </c>
      <c r="F15" s="15" t="s">
        <v>119</v>
      </c>
      <c r="G15" s="13">
        <f>VLOOKUP(D15,'개량사업비 산정기준'!$A$5:$I$23,2,FALSE)</f>
        <v>39000</v>
      </c>
      <c r="H15" s="38" t="s">
        <v>114</v>
      </c>
      <c r="I15" s="13">
        <v>0</v>
      </c>
      <c r="J15" s="41"/>
    </row>
    <row r="16" spans="1:10" ht="20.100000000000001" customHeight="1">
      <c r="A16" s="86"/>
      <c r="B16" s="83"/>
      <c r="C16" s="38" t="str">
        <f>'마을,소규모 급수시설'!D15</f>
        <v>매오리</v>
      </c>
      <c r="D16" s="38">
        <f>'마을,소규모 급수시설'!E15</f>
        <v>20</v>
      </c>
      <c r="E16" s="12">
        <f>G16+I16</f>
        <v>72319</v>
      </c>
      <c r="F16" s="15" t="s">
        <v>119</v>
      </c>
      <c r="G16" s="13">
        <f>VLOOKUP(D16,'개량사업비 산정기준'!$A$5:$I$23,2,FALSE)</f>
        <v>39000</v>
      </c>
      <c r="H16" s="15" t="s">
        <v>119</v>
      </c>
      <c r="I16" s="13">
        <f>VLOOKUP(D16,'개량사업비 산정기준'!$A$5:$I$23,5,FALSE)</f>
        <v>33319</v>
      </c>
      <c r="J16" s="41"/>
    </row>
    <row r="17" spans="1:20" ht="20.100000000000001" customHeight="1">
      <c r="A17" s="86"/>
      <c r="B17" s="83"/>
      <c r="C17" s="38" t="str">
        <f>'마을,소규모 급수시설'!D16</f>
        <v>가늠자골</v>
      </c>
      <c r="D17" s="38">
        <f>'마을,소규모 급수시설'!E16</f>
        <v>40</v>
      </c>
      <c r="E17" s="12">
        <f>G16+I16</f>
        <v>72319</v>
      </c>
      <c r="F17" s="15" t="s">
        <v>119</v>
      </c>
      <c r="G17" s="13">
        <f>VLOOKUP(D17,'개량사업비 산정기준'!$A$5:$I$23,2,FALSE)</f>
        <v>39000</v>
      </c>
      <c r="H17" s="38" t="s">
        <v>114</v>
      </c>
      <c r="I17" s="13">
        <v>0</v>
      </c>
      <c r="J17" s="41"/>
    </row>
    <row r="19" spans="1:20" ht="20.100000000000001" customHeight="1">
      <c r="G19" s="10" t="s">
        <v>391</v>
      </c>
      <c r="N19" s="38" t="s">
        <v>100</v>
      </c>
      <c r="O19" s="38" t="s">
        <v>104</v>
      </c>
      <c r="P19" s="38" t="s">
        <v>115</v>
      </c>
      <c r="Q19" s="38" t="s">
        <v>119</v>
      </c>
      <c r="R19" s="38" t="s">
        <v>122</v>
      </c>
      <c r="S19" s="38" t="s">
        <v>124</v>
      </c>
      <c r="T19" s="39" t="s">
        <v>101</v>
      </c>
    </row>
    <row r="20" spans="1:20" ht="20.100000000000001" customHeight="1">
      <c r="A20" s="38" t="s">
        <v>100</v>
      </c>
      <c r="B20" s="38" t="s">
        <v>104</v>
      </c>
      <c r="C20" s="38" t="s">
        <v>115</v>
      </c>
      <c r="D20" s="38" t="s">
        <v>120</v>
      </c>
      <c r="E20" s="38" t="s">
        <v>122</v>
      </c>
      <c r="F20" s="38" t="s">
        <v>124</v>
      </c>
      <c r="G20" s="39" t="s">
        <v>101</v>
      </c>
      <c r="N20" s="36" t="s">
        <v>396</v>
      </c>
      <c r="O20" s="33">
        <f>SUM(P20:S20)</f>
        <v>158</v>
      </c>
      <c r="P20" s="42"/>
      <c r="Q20" s="42">
        <f>'지하수 폐공비용'!G5+'지하수 폐공비용'!G109</f>
        <v>66</v>
      </c>
      <c r="R20" s="42">
        <f>'지하수 폐공비용'!H5+'지하수 폐공비용'!H109</f>
        <v>91</v>
      </c>
      <c r="S20" s="42">
        <f>'지하수 폐공비용'!I5+'지하수 폐공비용'!I109</f>
        <v>1</v>
      </c>
      <c r="T20" s="37"/>
    </row>
    <row r="21" spans="1:20" ht="20.100000000000001" customHeight="1">
      <c r="A21" s="38" t="s">
        <v>393</v>
      </c>
      <c r="B21" s="31">
        <f>B22+B28</f>
        <v>986767</v>
      </c>
      <c r="C21" s="31">
        <f t="shared" ref="C21:E21" si="1">C22+C28</f>
        <v>0</v>
      </c>
      <c r="D21" s="31">
        <f t="shared" si="1"/>
        <v>806612</v>
      </c>
      <c r="E21" s="31">
        <f t="shared" si="1"/>
        <v>179855</v>
      </c>
      <c r="F21" s="31">
        <f>F22+F28</f>
        <v>300</v>
      </c>
      <c r="G21" s="39"/>
    </row>
    <row r="22" spans="1:20" ht="20.100000000000001" customHeight="1">
      <c r="A22" s="32" t="s">
        <v>394</v>
      </c>
      <c r="B22" s="34">
        <f>SUM(B23:B26)</f>
        <v>939367</v>
      </c>
      <c r="C22" s="34">
        <f t="shared" ref="C22:E22" si="2">SUM(C23:C26)</f>
        <v>0</v>
      </c>
      <c r="D22" s="34">
        <f t="shared" si="2"/>
        <v>786812</v>
      </c>
      <c r="E22" s="34">
        <f t="shared" si="2"/>
        <v>152555</v>
      </c>
      <c r="F22" s="34">
        <f>SUM(F23:F26)</f>
        <v>0</v>
      </c>
      <c r="G22" s="35"/>
    </row>
    <row r="23" spans="1:20" ht="20.100000000000001" customHeight="1">
      <c r="A23" s="38" t="s">
        <v>94</v>
      </c>
      <c r="B23" s="13">
        <f>SUM(C23:F23)</f>
        <v>437000</v>
      </c>
      <c r="C23" s="13">
        <f>SUMIF($F$5:$F$17,C20,$G$5:$G$17)</f>
        <v>0</v>
      </c>
      <c r="D23" s="13">
        <f>SUMIF($F$5:$F$17,D20,$G$5:$G$17)</f>
        <v>359000</v>
      </c>
      <c r="E23" s="13">
        <f>SUMIF($F$5:$F$17,E20,$G$5:$G$17)</f>
        <v>78000</v>
      </c>
      <c r="F23" s="13">
        <f>SUMIF($F$5:$F$17,F20,$G$5:$G$17)</f>
        <v>0</v>
      </c>
      <c r="G23" s="13"/>
    </row>
    <row r="24" spans="1:20" ht="20.100000000000001" customHeight="1">
      <c r="A24" s="38" t="s">
        <v>95</v>
      </c>
      <c r="B24" s="13">
        <f>SUM(C24:F24)</f>
        <v>0</v>
      </c>
      <c r="C24" s="13">
        <v>0</v>
      </c>
      <c r="D24" s="13">
        <v>0</v>
      </c>
      <c r="E24" s="13">
        <v>0</v>
      </c>
      <c r="F24" s="13">
        <v>0</v>
      </c>
      <c r="G24" s="13"/>
    </row>
    <row r="25" spans="1:20" ht="20.100000000000001" customHeight="1">
      <c r="A25" s="38" t="s">
        <v>106</v>
      </c>
      <c r="B25" s="13">
        <f>SUM(C25:F25)</f>
        <v>502367</v>
      </c>
      <c r="C25" s="13">
        <f>SUMIF($H$5:$H$17,C20,$I$5:$I$17)</f>
        <v>0</v>
      </c>
      <c r="D25" s="13">
        <f>SUMIF($H$5:$H$17,D20,$I$5:$I$17)</f>
        <v>427812</v>
      </c>
      <c r="E25" s="13">
        <f>SUMIF($H$5:$H$17,E20,$I$5:$I$17)</f>
        <v>74555</v>
      </c>
      <c r="F25" s="13">
        <f>SUMIF($H$5:$H$17,F20,$I$5:$I$17)</f>
        <v>0</v>
      </c>
      <c r="G25" s="13"/>
    </row>
    <row r="26" spans="1:20" ht="20.100000000000001" customHeight="1">
      <c r="A26" s="38" t="s">
        <v>96</v>
      </c>
      <c r="B26" s="13">
        <f>SUM(C26:F26)</f>
        <v>0</v>
      </c>
      <c r="C26" s="13">
        <v>0</v>
      </c>
      <c r="D26" s="13">
        <v>0</v>
      </c>
      <c r="E26" s="13">
        <v>0</v>
      </c>
      <c r="F26" s="13">
        <v>0</v>
      </c>
      <c r="G26" s="13"/>
    </row>
    <row r="27" spans="1:20" ht="20.100000000000001" customHeight="1">
      <c r="A27" s="38"/>
      <c r="B27" s="13"/>
      <c r="C27" s="13"/>
      <c r="D27" s="13"/>
      <c r="E27" s="13"/>
      <c r="F27" s="13"/>
      <c r="G27" s="13"/>
    </row>
    <row r="28" spans="1:20" ht="20.100000000000001" customHeight="1">
      <c r="A28" s="36" t="s">
        <v>125</v>
      </c>
      <c r="B28" s="33">
        <f>SUM(C28:F28)</f>
        <v>47400</v>
      </c>
      <c r="C28" s="42">
        <f>P20*$H$28</f>
        <v>0</v>
      </c>
      <c r="D28" s="42">
        <f>Q20*$H$28</f>
        <v>19800</v>
      </c>
      <c r="E28" s="42">
        <f>R20*$H$28</f>
        <v>27300</v>
      </c>
      <c r="F28" s="42">
        <f>S20*$H$28</f>
        <v>300</v>
      </c>
      <c r="G28" s="37"/>
      <c r="H28" s="87">
        <v>300</v>
      </c>
      <c r="I28" s="88"/>
    </row>
    <row r="30" spans="1:20" ht="20.100000000000001" customHeight="1">
      <c r="G30" s="10" t="s">
        <v>395</v>
      </c>
    </row>
    <row r="31" spans="1:20" ht="20.100000000000001" customHeight="1">
      <c r="A31" s="11" t="s">
        <v>100</v>
      </c>
      <c r="B31" s="11" t="s">
        <v>104</v>
      </c>
      <c r="C31" s="11" t="s">
        <v>115</v>
      </c>
      <c r="D31" s="11" t="s">
        <v>119</v>
      </c>
      <c r="E31" s="11" t="s">
        <v>122</v>
      </c>
      <c r="F31" s="11" t="s">
        <v>124</v>
      </c>
      <c r="G31" s="17" t="s">
        <v>101</v>
      </c>
    </row>
    <row r="32" spans="1:20" ht="20.100000000000001" customHeight="1">
      <c r="A32" s="11" t="s">
        <v>393</v>
      </c>
      <c r="B32" s="30">
        <f>SUM(C32:F32)</f>
        <v>988</v>
      </c>
      <c r="C32" s="30">
        <f t="shared" ref="C32:D37" si="3">ROUND(C21/1000,0)</f>
        <v>0</v>
      </c>
      <c r="D32" s="30">
        <f t="shared" si="3"/>
        <v>807</v>
      </c>
      <c r="E32" s="31">
        <f t="shared" ref="E32:F32" si="4">E33+E39</f>
        <v>180</v>
      </c>
      <c r="F32" s="31">
        <f t="shared" si="4"/>
        <v>1</v>
      </c>
      <c r="G32" s="17"/>
    </row>
    <row r="33" spans="1:9" ht="20.100000000000001" customHeight="1">
      <c r="A33" s="32" t="s">
        <v>394</v>
      </c>
      <c r="B33" s="33">
        <f>SUM(C33:F33)</f>
        <v>940</v>
      </c>
      <c r="C33" s="33">
        <f t="shared" si="3"/>
        <v>0</v>
      </c>
      <c r="D33" s="33">
        <f t="shared" si="3"/>
        <v>787</v>
      </c>
      <c r="E33" s="34">
        <f t="shared" ref="E33:F33" si="5">SUM(E34:E37)</f>
        <v>153</v>
      </c>
      <c r="F33" s="34">
        <f t="shared" si="5"/>
        <v>0</v>
      </c>
      <c r="G33" s="35"/>
    </row>
    <row r="34" spans="1:9" ht="20.100000000000001" customHeight="1">
      <c r="A34" s="11" t="s">
        <v>94</v>
      </c>
      <c r="B34" s="30">
        <f t="shared" ref="B34:B37" si="6">SUM(C34:F34)</f>
        <v>437</v>
      </c>
      <c r="C34" s="30">
        <f t="shared" si="3"/>
        <v>0</v>
      </c>
      <c r="D34" s="30">
        <f t="shared" si="3"/>
        <v>359</v>
      </c>
      <c r="E34" s="30">
        <f t="shared" ref="E34:F34" si="7">ROUND(E23/1000,0)</f>
        <v>78</v>
      </c>
      <c r="F34" s="30">
        <f t="shared" si="7"/>
        <v>0</v>
      </c>
      <c r="G34" s="13"/>
    </row>
    <row r="35" spans="1:9" ht="20.100000000000001" customHeight="1">
      <c r="A35" s="11" t="s">
        <v>95</v>
      </c>
      <c r="B35" s="30">
        <f t="shared" si="6"/>
        <v>0</v>
      </c>
      <c r="C35" s="30">
        <f t="shared" si="3"/>
        <v>0</v>
      </c>
      <c r="D35" s="30">
        <f t="shared" si="3"/>
        <v>0</v>
      </c>
      <c r="E35" s="30">
        <f t="shared" ref="E35:F35" si="8">ROUND(E24/1000,0)</f>
        <v>0</v>
      </c>
      <c r="F35" s="30">
        <f t="shared" si="8"/>
        <v>0</v>
      </c>
      <c r="G35" s="13"/>
    </row>
    <row r="36" spans="1:9" ht="20.100000000000001" customHeight="1">
      <c r="A36" s="11" t="s">
        <v>106</v>
      </c>
      <c r="B36" s="30">
        <f t="shared" si="6"/>
        <v>503</v>
      </c>
      <c r="C36" s="30">
        <f t="shared" si="3"/>
        <v>0</v>
      </c>
      <c r="D36" s="30">
        <f t="shared" si="3"/>
        <v>428</v>
      </c>
      <c r="E36" s="30">
        <f t="shared" ref="E36:F36" si="9">ROUND(E25/1000,0)</f>
        <v>75</v>
      </c>
      <c r="F36" s="30">
        <f t="shared" si="9"/>
        <v>0</v>
      </c>
      <c r="G36" s="13"/>
    </row>
    <row r="37" spans="1:9" ht="20.100000000000001" customHeight="1">
      <c r="A37" s="11" t="s">
        <v>96</v>
      </c>
      <c r="B37" s="30">
        <f t="shared" si="6"/>
        <v>0</v>
      </c>
      <c r="C37" s="30">
        <f t="shared" si="3"/>
        <v>0</v>
      </c>
      <c r="D37" s="30">
        <f t="shared" si="3"/>
        <v>0</v>
      </c>
      <c r="E37" s="30">
        <f t="shared" ref="E37:F37" si="10">ROUND(E26/1000,0)</f>
        <v>0</v>
      </c>
      <c r="F37" s="30">
        <f t="shared" si="10"/>
        <v>0</v>
      </c>
      <c r="G37" s="13"/>
    </row>
    <row r="38" spans="1:9" ht="20.100000000000001" customHeight="1">
      <c r="A38" s="38"/>
      <c r="B38" s="30"/>
      <c r="C38" s="30"/>
      <c r="D38" s="30"/>
      <c r="E38" s="30"/>
      <c r="F38" s="30"/>
      <c r="G38" s="13"/>
    </row>
    <row r="39" spans="1:9" ht="20.100000000000001" customHeight="1">
      <c r="A39" s="36" t="s">
        <v>125</v>
      </c>
      <c r="B39" s="33">
        <f>SUM(C39:F39)</f>
        <v>48</v>
      </c>
      <c r="C39" s="33">
        <f>ROUND(C28/1000,0)</f>
        <v>0</v>
      </c>
      <c r="D39" s="33">
        <f>ROUND(D28/1000,0)</f>
        <v>20</v>
      </c>
      <c r="E39" s="33">
        <f>ROUND(E28/1000,0)</f>
        <v>27</v>
      </c>
      <c r="F39" s="33">
        <f>ROUNDUP(F28/1000,0)</f>
        <v>1</v>
      </c>
      <c r="G39" s="37"/>
      <c r="H39" s="87">
        <v>300</v>
      </c>
      <c r="I39" s="88"/>
    </row>
  </sheetData>
  <mergeCells count="15">
    <mergeCell ref="H39:I39"/>
    <mergeCell ref="H28:I28"/>
    <mergeCell ref="B12:B14"/>
    <mergeCell ref="A10:A17"/>
    <mergeCell ref="B15:B17"/>
    <mergeCell ref="J3:J4"/>
    <mergeCell ref="F3:G3"/>
    <mergeCell ref="H3:I3"/>
    <mergeCell ref="A5:A9"/>
    <mergeCell ref="B3:B4"/>
    <mergeCell ref="B6:B9"/>
    <mergeCell ref="C3:C4"/>
    <mergeCell ref="E3:E4"/>
    <mergeCell ref="A3:A4"/>
    <mergeCell ref="D3:D4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6"/>
  <sheetViews>
    <sheetView workbookViewId="0">
      <selection activeCell="D21" sqref="D21"/>
    </sheetView>
  </sheetViews>
  <sheetFormatPr defaultRowHeight="16.5" outlineLevelCol="1"/>
  <cols>
    <col min="1" max="1" width="9.375" customWidth="1"/>
    <col min="2" max="2" width="9" style="6"/>
    <col min="3" max="3" width="17.5" style="6" customWidth="1"/>
    <col min="4" max="4" width="17.75" customWidth="1"/>
    <col min="6" max="6" width="9" customWidth="1" outlineLevel="1"/>
    <col min="7" max="8" width="11.375" customWidth="1"/>
  </cols>
  <sheetData>
    <row r="1" spans="1:8" ht="27" customHeight="1">
      <c r="A1" s="89" t="s">
        <v>90</v>
      </c>
      <c r="B1" s="89"/>
      <c r="C1" s="89"/>
      <c r="D1" s="89" t="s">
        <v>89</v>
      </c>
      <c r="E1" s="89"/>
      <c r="F1" s="89"/>
      <c r="G1" s="89"/>
      <c r="H1" s="89"/>
    </row>
    <row r="2" spans="1:8" ht="18.75" customHeight="1">
      <c r="A2" s="89"/>
      <c r="B2" s="89"/>
      <c r="C2" s="89"/>
      <c r="D2" s="89" t="s">
        <v>91</v>
      </c>
      <c r="E2" s="89" t="s">
        <v>92</v>
      </c>
      <c r="F2" s="89" t="s">
        <v>88</v>
      </c>
      <c r="G2" s="89" t="s">
        <v>0</v>
      </c>
      <c r="H2" s="89" t="s">
        <v>1</v>
      </c>
    </row>
    <row r="3" spans="1:8">
      <c r="A3" s="89"/>
      <c r="B3" s="89"/>
      <c r="C3" s="89"/>
      <c r="D3" s="89"/>
      <c r="E3" s="89"/>
      <c r="F3" s="89"/>
      <c r="G3" s="89"/>
      <c r="H3" s="89"/>
    </row>
    <row r="4" spans="1:8" ht="20.100000000000001" customHeight="1">
      <c r="A4" s="92" t="s">
        <v>116</v>
      </c>
      <c r="B4" s="2" t="s">
        <v>15</v>
      </c>
      <c r="C4" s="2" t="s">
        <v>17</v>
      </c>
      <c r="D4" s="2" t="s">
        <v>18</v>
      </c>
      <c r="E4" s="4">
        <v>80</v>
      </c>
      <c r="F4" s="2" t="s">
        <v>2</v>
      </c>
      <c r="G4" s="3">
        <v>1987</v>
      </c>
      <c r="H4" s="3">
        <v>1987</v>
      </c>
    </row>
    <row r="5" spans="1:8" ht="20.100000000000001" customHeight="1">
      <c r="A5" s="93"/>
      <c r="B5" s="91" t="s">
        <v>39</v>
      </c>
      <c r="C5" s="2" t="s">
        <v>40</v>
      </c>
      <c r="D5" s="2" t="s">
        <v>40</v>
      </c>
      <c r="E5" s="4">
        <v>100</v>
      </c>
      <c r="F5" s="2" t="s">
        <v>2</v>
      </c>
      <c r="G5" s="5" t="s">
        <v>41</v>
      </c>
      <c r="H5" s="5">
        <v>1972</v>
      </c>
    </row>
    <row r="6" spans="1:8" ht="20.100000000000001" customHeight="1">
      <c r="A6" s="93"/>
      <c r="B6" s="91"/>
      <c r="C6" s="2" t="s">
        <v>42</v>
      </c>
      <c r="D6" s="2" t="s">
        <v>43</v>
      </c>
      <c r="E6" s="4">
        <v>60</v>
      </c>
      <c r="F6" s="2" t="s">
        <v>2</v>
      </c>
      <c r="G6" s="5" t="s">
        <v>44</v>
      </c>
      <c r="H6" s="5">
        <v>1980</v>
      </c>
    </row>
    <row r="7" spans="1:8" ht="20.100000000000001" customHeight="1">
      <c r="A7" s="93"/>
      <c r="B7" s="91"/>
      <c r="C7" s="2" t="s">
        <v>45</v>
      </c>
      <c r="D7" s="2" t="s">
        <v>46</v>
      </c>
      <c r="E7" s="4">
        <v>50</v>
      </c>
      <c r="F7" s="1" t="s">
        <v>47</v>
      </c>
      <c r="G7" s="5">
        <v>1981</v>
      </c>
      <c r="H7" s="5">
        <v>1981</v>
      </c>
    </row>
    <row r="8" spans="1:8" ht="20.100000000000001" customHeight="1">
      <c r="A8" s="94"/>
      <c r="B8" s="91"/>
      <c r="C8" s="2" t="s">
        <v>48</v>
      </c>
      <c r="D8" s="2" t="s">
        <v>113</v>
      </c>
      <c r="E8" s="4">
        <v>60</v>
      </c>
      <c r="F8" s="1" t="s">
        <v>49</v>
      </c>
      <c r="G8" s="5">
        <v>1983</v>
      </c>
      <c r="H8" s="5">
        <v>1983</v>
      </c>
    </row>
    <row r="9" spans="1:8">
      <c r="A9" s="90" t="s">
        <v>117</v>
      </c>
      <c r="B9" s="2" t="s">
        <v>8</v>
      </c>
      <c r="C9" s="2" t="s">
        <v>63</v>
      </c>
      <c r="D9" s="7" t="s">
        <v>64</v>
      </c>
      <c r="E9" s="8">
        <v>20</v>
      </c>
      <c r="F9" s="1" t="s">
        <v>65</v>
      </c>
      <c r="G9" s="9">
        <v>2008</v>
      </c>
      <c r="H9" s="9">
        <v>2008</v>
      </c>
    </row>
    <row r="10" spans="1:8">
      <c r="A10" s="90"/>
      <c r="B10" s="2" t="s">
        <v>34</v>
      </c>
      <c r="C10" s="2" t="s">
        <v>69</v>
      </c>
      <c r="D10" s="7" t="s">
        <v>70</v>
      </c>
      <c r="E10" s="8">
        <v>30</v>
      </c>
      <c r="F10" s="2" t="s">
        <v>65</v>
      </c>
      <c r="G10" s="9">
        <v>2006</v>
      </c>
      <c r="H10" s="9">
        <v>2006</v>
      </c>
    </row>
    <row r="11" spans="1:8">
      <c r="A11" s="90"/>
      <c r="B11" s="91" t="s">
        <v>39</v>
      </c>
      <c r="C11" s="2" t="s">
        <v>72</v>
      </c>
      <c r="D11" s="7" t="s">
        <v>73</v>
      </c>
      <c r="E11" s="8">
        <v>40</v>
      </c>
      <c r="F11" s="2" t="s">
        <v>2</v>
      </c>
      <c r="G11" s="9" t="s">
        <v>74</v>
      </c>
      <c r="H11" s="9" t="s">
        <v>74</v>
      </c>
    </row>
    <row r="12" spans="1:8">
      <c r="A12" s="90"/>
      <c r="B12" s="91"/>
      <c r="C12" s="2" t="s">
        <v>75</v>
      </c>
      <c r="D12" s="7" t="s">
        <v>76</v>
      </c>
      <c r="E12" s="8">
        <v>10</v>
      </c>
      <c r="F12" s="1" t="s">
        <v>65</v>
      </c>
      <c r="G12" s="9" t="s">
        <v>77</v>
      </c>
      <c r="H12" s="9" t="s">
        <v>77</v>
      </c>
    </row>
    <row r="13" spans="1:8">
      <c r="A13" s="90"/>
      <c r="B13" s="91"/>
      <c r="C13" s="2" t="s">
        <v>78</v>
      </c>
      <c r="D13" s="7" t="s">
        <v>79</v>
      </c>
      <c r="E13" s="8">
        <v>20</v>
      </c>
      <c r="F13" s="2" t="s">
        <v>65</v>
      </c>
      <c r="G13" s="9" t="s">
        <v>80</v>
      </c>
      <c r="H13" s="9" t="s">
        <v>80</v>
      </c>
    </row>
    <row r="14" spans="1:8">
      <c r="A14" s="90"/>
      <c r="B14" s="91" t="s">
        <v>60</v>
      </c>
      <c r="C14" s="2" t="s">
        <v>81</v>
      </c>
      <c r="D14" s="7" t="s">
        <v>82</v>
      </c>
      <c r="E14" s="8">
        <v>20</v>
      </c>
      <c r="F14" s="2" t="s">
        <v>2</v>
      </c>
      <c r="G14" s="9" t="s">
        <v>83</v>
      </c>
      <c r="H14" s="9">
        <v>2001</v>
      </c>
    </row>
    <row r="15" spans="1:8">
      <c r="A15" s="90"/>
      <c r="B15" s="91"/>
      <c r="C15" s="2" t="s">
        <v>84</v>
      </c>
      <c r="D15" s="7" t="s">
        <v>85</v>
      </c>
      <c r="E15" s="8">
        <v>20</v>
      </c>
      <c r="F15" s="2" t="s">
        <v>2</v>
      </c>
      <c r="G15" s="9" t="s">
        <v>80</v>
      </c>
      <c r="H15" s="9" t="s">
        <v>80</v>
      </c>
    </row>
    <row r="16" spans="1:8">
      <c r="A16" s="90"/>
      <c r="B16" s="91"/>
      <c r="C16" s="2" t="s">
        <v>86</v>
      </c>
      <c r="D16" s="7" t="s">
        <v>87</v>
      </c>
      <c r="E16" s="8">
        <v>40</v>
      </c>
      <c r="F16" s="2" t="s">
        <v>2</v>
      </c>
      <c r="G16" s="9" t="s">
        <v>80</v>
      </c>
      <c r="H16" s="9">
        <v>2006</v>
      </c>
    </row>
  </sheetData>
  <mergeCells count="12">
    <mergeCell ref="D1:H1"/>
    <mergeCell ref="D2:D3"/>
    <mergeCell ref="A9:A16"/>
    <mergeCell ref="A1:C3"/>
    <mergeCell ref="B5:B8"/>
    <mergeCell ref="B11:B13"/>
    <mergeCell ref="B14:B16"/>
    <mergeCell ref="F2:F3"/>
    <mergeCell ref="E2:E3"/>
    <mergeCell ref="G2:G3"/>
    <mergeCell ref="H2:H3"/>
    <mergeCell ref="A4:A8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5"/>
  <sheetViews>
    <sheetView view="pageBreakPreview" zoomScale="115" zoomScaleSheetLayoutView="115" workbookViewId="0">
      <selection activeCell="K12" sqref="K12"/>
    </sheetView>
  </sheetViews>
  <sheetFormatPr defaultRowHeight="20.100000000000001" customHeight="1"/>
  <cols>
    <col min="1" max="2" width="9.625" style="44" customWidth="1"/>
    <col min="3" max="8" width="10.125" style="44" customWidth="1"/>
    <col min="9" max="16384" width="9" style="44"/>
  </cols>
  <sheetData>
    <row r="1" spans="1:8" ht="27" customHeight="1">
      <c r="A1" s="99" t="s">
        <v>476</v>
      </c>
      <c r="B1" s="99"/>
      <c r="C1" s="99"/>
      <c r="D1" s="99"/>
      <c r="E1" s="99"/>
      <c r="F1" s="99"/>
      <c r="G1" s="99"/>
      <c r="H1" s="99"/>
    </row>
    <row r="2" spans="1:8" ht="20.100000000000001" customHeight="1">
      <c r="A2" s="95" t="s">
        <v>100</v>
      </c>
      <c r="B2" s="95"/>
      <c r="C2" s="49" t="s">
        <v>475</v>
      </c>
      <c r="D2" s="49">
        <v>2015</v>
      </c>
      <c r="E2" s="49">
        <v>2020</v>
      </c>
      <c r="F2" s="49">
        <v>2025</v>
      </c>
      <c r="G2" s="49">
        <v>2030</v>
      </c>
      <c r="H2" s="49" t="s">
        <v>101</v>
      </c>
    </row>
    <row r="3" spans="1:8" ht="20.100000000000001" customHeight="1">
      <c r="A3" s="95" t="s">
        <v>104</v>
      </c>
      <c r="B3" s="95"/>
      <c r="C3" s="81">
        <f>C5+C12+C15+C4</f>
        <v>8190</v>
      </c>
      <c r="D3" s="81">
        <f t="shared" ref="D3:G3" si="0">D5+D12+D15+D4</f>
        <v>3953</v>
      </c>
      <c r="E3" s="81">
        <f t="shared" si="0"/>
        <v>4008</v>
      </c>
      <c r="F3" s="81">
        <f t="shared" si="0"/>
        <v>128</v>
      </c>
      <c r="G3" s="81">
        <f t="shared" si="0"/>
        <v>101</v>
      </c>
      <c r="H3" s="81"/>
    </row>
    <row r="4" spans="1:8" ht="20.100000000000001" customHeight="1">
      <c r="A4" s="100" t="s">
        <v>478</v>
      </c>
      <c r="B4" s="101"/>
      <c r="C4" s="81">
        <f>SUM(D4:G4)</f>
        <v>320</v>
      </c>
      <c r="D4" s="81">
        <v>20</v>
      </c>
      <c r="E4" s="81">
        <v>100</v>
      </c>
      <c r="F4" s="81">
        <v>100</v>
      </c>
      <c r="G4" s="81">
        <v>100</v>
      </c>
      <c r="H4" s="81"/>
    </row>
    <row r="5" spans="1:8" ht="20.100000000000001" customHeight="1">
      <c r="A5" s="96" t="s">
        <v>471</v>
      </c>
      <c r="B5" s="49" t="s">
        <v>394</v>
      </c>
      <c r="C5" s="81">
        <f>SUM(C6:C11)</f>
        <v>3362</v>
      </c>
      <c r="D5" s="81">
        <f>SUM(D6:D11)</f>
        <v>3362</v>
      </c>
      <c r="E5" s="81">
        <f>SUM(E6:E11)</f>
        <v>0</v>
      </c>
      <c r="F5" s="81">
        <f>SUM(F6:F11)</f>
        <v>0</v>
      </c>
      <c r="G5" s="81">
        <f>SUM(G6:G11)</f>
        <v>0</v>
      </c>
      <c r="H5" s="81"/>
    </row>
    <row r="6" spans="1:8" ht="20.100000000000001" customHeight="1">
      <c r="A6" s="97"/>
      <c r="B6" s="49" t="s">
        <v>94</v>
      </c>
      <c r="C6" s="81">
        <f>SUM(D6:G6)</f>
        <v>359</v>
      </c>
      <c r="D6" s="81">
        <f>SUMIF(개량사업비산출!$T$7:$T$164,1,개량사업비산출!$AD$7:$AD$164)</f>
        <v>359</v>
      </c>
      <c r="E6" s="81">
        <f>SUMIF(개량사업비산출!$T$7:$T$164,2,개량사업비산출!$AD$7:$AD$164)</f>
        <v>0</v>
      </c>
      <c r="F6" s="81"/>
      <c r="G6" s="81"/>
      <c r="H6" s="81"/>
    </row>
    <row r="7" spans="1:8" ht="20.100000000000001" customHeight="1">
      <c r="A7" s="97"/>
      <c r="B7" s="49" t="s">
        <v>444</v>
      </c>
      <c r="C7" s="81">
        <f t="shared" ref="C7:C11" si="1">SUM(D7:G7)</f>
        <v>0</v>
      </c>
      <c r="D7" s="81">
        <f>SUMIF(개량사업비산출!$U$7:$U$164,1,개량사업비산출!$AE$7:$AE$164)</f>
        <v>0</v>
      </c>
      <c r="E7" s="81">
        <f>SUMIF(개량사업비산출!$U$7:$U$164,2,개량사업비산출!$AE$7:$AE$164)</f>
        <v>0</v>
      </c>
      <c r="F7" s="81"/>
      <c r="G7" s="81"/>
      <c r="H7" s="81"/>
    </row>
    <row r="8" spans="1:8" ht="20.100000000000001" customHeight="1">
      <c r="A8" s="97"/>
      <c r="B8" s="49" t="s">
        <v>106</v>
      </c>
      <c r="C8" s="81">
        <f t="shared" si="1"/>
        <v>215</v>
      </c>
      <c r="D8" s="81">
        <f>SUMIF(개량사업비산출!$V$7:$V$164,1,개량사업비산출!$AF$7:$AF$164)</f>
        <v>215</v>
      </c>
      <c r="E8" s="81">
        <f>SUMIF(개량사업비산출!$V$7:$V$164,2,개량사업비산출!$AF$7:$AF$164)</f>
        <v>0</v>
      </c>
      <c r="F8" s="81"/>
      <c r="G8" s="81"/>
      <c r="H8" s="81"/>
    </row>
    <row r="9" spans="1:8" ht="20.100000000000001" customHeight="1">
      <c r="A9" s="97"/>
      <c r="B9" s="49" t="s">
        <v>402</v>
      </c>
      <c r="C9" s="81">
        <f t="shared" si="1"/>
        <v>148</v>
      </c>
      <c r="D9" s="81">
        <f>SUMIF(개량사업비산출!$W$7:$W$164,1,개량사업비산출!$AG$7:$AG$164)</f>
        <v>148</v>
      </c>
      <c r="E9" s="81">
        <f>SUMIF(개량사업비산출!$W$7:$W$164,2,개량사업비산출!$AG$7:$AG$164)</f>
        <v>0</v>
      </c>
      <c r="F9" s="81"/>
      <c r="G9" s="81"/>
      <c r="H9" s="81"/>
    </row>
    <row r="10" spans="1:8" ht="20.100000000000001" customHeight="1">
      <c r="A10" s="97"/>
      <c r="B10" s="49" t="s">
        <v>439</v>
      </c>
      <c r="C10" s="81">
        <f t="shared" si="1"/>
        <v>2510</v>
      </c>
      <c r="D10" s="81">
        <f>SUMIF(개량사업비산출!$X$7:$X$164,1,개량사업비산출!$AH$7:$AH$164)</f>
        <v>2510</v>
      </c>
      <c r="E10" s="81">
        <f>SUMIF(개량사업비산출!$X$7:$X$164,2,개량사업비산출!$AH$7:$AH$164)</f>
        <v>0</v>
      </c>
      <c r="F10" s="81"/>
      <c r="G10" s="81"/>
      <c r="H10" s="81"/>
    </row>
    <row r="11" spans="1:8" ht="20.100000000000001" customHeight="1">
      <c r="A11" s="98"/>
      <c r="B11" s="49" t="s">
        <v>468</v>
      </c>
      <c r="C11" s="81">
        <f t="shared" si="1"/>
        <v>130</v>
      </c>
      <c r="D11" s="81">
        <f>SUMIF(개량사업비산출!$X$7:$X$164,1,개량사업비산출!$AI$7:$AI$164)</f>
        <v>130</v>
      </c>
      <c r="E11" s="81">
        <f>SUMIF(개량사업비산출!$X$7:$X$164,2,개량사업비산출!$AI$7:$AI$164)</f>
        <v>0</v>
      </c>
      <c r="F11" s="81"/>
      <c r="G11" s="81"/>
      <c r="H11" s="81"/>
    </row>
    <row r="12" spans="1:8" ht="20.100000000000001" customHeight="1">
      <c r="A12" s="95" t="s">
        <v>445</v>
      </c>
      <c r="B12" s="49" t="s">
        <v>394</v>
      </c>
      <c r="C12" s="81">
        <f>SUM(C13:C14)</f>
        <v>4459</v>
      </c>
      <c r="D12" s="81">
        <f>SUM(D13:D14)</f>
        <v>571</v>
      </c>
      <c r="E12" s="81">
        <f t="shared" ref="E12:G12" si="2">SUM(E13:E14)</f>
        <v>3888</v>
      </c>
      <c r="F12" s="81">
        <f t="shared" si="2"/>
        <v>0</v>
      </c>
      <c r="G12" s="81">
        <f t="shared" si="2"/>
        <v>0</v>
      </c>
      <c r="H12" s="81"/>
    </row>
    <row r="13" spans="1:8" ht="20.100000000000001" customHeight="1">
      <c r="A13" s="95"/>
      <c r="B13" s="49" t="s">
        <v>472</v>
      </c>
      <c r="C13" s="81">
        <f t="shared" ref="C13:C14" si="3">SUM(D13:G13)</f>
        <v>91</v>
      </c>
      <c r="D13" s="81">
        <f>ROUND('개량사업비 산정기준'!F55/1000,0)</f>
        <v>91</v>
      </c>
      <c r="E13" s="81"/>
      <c r="F13" s="81"/>
      <c r="G13" s="81"/>
      <c r="H13" s="81"/>
    </row>
    <row r="14" spans="1:8" ht="20.100000000000001" customHeight="1">
      <c r="A14" s="95"/>
      <c r="B14" s="49" t="s">
        <v>473</v>
      </c>
      <c r="C14" s="81">
        <f t="shared" si="3"/>
        <v>4368</v>
      </c>
      <c r="D14" s="81">
        <f>SUMIF(개량사업비산출!$Y$7:$Y$164,1,개량사업비산출!$AJ$7:$AJ$164)</f>
        <v>480</v>
      </c>
      <c r="E14" s="81">
        <f>SUMIF(개량사업비산출!$Y$7:$Y$164,2,개량사업비산출!$AJ$7:$AJ$164)</f>
        <v>3888</v>
      </c>
      <c r="F14" s="81"/>
      <c r="G14" s="81"/>
      <c r="H14" s="81"/>
    </row>
    <row r="15" spans="1:8" ht="20.100000000000001" customHeight="1">
      <c r="A15" s="95" t="s">
        <v>474</v>
      </c>
      <c r="B15" s="95"/>
      <c r="C15" s="81">
        <f>SUM(D15:G15)</f>
        <v>49</v>
      </c>
      <c r="D15" s="81"/>
      <c r="E15" s="81">
        <f>ROUNDUP(사업비!Q20*$H$15,0)</f>
        <v>20</v>
      </c>
      <c r="F15" s="81">
        <f>ROUNDUP(사업비!R20*$H$15,0)</f>
        <v>28</v>
      </c>
      <c r="G15" s="81">
        <f>ROUNDUP(사업비!S20*$H$15,0)</f>
        <v>1</v>
      </c>
      <c r="H15" s="82">
        <v>0.3</v>
      </c>
    </row>
  </sheetData>
  <mergeCells count="7">
    <mergeCell ref="A15:B15"/>
    <mergeCell ref="A3:B3"/>
    <mergeCell ref="A2:B2"/>
    <mergeCell ref="A5:A11"/>
    <mergeCell ref="A1:H1"/>
    <mergeCell ref="A4:B4"/>
    <mergeCell ref="A12:A14"/>
  </mergeCells>
  <phoneticPr fontId="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73"/>
  <sheetViews>
    <sheetView view="pageBreakPreview" topLeftCell="A41" zoomScaleSheetLayoutView="100" workbookViewId="0">
      <selection activeCell="O22" sqref="O22"/>
    </sheetView>
  </sheetViews>
  <sheetFormatPr defaultRowHeight="20.100000000000001" customHeight="1"/>
  <cols>
    <col min="1" max="1" width="8.625" style="43" customWidth="1"/>
    <col min="2" max="9" width="9.625" style="43" customWidth="1"/>
    <col min="10" max="34" width="8.625" style="43" customWidth="1"/>
    <col min="35" max="16384" width="9" style="43"/>
  </cols>
  <sheetData>
    <row r="1" spans="1:10" ht="30" customHeight="1">
      <c r="A1" s="102" t="s">
        <v>407</v>
      </c>
      <c r="B1" s="102"/>
      <c r="C1" s="102"/>
      <c r="D1" s="102"/>
      <c r="E1" s="102"/>
      <c r="F1" s="102"/>
      <c r="G1" s="102"/>
      <c r="H1" s="102"/>
      <c r="I1" s="102"/>
    </row>
    <row r="2" spans="1:10" ht="18.95" customHeight="1">
      <c r="A2" s="45"/>
      <c r="I2" s="46" t="s">
        <v>397</v>
      </c>
    </row>
    <row r="3" spans="1:10" s="47" customFormat="1" ht="18.95" customHeight="1">
      <c r="A3" s="103" t="s">
        <v>98</v>
      </c>
      <c r="B3" s="104" t="s">
        <v>94</v>
      </c>
      <c r="C3" s="103" t="s">
        <v>398</v>
      </c>
      <c r="D3" s="103"/>
      <c r="E3" s="103"/>
      <c r="F3" s="107" t="s">
        <v>403</v>
      </c>
      <c r="G3" s="108"/>
      <c r="H3" s="109"/>
      <c r="I3" s="105" t="s">
        <v>402</v>
      </c>
      <c r="J3" s="110"/>
    </row>
    <row r="4" spans="1:10" s="47" customFormat="1" ht="18.95" customHeight="1">
      <c r="A4" s="103"/>
      <c r="B4" s="104"/>
      <c r="C4" s="54" t="s">
        <v>399</v>
      </c>
      <c r="D4" s="54" t="s">
        <v>400</v>
      </c>
      <c r="E4" s="54" t="s">
        <v>401</v>
      </c>
      <c r="F4" s="54" t="s">
        <v>406</v>
      </c>
      <c r="G4" s="54" t="s">
        <v>404</v>
      </c>
      <c r="H4" s="53" t="s">
        <v>405</v>
      </c>
      <c r="I4" s="106"/>
      <c r="J4" s="110"/>
    </row>
    <row r="5" spans="1:10" s="47" customFormat="1" ht="18.95" customHeight="1">
      <c r="A5" s="49">
        <v>10</v>
      </c>
      <c r="B5" s="48">
        <v>39000</v>
      </c>
      <c r="C5" s="48">
        <v>8140</v>
      </c>
      <c r="D5" s="48">
        <v>28885</v>
      </c>
      <c r="E5" s="48">
        <v>31427</v>
      </c>
      <c r="F5" s="48">
        <f>SUM(G5:H5)</f>
        <v>10687</v>
      </c>
      <c r="G5" s="48">
        <v>6247</v>
      </c>
      <c r="H5" s="48">
        <v>4440</v>
      </c>
      <c r="I5" s="48">
        <v>4500</v>
      </c>
    </row>
    <row r="6" spans="1:10" s="47" customFormat="1" ht="18.95" customHeight="1">
      <c r="A6" s="49">
        <v>20</v>
      </c>
      <c r="B6" s="48">
        <v>39000</v>
      </c>
      <c r="C6" s="48">
        <v>10230</v>
      </c>
      <c r="D6" s="48">
        <v>29835</v>
      </c>
      <c r="E6" s="48">
        <v>33319</v>
      </c>
      <c r="F6" s="48">
        <f t="shared" ref="F6:F23" si="0">SUM(G6:H6)</f>
        <v>13117</v>
      </c>
      <c r="G6" s="48">
        <v>8677</v>
      </c>
      <c r="H6" s="48">
        <v>4440</v>
      </c>
      <c r="I6" s="48">
        <v>4500</v>
      </c>
    </row>
    <row r="7" spans="1:10" s="47" customFormat="1" ht="18.95" customHeight="1">
      <c r="A7" s="49">
        <v>30</v>
      </c>
      <c r="B7" s="48">
        <v>39000</v>
      </c>
      <c r="C7" s="48">
        <v>17050</v>
      </c>
      <c r="D7" s="48">
        <v>30866</v>
      </c>
      <c r="E7" s="48">
        <v>41236</v>
      </c>
      <c r="F7" s="48">
        <f t="shared" si="0"/>
        <v>16930</v>
      </c>
      <c r="G7" s="48">
        <v>11010</v>
      </c>
      <c r="H7" s="48">
        <v>5920</v>
      </c>
      <c r="I7" s="48">
        <v>4500</v>
      </c>
    </row>
    <row r="8" spans="1:10" s="47" customFormat="1" ht="18.95" customHeight="1">
      <c r="A8" s="49">
        <v>40</v>
      </c>
      <c r="B8" s="48">
        <v>39000</v>
      </c>
      <c r="C8" s="48">
        <v>18446</v>
      </c>
      <c r="D8" s="48">
        <v>31746</v>
      </c>
      <c r="E8" s="48">
        <v>42571</v>
      </c>
      <c r="F8" s="48">
        <f t="shared" si="0"/>
        <v>18972</v>
      </c>
      <c r="G8" s="48">
        <v>13052</v>
      </c>
      <c r="H8" s="48">
        <v>5920</v>
      </c>
      <c r="I8" s="48">
        <v>4500</v>
      </c>
    </row>
    <row r="9" spans="1:10" s="47" customFormat="1" ht="18.95" customHeight="1">
      <c r="A9" s="49">
        <v>50</v>
      </c>
      <c r="B9" s="48">
        <v>39000</v>
      </c>
      <c r="C9" s="48">
        <v>23680</v>
      </c>
      <c r="D9" s="48">
        <v>32890</v>
      </c>
      <c r="E9" s="48">
        <v>47487</v>
      </c>
      <c r="F9" s="48">
        <f t="shared" si="0"/>
        <v>22141</v>
      </c>
      <c r="G9" s="48">
        <v>14741</v>
      </c>
      <c r="H9" s="48">
        <v>7400</v>
      </c>
      <c r="I9" s="48">
        <v>4500</v>
      </c>
    </row>
    <row r="10" spans="1:10" s="47" customFormat="1" ht="18.95" customHeight="1">
      <c r="A10" s="49">
        <v>60</v>
      </c>
      <c r="B10" s="48">
        <v>43000</v>
      </c>
      <c r="C10" s="48">
        <v>23723</v>
      </c>
      <c r="D10" s="48">
        <v>33594</v>
      </c>
      <c r="E10" s="48">
        <v>52795</v>
      </c>
      <c r="F10" s="48">
        <f t="shared" si="0"/>
        <v>23437</v>
      </c>
      <c r="G10" s="48">
        <v>16037</v>
      </c>
      <c r="H10" s="48">
        <v>7400</v>
      </c>
      <c r="I10" s="48">
        <v>4500</v>
      </c>
    </row>
    <row r="11" spans="1:10" s="47" customFormat="1" ht="18.95" customHeight="1">
      <c r="A11" s="49">
        <v>70</v>
      </c>
      <c r="B11" s="48">
        <v>43000</v>
      </c>
      <c r="C11" s="48">
        <v>24530</v>
      </c>
      <c r="D11" s="48">
        <v>34386</v>
      </c>
      <c r="E11" s="48">
        <v>55799</v>
      </c>
      <c r="F11" s="48">
        <f t="shared" si="0"/>
        <v>27189</v>
      </c>
      <c r="G11" s="48">
        <v>19789</v>
      </c>
      <c r="H11" s="48">
        <v>7400</v>
      </c>
      <c r="I11" s="48">
        <v>4500</v>
      </c>
    </row>
    <row r="12" spans="1:10" s="47" customFormat="1" ht="18.95" customHeight="1">
      <c r="A12" s="49">
        <v>80</v>
      </c>
      <c r="B12" s="48">
        <v>43000</v>
      </c>
      <c r="C12" s="48">
        <v>28359</v>
      </c>
      <c r="D12" s="48">
        <v>35266</v>
      </c>
      <c r="E12" s="48">
        <v>65340</v>
      </c>
      <c r="F12" s="48">
        <f t="shared" si="0"/>
        <v>28669</v>
      </c>
      <c r="G12" s="48">
        <v>19789</v>
      </c>
      <c r="H12" s="48">
        <v>8880</v>
      </c>
      <c r="I12" s="48">
        <v>4500</v>
      </c>
    </row>
    <row r="13" spans="1:10" s="47" customFormat="1" ht="18.95" customHeight="1">
      <c r="A13" s="49">
        <v>90</v>
      </c>
      <c r="B13" s="48">
        <v>43000</v>
      </c>
      <c r="C13" s="48">
        <v>30509</v>
      </c>
      <c r="D13" s="48">
        <v>36322</v>
      </c>
      <c r="E13" s="48">
        <v>66135</v>
      </c>
      <c r="F13" s="48">
        <f t="shared" si="0"/>
        <v>30531</v>
      </c>
      <c r="G13" s="48">
        <v>21651</v>
      </c>
      <c r="H13" s="48">
        <v>8880</v>
      </c>
      <c r="I13" s="48">
        <v>4500</v>
      </c>
    </row>
    <row r="14" spans="1:10" s="47" customFormat="1" ht="18.95" customHeight="1">
      <c r="A14" s="49">
        <v>100</v>
      </c>
      <c r="B14" s="48">
        <v>43000</v>
      </c>
      <c r="C14" s="48">
        <v>30445</v>
      </c>
      <c r="D14" s="48">
        <v>37554</v>
      </c>
      <c r="E14" s="48">
        <v>68759</v>
      </c>
      <c r="F14" s="48">
        <f t="shared" si="0"/>
        <v>30531</v>
      </c>
      <c r="G14" s="48">
        <v>21651</v>
      </c>
      <c r="H14" s="48">
        <v>8880</v>
      </c>
      <c r="I14" s="48">
        <v>4500</v>
      </c>
    </row>
    <row r="15" spans="1:10" s="47" customFormat="1" ht="18.95" customHeight="1">
      <c r="A15" s="49">
        <v>110</v>
      </c>
      <c r="B15" s="48">
        <f>ROUND(B$14+($B$19-$B$14)*0.2,-3)</f>
        <v>43000</v>
      </c>
      <c r="C15" s="48">
        <f>ROUND(C$14+($B$19-$B$14)*0.2,0)</f>
        <v>30845</v>
      </c>
      <c r="D15" s="48">
        <f>ROUND(D$14+($B$19-$B$14)*0.2,0)</f>
        <v>37954</v>
      </c>
      <c r="E15" s="48">
        <f>ROUND(E$14+($B$19-$B$14)*0.2,0)</f>
        <v>69159</v>
      </c>
      <c r="F15" s="48">
        <f>ROUND(F$14+($B$19-$B$14)*0.2,0)</f>
        <v>30931</v>
      </c>
      <c r="G15" s="48">
        <f>ROUND(G$14+($B$19-$B$14)*0.2,0)</f>
        <v>22051</v>
      </c>
      <c r="H15" s="48">
        <f>ROUND(H$14+($B$19-$B$14)*0.2,-1)</f>
        <v>9280</v>
      </c>
      <c r="I15" s="48">
        <f>ROUND(I$14+($B$19-$B$14)*0.2,-1)</f>
        <v>4900</v>
      </c>
    </row>
    <row r="16" spans="1:10" s="47" customFormat="1" ht="18.95" customHeight="1">
      <c r="A16" s="49">
        <v>120</v>
      </c>
      <c r="B16" s="48">
        <f>ROUND(B$14+(B$19-B$14)*0.4,-3)</f>
        <v>44000</v>
      </c>
      <c r="C16" s="48">
        <f>ROUND(C$14+(C$19-C$14)*0.4,0)</f>
        <v>35651</v>
      </c>
      <c r="D16" s="48">
        <f>ROUND(D$14+(D$19-D$14)*0.4,0)</f>
        <v>39486</v>
      </c>
      <c r="E16" s="48">
        <f>ROUND(E$14+(E$19-E$14)*0.4,0)</f>
        <v>79272</v>
      </c>
      <c r="F16" s="48">
        <f>ROUND(F$14+(F$19-F$14)*0.4,0)</f>
        <v>33772</v>
      </c>
      <c r="G16" s="48">
        <f>ROUND(G$14+(G$19-G$14)*0.4,0)</f>
        <v>24004</v>
      </c>
      <c r="H16" s="48">
        <f>ROUND(H$14+(H$19-H$14)*0.4,-1)</f>
        <v>9770</v>
      </c>
      <c r="I16" s="48">
        <f>ROUND(I$14+(I$19-I$14)*0.4,-1)</f>
        <v>4500</v>
      </c>
    </row>
    <row r="17" spans="1:9" s="47" customFormat="1" ht="18.95" customHeight="1">
      <c r="A17" s="49">
        <v>130</v>
      </c>
      <c r="B17" s="48">
        <f>ROUND(B$14+(B$19-B$14)*0.6,-3)</f>
        <v>44000</v>
      </c>
      <c r="C17" s="48">
        <f>ROUND(C$14+(C$19-C$14)*0.6,0)</f>
        <v>38255</v>
      </c>
      <c r="D17" s="48">
        <f>ROUND(D$14+(D$19-D$14)*0.6,0)</f>
        <v>40451</v>
      </c>
      <c r="E17" s="48">
        <f>ROUND(E$14+(E$19-E$14)*0.6,0)</f>
        <v>84528</v>
      </c>
      <c r="F17" s="48">
        <f>ROUND(F$14+(F$19-F$14)*0.6,0)</f>
        <v>35392</v>
      </c>
      <c r="G17" s="48">
        <f>ROUND(G$14+(G$19-G$14)*0.6,0)</f>
        <v>25180</v>
      </c>
      <c r="H17" s="48">
        <f>ROUND(H$14+(H$19-H$14)*0.6,-1)</f>
        <v>10210</v>
      </c>
      <c r="I17" s="48">
        <f>ROUND(I$14+(I$19-I$14)*0.6,-1)</f>
        <v>4500</v>
      </c>
    </row>
    <row r="18" spans="1:9" s="47" customFormat="1" ht="18.95" customHeight="1">
      <c r="A18" s="49">
        <v>140</v>
      </c>
      <c r="B18" s="48">
        <f>ROUND(B$14+(B$19-B$14)*0.8,-3)</f>
        <v>45000</v>
      </c>
      <c r="C18" s="48">
        <f>ROUND(C$14+(C$19-C$14)*0.8,0)</f>
        <v>40858</v>
      </c>
      <c r="D18" s="48">
        <f>ROUND(D$14+(D$19-D$14)*0.8,0)</f>
        <v>41417</v>
      </c>
      <c r="E18" s="48">
        <f>ROUND(E$14+(E$19-E$14)*0.8,0)</f>
        <v>89785</v>
      </c>
      <c r="F18" s="48">
        <f>ROUND(F$14+(F$19-F$14)*0.8,0)</f>
        <v>37013</v>
      </c>
      <c r="G18" s="48">
        <f>ROUND(G$14+(G$19-G$14)*0.8,0)</f>
        <v>26357</v>
      </c>
      <c r="H18" s="48">
        <f>ROUND(H$14+(H$19-H$14)*0.8,-1)</f>
        <v>10660</v>
      </c>
      <c r="I18" s="48">
        <f>ROUND(I$14+(I$19-I$14)*0.8,-1)</f>
        <v>4500</v>
      </c>
    </row>
    <row r="19" spans="1:9" s="47" customFormat="1" ht="18.95" customHeight="1">
      <c r="A19" s="49">
        <v>150</v>
      </c>
      <c r="B19" s="48">
        <v>45000</v>
      </c>
      <c r="C19" s="48">
        <v>43461</v>
      </c>
      <c r="D19" s="48">
        <v>42383</v>
      </c>
      <c r="E19" s="48">
        <v>95041</v>
      </c>
      <c r="F19" s="48">
        <f t="shared" si="0"/>
        <v>38633</v>
      </c>
      <c r="G19" s="48">
        <v>27533</v>
      </c>
      <c r="H19" s="48">
        <v>11100</v>
      </c>
      <c r="I19" s="48">
        <v>4500</v>
      </c>
    </row>
    <row r="20" spans="1:9" s="47" customFormat="1" ht="18.95" customHeight="1">
      <c r="A20" s="49">
        <v>200</v>
      </c>
      <c r="B20" s="48">
        <v>46000</v>
      </c>
      <c r="C20" s="48">
        <v>50073</v>
      </c>
      <c r="D20" s="48">
        <v>46959</v>
      </c>
      <c r="E20" s="48">
        <v>113677</v>
      </c>
      <c r="F20" s="48">
        <f t="shared" si="0"/>
        <v>55812</v>
      </c>
      <c r="G20" s="48">
        <v>42492</v>
      </c>
      <c r="H20" s="48">
        <v>13320</v>
      </c>
      <c r="I20" s="48">
        <v>8000</v>
      </c>
    </row>
    <row r="21" spans="1:9" s="47" customFormat="1" ht="18.95" customHeight="1">
      <c r="A21" s="49">
        <v>300</v>
      </c>
      <c r="B21" s="48">
        <v>47000</v>
      </c>
      <c r="C21" s="48">
        <v>64398</v>
      </c>
      <c r="D21" s="48">
        <v>56628</v>
      </c>
      <c r="E21" s="48">
        <v>159516</v>
      </c>
      <c r="F21" s="48">
        <f t="shared" si="0"/>
        <v>73922</v>
      </c>
      <c r="G21" s="48">
        <v>59122</v>
      </c>
      <c r="H21" s="48">
        <v>14800</v>
      </c>
      <c r="I21" s="48">
        <v>12000</v>
      </c>
    </row>
    <row r="22" spans="1:9" s="47" customFormat="1" ht="18.95" customHeight="1">
      <c r="A22" s="49">
        <v>400</v>
      </c>
      <c r="B22" s="48">
        <v>50000</v>
      </c>
      <c r="C22" s="48">
        <v>76983</v>
      </c>
      <c r="D22" s="48">
        <v>65769</v>
      </c>
      <c r="E22" s="48">
        <v>203983</v>
      </c>
      <c r="F22" s="48">
        <f t="shared" si="0"/>
        <v>95613</v>
      </c>
      <c r="G22" s="48">
        <v>77853</v>
      </c>
      <c r="H22" s="48">
        <v>17760</v>
      </c>
      <c r="I22" s="48">
        <v>16000</v>
      </c>
    </row>
    <row r="23" spans="1:9" s="47" customFormat="1" ht="18.95" customHeight="1">
      <c r="A23" s="49">
        <v>500</v>
      </c>
      <c r="B23" s="48">
        <v>57000</v>
      </c>
      <c r="C23" s="48">
        <v>88416</v>
      </c>
      <c r="D23" s="48">
        <v>75433</v>
      </c>
      <c r="E23" s="48">
        <v>248450</v>
      </c>
      <c r="F23" s="48">
        <f t="shared" si="0"/>
        <v>111452</v>
      </c>
      <c r="G23" s="48">
        <v>92212</v>
      </c>
      <c r="H23" s="48">
        <v>19240</v>
      </c>
      <c r="I23" s="48">
        <v>20000</v>
      </c>
    </row>
    <row r="24" spans="1:9" s="47" customFormat="1" ht="18.95" customHeight="1">
      <c r="A24" s="50"/>
      <c r="B24" s="51"/>
      <c r="C24" s="51"/>
      <c r="D24" s="51"/>
      <c r="E24" s="51"/>
      <c r="F24" s="51"/>
      <c r="G24" s="51"/>
      <c r="H24" s="51"/>
      <c r="I24" s="51"/>
    </row>
    <row r="25" spans="1:9" ht="18.95" customHeight="1">
      <c r="A25" s="102" t="s">
        <v>408</v>
      </c>
      <c r="B25" s="102"/>
      <c r="C25" s="102"/>
      <c r="D25" s="102"/>
      <c r="E25" s="102"/>
      <c r="F25" s="102"/>
      <c r="G25" s="102"/>
      <c r="H25" s="102"/>
      <c r="I25" s="102"/>
    </row>
    <row r="26" spans="1:9" ht="18.95" customHeight="1">
      <c r="A26" s="45"/>
      <c r="I26" s="46" t="s">
        <v>397</v>
      </c>
    </row>
    <row r="27" spans="1:9" s="47" customFormat="1" ht="18.95" customHeight="1">
      <c r="A27" s="103" t="s">
        <v>409</v>
      </c>
      <c r="B27" s="105" t="s">
        <v>410</v>
      </c>
      <c r="C27" s="111" t="s">
        <v>411</v>
      </c>
      <c r="D27" s="113" t="s">
        <v>413</v>
      </c>
      <c r="E27" s="114"/>
      <c r="F27" s="114"/>
      <c r="G27" s="114"/>
      <c r="H27" s="114"/>
      <c r="I27" s="115"/>
    </row>
    <row r="28" spans="1:9" s="47" customFormat="1" ht="18.95" customHeight="1">
      <c r="A28" s="103"/>
      <c r="B28" s="106"/>
      <c r="C28" s="112"/>
      <c r="D28" s="116"/>
      <c r="E28" s="117"/>
      <c r="F28" s="117"/>
      <c r="G28" s="117"/>
      <c r="H28" s="117"/>
      <c r="I28" s="118"/>
    </row>
    <row r="29" spans="1:9" s="47" customFormat="1" ht="18.95" customHeight="1">
      <c r="A29" s="49">
        <v>16</v>
      </c>
      <c r="B29" s="48">
        <v>44614</v>
      </c>
      <c r="C29" s="48">
        <v>175380</v>
      </c>
      <c r="D29" s="119" t="s">
        <v>414</v>
      </c>
      <c r="E29" s="120"/>
      <c r="F29" s="120"/>
      <c r="G29" s="120"/>
      <c r="H29" s="120"/>
      <c r="I29" s="121"/>
    </row>
    <row r="30" spans="1:9" s="47" customFormat="1" ht="18.95" customHeight="1">
      <c r="A30" s="49">
        <v>20</v>
      </c>
      <c r="B30" s="48">
        <v>45361</v>
      </c>
      <c r="C30" s="48">
        <v>176832</v>
      </c>
      <c r="D30" s="122"/>
      <c r="E30" s="123"/>
      <c r="F30" s="123"/>
      <c r="G30" s="123"/>
      <c r="H30" s="123"/>
      <c r="I30" s="124"/>
    </row>
    <row r="31" spans="1:9" s="47" customFormat="1" ht="18.95" customHeight="1">
      <c r="A31" s="49">
        <v>25</v>
      </c>
      <c r="B31" s="48">
        <v>46702</v>
      </c>
      <c r="C31" s="48">
        <v>179053</v>
      </c>
      <c r="D31" s="122"/>
      <c r="E31" s="123"/>
      <c r="F31" s="123"/>
      <c r="G31" s="123"/>
      <c r="H31" s="123"/>
      <c r="I31" s="124"/>
    </row>
    <row r="32" spans="1:9" s="47" customFormat="1" ht="18.95" customHeight="1">
      <c r="A32" s="49">
        <v>32</v>
      </c>
      <c r="B32" s="48">
        <v>47494</v>
      </c>
      <c r="C32" s="48">
        <v>225620</v>
      </c>
      <c r="D32" s="122"/>
      <c r="E32" s="123"/>
      <c r="F32" s="123"/>
      <c r="G32" s="123"/>
      <c r="H32" s="123"/>
      <c r="I32" s="124"/>
    </row>
    <row r="33" spans="1:9" s="47" customFormat="1" ht="18.95" customHeight="1">
      <c r="A33" s="49">
        <v>40</v>
      </c>
      <c r="B33" s="48">
        <v>48884</v>
      </c>
      <c r="C33" s="48">
        <v>227890</v>
      </c>
      <c r="D33" s="122"/>
      <c r="E33" s="123"/>
      <c r="F33" s="123"/>
      <c r="G33" s="123"/>
      <c r="H33" s="123"/>
      <c r="I33" s="124"/>
    </row>
    <row r="34" spans="1:9" s="47" customFormat="1" ht="18.95" customHeight="1">
      <c r="A34" s="49">
        <v>50</v>
      </c>
      <c r="B34" s="48">
        <v>52646</v>
      </c>
      <c r="C34" s="48">
        <v>233413</v>
      </c>
      <c r="D34" s="122"/>
      <c r="E34" s="123"/>
      <c r="F34" s="123"/>
      <c r="G34" s="123"/>
      <c r="H34" s="123"/>
      <c r="I34" s="124"/>
    </row>
    <row r="35" spans="1:9" s="47" customFormat="1" ht="18.95" customHeight="1">
      <c r="A35" s="49">
        <v>75</v>
      </c>
      <c r="B35" s="48">
        <v>61851</v>
      </c>
      <c r="C35" s="48">
        <v>247019</v>
      </c>
      <c r="D35" s="122"/>
      <c r="E35" s="123"/>
      <c r="F35" s="123"/>
      <c r="G35" s="123"/>
      <c r="H35" s="123"/>
      <c r="I35" s="124"/>
    </row>
    <row r="36" spans="1:9" s="47" customFormat="1" ht="18.95" customHeight="1">
      <c r="A36" s="49">
        <v>100</v>
      </c>
      <c r="B36" s="48">
        <v>70783</v>
      </c>
      <c r="C36" s="48">
        <v>260352</v>
      </c>
      <c r="D36" s="122"/>
      <c r="E36" s="123"/>
      <c r="F36" s="123"/>
      <c r="G36" s="123"/>
      <c r="H36" s="123"/>
      <c r="I36" s="124"/>
    </row>
    <row r="37" spans="1:9" s="47" customFormat="1" ht="18.95" customHeight="1">
      <c r="A37" s="49">
        <v>150</v>
      </c>
      <c r="B37" s="48">
        <v>94705</v>
      </c>
      <c r="C37" s="48">
        <v>293077</v>
      </c>
      <c r="D37" s="122"/>
      <c r="E37" s="123"/>
      <c r="F37" s="123"/>
      <c r="G37" s="123"/>
      <c r="H37" s="123"/>
      <c r="I37" s="124"/>
    </row>
    <row r="38" spans="1:9" s="47" customFormat="1" ht="18.95" customHeight="1">
      <c r="A38" s="49">
        <v>200</v>
      </c>
      <c r="B38" s="48">
        <v>115225</v>
      </c>
      <c r="C38" s="48">
        <v>322400</v>
      </c>
      <c r="D38" s="125"/>
      <c r="E38" s="126"/>
      <c r="F38" s="126"/>
      <c r="G38" s="126"/>
      <c r="H38" s="126"/>
      <c r="I38" s="127"/>
    </row>
    <row r="39" spans="1:9" s="47" customFormat="1" ht="18.95" customHeight="1">
      <c r="A39" s="50"/>
      <c r="B39" s="51"/>
      <c r="C39" s="51"/>
      <c r="D39" s="51"/>
      <c r="E39" s="51"/>
      <c r="F39" s="51"/>
      <c r="G39" s="51"/>
      <c r="H39" s="51"/>
      <c r="I39" s="51"/>
    </row>
    <row r="40" spans="1:9" ht="30" customHeight="1">
      <c r="A40" s="102" t="s">
        <v>415</v>
      </c>
      <c r="B40" s="102"/>
      <c r="C40" s="102"/>
      <c r="D40" s="102"/>
      <c r="E40" s="102"/>
      <c r="F40" s="102"/>
      <c r="G40" s="102"/>
      <c r="H40" s="102"/>
      <c r="I40" s="102"/>
    </row>
    <row r="41" spans="1:9" s="47" customFormat="1" ht="20.100000000000001" customHeight="1"/>
    <row r="42" spans="1:9" s="47" customFormat="1" ht="20.100000000000001" customHeight="1">
      <c r="A42" s="104" t="s">
        <v>416</v>
      </c>
      <c r="B42" s="104" t="s">
        <v>417</v>
      </c>
      <c r="C42" s="104"/>
      <c r="D42" s="104"/>
      <c r="E42" s="104"/>
      <c r="F42" s="104"/>
      <c r="G42" s="104" t="s">
        <v>412</v>
      </c>
      <c r="H42" s="104"/>
      <c r="I42" s="104"/>
    </row>
    <row r="43" spans="1:9" s="47" customFormat="1" ht="20.100000000000001" customHeight="1">
      <c r="A43" s="104"/>
      <c r="B43" s="104" t="s">
        <v>418</v>
      </c>
      <c r="C43" s="104" t="s">
        <v>419</v>
      </c>
      <c r="D43" s="104"/>
      <c r="E43" s="104" t="s">
        <v>420</v>
      </c>
      <c r="F43" s="104"/>
      <c r="G43" s="104"/>
      <c r="H43" s="104"/>
      <c r="I43" s="104"/>
    </row>
    <row r="44" spans="1:9" s="47" customFormat="1" ht="20.100000000000001" customHeight="1">
      <c r="A44" s="104"/>
      <c r="B44" s="104"/>
      <c r="C44" s="53" t="s">
        <v>422</v>
      </c>
      <c r="D44" s="53" t="s">
        <v>421</v>
      </c>
      <c r="E44" s="53" t="s">
        <v>422</v>
      </c>
      <c r="F44" s="53" t="s">
        <v>421</v>
      </c>
      <c r="G44" s="104"/>
      <c r="H44" s="104"/>
      <c r="I44" s="104"/>
    </row>
    <row r="45" spans="1:9" s="47" customFormat="1" ht="20.100000000000001" customHeight="1">
      <c r="A45" s="49">
        <v>25</v>
      </c>
      <c r="B45" s="48">
        <v>9300</v>
      </c>
      <c r="C45" s="48">
        <v>11100</v>
      </c>
      <c r="D45" s="48">
        <f>ROUND(C45/2,0)</f>
        <v>5550</v>
      </c>
      <c r="E45" s="48">
        <v>12800</v>
      </c>
      <c r="F45" s="48">
        <f>ROUND(E45/3,0)</f>
        <v>4267</v>
      </c>
      <c r="G45" s="100"/>
      <c r="H45" s="128"/>
      <c r="I45" s="101"/>
    </row>
    <row r="46" spans="1:9" ht="20.100000000000001" customHeight="1">
      <c r="A46" s="49">
        <v>50</v>
      </c>
      <c r="B46" s="48">
        <v>9400</v>
      </c>
      <c r="C46" s="48">
        <v>11200</v>
      </c>
      <c r="D46" s="48">
        <f t="shared" ref="D46:D51" si="1">ROUND(C46/2,0)</f>
        <v>5600</v>
      </c>
      <c r="E46" s="48">
        <v>12900</v>
      </c>
      <c r="F46" s="48">
        <f t="shared" ref="F46:F51" si="2">ROUND(E46/3,0)</f>
        <v>4300</v>
      </c>
      <c r="G46" s="100"/>
      <c r="H46" s="128"/>
      <c r="I46" s="101"/>
    </row>
    <row r="47" spans="1:9" ht="20.100000000000001" customHeight="1">
      <c r="A47" s="49">
        <v>100</v>
      </c>
      <c r="B47" s="48">
        <v>9600</v>
      </c>
      <c r="C47" s="48">
        <v>11400</v>
      </c>
      <c r="D47" s="48">
        <f t="shared" si="1"/>
        <v>5700</v>
      </c>
      <c r="E47" s="48">
        <v>13100</v>
      </c>
      <c r="F47" s="48">
        <f t="shared" si="2"/>
        <v>4367</v>
      </c>
      <c r="G47" s="100"/>
      <c r="H47" s="128"/>
      <c r="I47" s="101"/>
    </row>
    <row r="48" spans="1:9" ht="20.100000000000001" customHeight="1">
      <c r="A48" s="49">
        <v>200</v>
      </c>
      <c r="B48" s="48">
        <v>10000</v>
      </c>
      <c r="C48" s="48">
        <v>11800</v>
      </c>
      <c r="D48" s="48">
        <f t="shared" si="1"/>
        <v>5900</v>
      </c>
      <c r="E48" s="48">
        <v>13400</v>
      </c>
      <c r="F48" s="48">
        <f t="shared" si="2"/>
        <v>4467</v>
      </c>
      <c r="G48" s="100"/>
      <c r="H48" s="128"/>
      <c r="I48" s="101"/>
    </row>
    <row r="49" spans="1:16" ht="20.100000000000001" customHeight="1">
      <c r="A49" s="49">
        <v>300</v>
      </c>
      <c r="B49" s="48">
        <v>10300</v>
      </c>
      <c r="C49" s="48">
        <v>12100</v>
      </c>
      <c r="D49" s="48">
        <f t="shared" si="1"/>
        <v>6050</v>
      </c>
      <c r="E49" s="48">
        <v>13800</v>
      </c>
      <c r="F49" s="48">
        <f t="shared" si="2"/>
        <v>4600</v>
      </c>
      <c r="G49" s="100"/>
      <c r="H49" s="128"/>
      <c r="I49" s="101"/>
    </row>
    <row r="50" spans="1:16" ht="20.100000000000001" customHeight="1">
      <c r="A50" s="49">
        <v>400</v>
      </c>
      <c r="B50" s="48">
        <v>10700</v>
      </c>
      <c r="C50" s="48">
        <v>12500</v>
      </c>
      <c r="D50" s="48">
        <f t="shared" si="1"/>
        <v>6250</v>
      </c>
      <c r="E50" s="48">
        <v>14200</v>
      </c>
      <c r="F50" s="48">
        <f t="shared" si="2"/>
        <v>4733</v>
      </c>
      <c r="G50" s="100"/>
      <c r="H50" s="128"/>
      <c r="I50" s="101"/>
    </row>
    <row r="51" spans="1:16" ht="20.100000000000001" customHeight="1">
      <c r="A51" s="49">
        <v>500</v>
      </c>
      <c r="B51" s="48">
        <v>11100</v>
      </c>
      <c r="C51" s="48">
        <v>13000</v>
      </c>
      <c r="D51" s="48">
        <f t="shared" si="1"/>
        <v>6500</v>
      </c>
      <c r="E51" s="48">
        <v>14600</v>
      </c>
      <c r="F51" s="48">
        <f t="shared" si="2"/>
        <v>4867</v>
      </c>
      <c r="G51" s="100"/>
      <c r="H51" s="128"/>
      <c r="I51" s="101"/>
    </row>
    <row r="52" spans="1:16" s="47" customFormat="1" ht="20.100000000000001" customHeight="1">
      <c r="A52" s="50"/>
      <c r="B52" s="51"/>
      <c r="C52" s="51"/>
      <c r="D52" s="51"/>
      <c r="E52" s="51"/>
      <c r="F52" s="51"/>
      <c r="G52" s="51"/>
      <c r="H52" s="51"/>
      <c r="I52" s="51"/>
      <c r="N52" s="52"/>
      <c r="O52" s="52"/>
      <c r="P52" s="52"/>
    </row>
    <row r="53" spans="1:16" ht="30" customHeight="1">
      <c r="A53" s="102" t="s">
        <v>469</v>
      </c>
      <c r="B53" s="102"/>
      <c r="C53" s="102"/>
      <c r="D53" s="102"/>
      <c r="E53" s="102"/>
      <c r="F53" s="102"/>
      <c r="G53" s="102"/>
      <c r="H53" s="102"/>
      <c r="I53" s="102"/>
    </row>
    <row r="54" spans="1:16" s="44" customFormat="1" ht="20.100000000000001" customHeight="1">
      <c r="A54" s="104" t="s">
        <v>424</v>
      </c>
      <c r="B54" s="104"/>
      <c r="C54" s="53" t="s">
        <v>423</v>
      </c>
      <c r="D54" s="104" t="s">
        <v>425</v>
      </c>
      <c r="E54" s="104"/>
      <c r="F54" s="53" t="s">
        <v>426</v>
      </c>
      <c r="G54" s="104" t="s">
        <v>412</v>
      </c>
      <c r="H54" s="104"/>
      <c r="I54" s="104"/>
    </row>
    <row r="55" spans="1:16" s="44" customFormat="1" ht="20.100000000000001" customHeight="1">
      <c r="A55" s="95" t="s">
        <v>432</v>
      </c>
      <c r="B55" s="95"/>
      <c r="C55" s="49" t="s">
        <v>427</v>
      </c>
      <c r="D55" s="95" t="s">
        <v>433</v>
      </c>
      <c r="E55" s="95"/>
      <c r="F55" s="48">
        <v>90500</v>
      </c>
      <c r="G55" s="100"/>
      <c r="H55" s="128"/>
      <c r="I55" s="101"/>
    </row>
    <row r="56" spans="1:16" s="44" customFormat="1" ht="20.100000000000001" customHeight="1">
      <c r="A56" s="95"/>
      <c r="B56" s="95"/>
      <c r="C56" s="95" t="s">
        <v>428</v>
      </c>
      <c r="D56" s="95" t="s">
        <v>429</v>
      </c>
      <c r="E56" s="95"/>
      <c r="F56" s="48">
        <f>SUM(F57:F58)</f>
        <v>47500</v>
      </c>
      <c r="G56" s="100"/>
      <c r="H56" s="128"/>
      <c r="I56" s="101"/>
    </row>
    <row r="57" spans="1:16" s="44" customFormat="1" ht="20.100000000000001" customHeight="1">
      <c r="A57" s="95"/>
      <c r="B57" s="95"/>
      <c r="C57" s="95"/>
      <c r="D57" s="95" t="s">
        <v>430</v>
      </c>
      <c r="E57" s="95"/>
      <c r="F57" s="48">
        <v>9000</v>
      </c>
      <c r="G57" s="100"/>
      <c r="H57" s="128"/>
      <c r="I57" s="101"/>
    </row>
    <row r="58" spans="1:16" s="44" customFormat="1" ht="20.100000000000001" customHeight="1">
      <c r="A58" s="95"/>
      <c r="B58" s="95"/>
      <c r="C58" s="95"/>
      <c r="D58" s="95" t="s">
        <v>431</v>
      </c>
      <c r="E58" s="95"/>
      <c r="F58" s="48">
        <v>38500</v>
      </c>
      <c r="G58" s="100"/>
      <c r="H58" s="128"/>
      <c r="I58" s="101"/>
    </row>
    <row r="59" spans="1:16" s="44" customFormat="1" ht="20.100000000000001" customHeight="1"/>
    <row r="60" spans="1:16" s="44" customFormat="1" ht="20.100000000000001" customHeight="1"/>
    <row r="61" spans="1:16" s="44" customFormat="1" ht="20.100000000000001" customHeight="1"/>
    <row r="62" spans="1:16" s="44" customFormat="1" ht="20.100000000000001" customHeight="1"/>
    <row r="63" spans="1:16" s="44" customFormat="1" ht="20.100000000000001" customHeight="1"/>
    <row r="64" spans="1:16" s="44" customFormat="1" ht="20.100000000000001" customHeight="1"/>
    <row r="65" s="44" customFormat="1" ht="20.100000000000001" customHeight="1"/>
    <row r="66" s="44" customFormat="1" ht="20.100000000000001" customHeight="1"/>
    <row r="67" s="44" customFormat="1" ht="20.100000000000001" customHeight="1"/>
    <row r="68" s="44" customFormat="1" ht="20.100000000000001" customHeight="1"/>
    <row r="69" s="44" customFormat="1" ht="20.100000000000001" customHeight="1"/>
    <row r="70" s="44" customFormat="1" ht="20.100000000000001" customHeight="1"/>
    <row r="71" s="44" customFormat="1" ht="20.100000000000001" customHeight="1"/>
    <row r="72" s="44" customFormat="1" ht="20.100000000000001" customHeight="1"/>
    <row r="73" s="44" customFormat="1" ht="20.100000000000001" customHeight="1"/>
  </sheetData>
  <mergeCells count="41">
    <mergeCell ref="D58:E58"/>
    <mergeCell ref="C56:C58"/>
    <mergeCell ref="A55:B58"/>
    <mergeCell ref="G55:I55"/>
    <mergeCell ref="G56:I56"/>
    <mergeCell ref="G57:I57"/>
    <mergeCell ref="G58:I58"/>
    <mergeCell ref="D56:E56"/>
    <mergeCell ref="D55:E55"/>
    <mergeCell ref="D57:E57"/>
    <mergeCell ref="G50:I50"/>
    <mergeCell ref="G51:I51"/>
    <mergeCell ref="A53:I53"/>
    <mergeCell ref="A54:B54"/>
    <mergeCell ref="D54:E54"/>
    <mergeCell ref="G54:I54"/>
    <mergeCell ref="G45:I45"/>
    <mergeCell ref="G46:I46"/>
    <mergeCell ref="G47:I47"/>
    <mergeCell ref="G48:I48"/>
    <mergeCell ref="G49:I49"/>
    <mergeCell ref="D29:I38"/>
    <mergeCell ref="A40:I40"/>
    <mergeCell ref="B42:F42"/>
    <mergeCell ref="A42:A44"/>
    <mergeCell ref="B43:B44"/>
    <mergeCell ref="C43:D43"/>
    <mergeCell ref="E43:F43"/>
    <mergeCell ref="G42:I44"/>
    <mergeCell ref="J3:J4"/>
    <mergeCell ref="A25:I25"/>
    <mergeCell ref="A27:A28"/>
    <mergeCell ref="B27:B28"/>
    <mergeCell ref="C27:C28"/>
    <mergeCell ref="D27:I28"/>
    <mergeCell ref="A1:I1"/>
    <mergeCell ref="C3:E3"/>
    <mergeCell ref="A3:A4"/>
    <mergeCell ref="B3:B4"/>
    <mergeCell ref="I3:I4"/>
    <mergeCell ref="F3:H3"/>
  </mergeCells>
  <phoneticPr fontId="3" type="noConversion"/>
  <pageMargins left="0.7" right="0.7" top="0.75" bottom="0.75" header="0.3" footer="0.3"/>
  <pageSetup paperSize="9" scale="95" orientation="portrait" r:id="rId1"/>
  <rowBreaks count="1" manualBreakCount="1">
    <brk id="39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AQ164"/>
  <sheetViews>
    <sheetView view="pageBreakPreview" zoomScale="70" zoomScaleSheetLayoutView="70" workbookViewId="0">
      <selection activeCell="AM76" sqref="AM76"/>
    </sheetView>
  </sheetViews>
  <sheetFormatPr defaultColWidth="10.625" defaultRowHeight="20.100000000000001" customHeight="1" outlineLevelCol="1"/>
  <cols>
    <col min="1" max="2" width="5.625" style="44" customWidth="1"/>
    <col min="3" max="3" width="10.625" style="44"/>
    <col min="4" max="4" width="8.625" style="44" customWidth="1"/>
    <col min="5" max="5" width="9.625" style="44" customWidth="1"/>
    <col min="6" max="8" width="7.625" style="44" customWidth="1"/>
    <col min="9" max="25" width="7.625" style="44" hidden="1" customWidth="1" outlineLevel="1"/>
    <col min="26" max="26" width="7.625" style="44" customWidth="1" collapsed="1"/>
    <col min="27" max="29" width="7.625" style="44" customWidth="1"/>
    <col min="30" max="37" width="8.625" style="44" customWidth="1"/>
    <col min="38" max="38" width="6.625" style="44" customWidth="1"/>
    <col min="39" max="42" width="8.125" style="44" customWidth="1"/>
    <col min="43" max="43" width="5.625" style="44" customWidth="1"/>
    <col min="44" max="16384" width="10.625" style="44"/>
  </cols>
  <sheetData>
    <row r="1" spans="1:43" ht="26.25" customHeight="1">
      <c r="A1" s="63" t="s">
        <v>477</v>
      </c>
    </row>
    <row r="2" spans="1:43" ht="20.100000000000001" customHeight="1">
      <c r="A2" s="95" t="s">
        <v>100</v>
      </c>
      <c r="B2" s="95" t="s">
        <v>434</v>
      </c>
      <c r="C2" s="95" t="s">
        <v>103</v>
      </c>
      <c r="D2" s="95" t="s">
        <v>447</v>
      </c>
      <c r="E2" s="95"/>
      <c r="F2" s="95" t="s">
        <v>435</v>
      </c>
      <c r="G2" s="95" t="s">
        <v>436</v>
      </c>
      <c r="H2" s="96" t="s">
        <v>462</v>
      </c>
      <c r="I2" s="95" t="s">
        <v>441</v>
      </c>
      <c r="J2" s="95"/>
      <c r="K2" s="95"/>
      <c r="L2" s="95"/>
      <c r="M2" s="95"/>
      <c r="N2" s="96" t="s">
        <v>458</v>
      </c>
      <c r="O2" s="95" t="s">
        <v>459</v>
      </c>
      <c r="P2" s="95"/>
      <c r="Q2" s="95"/>
      <c r="R2" s="95"/>
      <c r="S2" s="95"/>
      <c r="T2" s="100" t="s">
        <v>470</v>
      </c>
      <c r="U2" s="128"/>
      <c r="V2" s="128"/>
      <c r="W2" s="128"/>
      <c r="X2" s="128"/>
      <c r="Y2" s="101"/>
      <c r="Z2" s="95" t="s">
        <v>442</v>
      </c>
      <c r="AA2" s="95" t="s">
        <v>443</v>
      </c>
      <c r="AB2" s="95" t="s">
        <v>457</v>
      </c>
      <c r="AC2" s="95"/>
      <c r="AD2" s="95" t="s">
        <v>465</v>
      </c>
      <c r="AE2" s="95"/>
      <c r="AF2" s="95"/>
      <c r="AG2" s="95"/>
      <c r="AH2" s="95"/>
      <c r="AI2" s="95"/>
      <c r="AJ2" s="95"/>
      <c r="AK2" s="95"/>
      <c r="AL2" s="96" t="s">
        <v>466</v>
      </c>
      <c r="AM2" s="95" t="s">
        <v>467</v>
      </c>
      <c r="AN2" s="95"/>
      <c r="AO2" s="95"/>
      <c r="AP2" s="95"/>
      <c r="AQ2" s="95" t="s">
        <v>101</v>
      </c>
    </row>
    <row r="3" spans="1:43" ht="20.100000000000001" customHeight="1">
      <c r="A3" s="95"/>
      <c r="B3" s="95"/>
      <c r="C3" s="95"/>
      <c r="D3" s="95"/>
      <c r="E3" s="95"/>
      <c r="F3" s="95"/>
      <c r="G3" s="95"/>
      <c r="H3" s="98"/>
      <c r="I3" s="49" t="s">
        <v>437</v>
      </c>
      <c r="J3" s="49" t="s">
        <v>438</v>
      </c>
      <c r="K3" s="49" t="s">
        <v>106</v>
      </c>
      <c r="L3" s="49" t="s">
        <v>440</v>
      </c>
      <c r="M3" s="49" t="s">
        <v>439</v>
      </c>
      <c r="N3" s="98"/>
      <c r="O3" s="49" t="s">
        <v>437</v>
      </c>
      <c r="P3" s="49" t="s">
        <v>438</v>
      </c>
      <c r="Q3" s="49" t="s">
        <v>106</v>
      </c>
      <c r="R3" s="49" t="s">
        <v>440</v>
      </c>
      <c r="S3" s="49" t="s">
        <v>439</v>
      </c>
      <c r="T3" s="49" t="s">
        <v>437</v>
      </c>
      <c r="U3" s="49" t="s">
        <v>438</v>
      </c>
      <c r="V3" s="49" t="s">
        <v>106</v>
      </c>
      <c r="W3" s="49" t="s">
        <v>440</v>
      </c>
      <c r="X3" s="49" t="s">
        <v>439</v>
      </c>
      <c r="Y3" s="49" t="s">
        <v>445</v>
      </c>
      <c r="Z3" s="95"/>
      <c r="AA3" s="95"/>
      <c r="AB3" s="49" t="s">
        <v>463</v>
      </c>
      <c r="AC3" s="49" t="s">
        <v>464</v>
      </c>
      <c r="AD3" s="49" t="s">
        <v>94</v>
      </c>
      <c r="AE3" s="49" t="s">
        <v>444</v>
      </c>
      <c r="AF3" s="49" t="s">
        <v>403</v>
      </c>
      <c r="AG3" s="49" t="s">
        <v>402</v>
      </c>
      <c r="AH3" s="49" t="s">
        <v>439</v>
      </c>
      <c r="AI3" s="49" t="s">
        <v>468</v>
      </c>
      <c r="AJ3" s="49" t="s">
        <v>445</v>
      </c>
      <c r="AK3" s="49" t="s">
        <v>394</v>
      </c>
      <c r="AL3" s="98"/>
      <c r="AM3" s="49">
        <v>2015</v>
      </c>
      <c r="AN3" s="49">
        <v>2020</v>
      </c>
      <c r="AO3" s="49">
        <v>2025</v>
      </c>
      <c r="AP3" s="49">
        <v>2030</v>
      </c>
      <c r="AQ3" s="95"/>
    </row>
    <row r="4" spans="1:43" ht="20.100000000000001" customHeight="1">
      <c r="A4" s="129" t="s">
        <v>104</v>
      </c>
      <c r="B4" s="130"/>
      <c r="C4" s="130"/>
      <c r="D4" s="130"/>
      <c r="E4" s="131"/>
      <c r="F4" s="100" t="s">
        <v>453</v>
      </c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01"/>
      <c r="AA4" s="49">
        <f>SUM(AA5:AA6)</f>
        <v>102</v>
      </c>
      <c r="AB4" s="55"/>
      <c r="AC4" s="55"/>
      <c r="AD4" s="61">
        <f>SUM(AD5:AD6)</f>
        <v>359</v>
      </c>
      <c r="AE4" s="61">
        <f t="shared" ref="AE4:AP4" si="0">SUM(AE5:AE6)</f>
        <v>0</v>
      </c>
      <c r="AF4" s="61">
        <f t="shared" si="0"/>
        <v>215</v>
      </c>
      <c r="AG4" s="61">
        <f t="shared" si="0"/>
        <v>148</v>
      </c>
      <c r="AH4" s="61">
        <f t="shared" si="0"/>
        <v>2510</v>
      </c>
      <c r="AI4" s="61">
        <f t="shared" si="0"/>
        <v>130</v>
      </c>
      <c r="AJ4" s="61">
        <f t="shared" si="0"/>
        <v>4896</v>
      </c>
      <c r="AK4" s="61">
        <f t="shared" si="0"/>
        <v>8258</v>
      </c>
      <c r="AL4" s="61"/>
      <c r="AM4" s="61">
        <f t="shared" si="0"/>
        <v>4226</v>
      </c>
      <c r="AN4" s="61">
        <f t="shared" si="0"/>
        <v>3504</v>
      </c>
      <c r="AO4" s="61">
        <f t="shared" si="0"/>
        <v>0</v>
      </c>
      <c r="AP4" s="61">
        <f t="shared" si="0"/>
        <v>0</v>
      </c>
      <c r="AQ4" s="49"/>
    </row>
    <row r="5" spans="1:43" ht="20.100000000000001" customHeight="1">
      <c r="A5" s="110"/>
      <c r="B5" s="132"/>
      <c r="C5" s="132"/>
      <c r="D5" s="132"/>
      <c r="E5" s="133"/>
      <c r="F5" s="49"/>
      <c r="G5" s="49"/>
      <c r="H5" s="49"/>
      <c r="I5" s="49"/>
      <c r="J5" s="49"/>
      <c r="K5" s="49"/>
      <c r="L5" s="49"/>
      <c r="M5" s="49"/>
      <c r="N5" s="55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60" t="s">
        <v>461</v>
      </c>
      <c r="AA5" s="49">
        <f>COUNTIF($AA$7:$AA$164,Z5)</f>
        <v>18</v>
      </c>
      <c r="AB5" s="62"/>
      <c r="AC5" s="62"/>
      <c r="AD5" s="61">
        <f t="shared" ref="AD5:AK6" si="1">SUMIF($AA$7:$AA$164,$Z5,AD$7:AD$164)</f>
        <v>359</v>
      </c>
      <c r="AE5" s="61">
        <f t="shared" si="1"/>
        <v>0</v>
      </c>
      <c r="AF5" s="61">
        <f t="shared" si="1"/>
        <v>215</v>
      </c>
      <c r="AG5" s="61">
        <f t="shared" si="1"/>
        <v>148</v>
      </c>
      <c r="AH5" s="61">
        <f t="shared" si="1"/>
        <v>2510</v>
      </c>
      <c r="AI5" s="61">
        <f t="shared" si="1"/>
        <v>130</v>
      </c>
      <c r="AJ5" s="61">
        <f t="shared" si="1"/>
        <v>864</v>
      </c>
      <c r="AK5" s="61">
        <f t="shared" si="1"/>
        <v>4226</v>
      </c>
      <c r="AL5" s="61"/>
      <c r="AM5" s="61">
        <f t="shared" ref="AM5:AP6" si="2">SUMIF($AA$7:$AA$164,$Z5,AM$7:AM$164)</f>
        <v>4226</v>
      </c>
      <c r="AN5" s="61">
        <f t="shared" si="2"/>
        <v>0</v>
      </c>
      <c r="AO5" s="61">
        <f t="shared" si="2"/>
        <v>0</v>
      </c>
      <c r="AP5" s="61">
        <f t="shared" si="2"/>
        <v>0</v>
      </c>
      <c r="AQ5" s="49"/>
    </row>
    <row r="6" spans="1:43" ht="20.100000000000001" customHeight="1">
      <c r="A6" s="134"/>
      <c r="B6" s="135"/>
      <c r="C6" s="135"/>
      <c r="D6" s="135"/>
      <c r="E6" s="136"/>
      <c r="F6" s="49"/>
      <c r="G6" s="49"/>
      <c r="H6" s="49"/>
      <c r="I6" s="49"/>
      <c r="J6" s="49"/>
      <c r="K6" s="49"/>
      <c r="L6" s="49"/>
      <c r="M6" s="49"/>
      <c r="N6" s="55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60" t="s">
        <v>460</v>
      </c>
      <c r="AA6" s="49">
        <f>COUNTIF($AA$7:$AA$164,Z6)</f>
        <v>84</v>
      </c>
      <c r="AB6" s="62"/>
      <c r="AC6" s="62"/>
      <c r="AD6" s="61">
        <f t="shared" si="1"/>
        <v>0</v>
      </c>
      <c r="AE6" s="61">
        <f t="shared" si="1"/>
        <v>0</v>
      </c>
      <c r="AF6" s="61">
        <f t="shared" si="1"/>
        <v>0</v>
      </c>
      <c r="AG6" s="61">
        <f t="shared" si="1"/>
        <v>0</v>
      </c>
      <c r="AH6" s="61">
        <f t="shared" si="1"/>
        <v>0</v>
      </c>
      <c r="AI6" s="61">
        <f t="shared" si="1"/>
        <v>0</v>
      </c>
      <c r="AJ6" s="61">
        <f t="shared" si="1"/>
        <v>4032</v>
      </c>
      <c r="AK6" s="61">
        <f t="shared" si="1"/>
        <v>4032</v>
      </c>
      <c r="AL6" s="61"/>
      <c r="AM6" s="61">
        <f t="shared" si="2"/>
        <v>0</v>
      </c>
      <c r="AN6" s="61">
        <f t="shared" si="2"/>
        <v>3504</v>
      </c>
      <c r="AO6" s="61">
        <f t="shared" si="2"/>
        <v>0</v>
      </c>
      <c r="AP6" s="61">
        <f t="shared" si="2"/>
        <v>0</v>
      </c>
      <c r="AQ6" s="49"/>
    </row>
    <row r="7" spans="1:43" ht="20.100000000000001" customHeight="1">
      <c r="A7" s="49" t="s">
        <v>446</v>
      </c>
      <c r="B7" s="49">
        <v>1</v>
      </c>
      <c r="C7" s="56" t="s">
        <v>137</v>
      </c>
      <c r="D7" s="56" t="s">
        <v>448</v>
      </c>
      <c r="E7" s="56" t="s">
        <v>136</v>
      </c>
      <c r="F7" s="49">
        <f>VLOOKUP(C7,'[1]논산시 마을상수도'!$E$5:$K$171,6,FALSE)</f>
        <v>60</v>
      </c>
      <c r="G7" s="49">
        <f>VLOOKUP($C7,'[1]논산시 마을상수도'!$E$5:$K$171,3,FALSE)</f>
        <v>1978</v>
      </c>
      <c r="H7" s="49">
        <f>VLOOKUP($C7,'[1]논산시 마을상수도'!$E$5:$K$171,4,FALSE)</f>
        <v>35</v>
      </c>
      <c r="I7" s="49" t="str">
        <f>VLOOKUP($E7,'[2]마을_소규모 인접거리'!$D$8:$P$167,8,FALSE)</f>
        <v>2003</v>
      </c>
      <c r="J7" s="49">
        <v>2008</v>
      </c>
      <c r="K7" s="49" t="str">
        <f>VLOOKUP($E7,'[2]마을_소규모 인접거리'!$D$8:$P$167,12,FALSE)</f>
        <v>2005</v>
      </c>
      <c r="L7" s="49" t="str">
        <f>K7</f>
        <v>2005</v>
      </c>
      <c r="M7" s="49">
        <v>2005</v>
      </c>
      <c r="N7" s="49">
        <v>2020</v>
      </c>
      <c r="O7" s="49" t="str">
        <f>IF(($N7-5)-I7&gt;=25,"개량","")</f>
        <v/>
      </c>
      <c r="P7" s="49"/>
      <c r="Q7" s="49" t="str">
        <f t="shared" ref="Q7:S7" si="3">IF(($N7-5)-K7&gt;=25,"개량","")</f>
        <v/>
      </c>
      <c r="R7" s="49" t="str">
        <f t="shared" si="3"/>
        <v/>
      </c>
      <c r="S7" s="49" t="str">
        <f t="shared" si="3"/>
        <v/>
      </c>
      <c r="T7" s="49" t="str">
        <f t="shared" ref="T7:T29" si="4">IF(O7="","",IF((I7+25)&lt;=2015,1,IF((I7+25)&lt;=2020,2,IF((I7+25)&lt;=2025,3,4))))</f>
        <v/>
      </c>
      <c r="U7" s="49" t="str">
        <f t="shared" ref="U7:U29" si="5">IF(P7="","",IF((J7+25)&lt;=2015,1,IF((J7+25)&lt;=2020,2,IF((J7+25)&lt;=2025,3,4))))</f>
        <v/>
      </c>
      <c r="V7" s="49" t="str">
        <f t="shared" ref="V7:V29" si="6">IF(Q7="","",IF((K7+25)&lt;=2015,1,IF((K7+25)&lt;=2020,2,IF((K7+25)&lt;=2025,3,4))))</f>
        <v/>
      </c>
      <c r="W7" s="49" t="str">
        <f t="shared" ref="W7:W29" si="7">IF(R7="","",IF((L7+25)&lt;=2015,1,IF((L7+25)&lt;=2020,2,IF((L7+25)&lt;=2025,3,4))))</f>
        <v/>
      </c>
      <c r="X7" s="49" t="str">
        <f t="shared" ref="X7:X29" si="8">IF(S7="","",IF((M7+25)&lt;=2015,1,IF((M7+25)&lt;=2020,2,IF((M7+25)&lt;=2025,3,4))))</f>
        <v/>
      </c>
      <c r="Y7" s="49"/>
      <c r="Z7" s="49" t="s">
        <v>114</v>
      </c>
      <c r="AA7" s="49" t="str">
        <f>IF(O7="개량","D",IF(P7="개량","D",IF(Q7="개량","D",IF(R7="개량","D",IF(S7="개량","D",IF(N7=2025,"E","F"))))))</f>
        <v>F</v>
      </c>
      <c r="AB7" s="61"/>
      <c r="AC7" s="61"/>
      <c r="AD7" s="61" t="str">
        <f>IF(O7="개량",ROUND(VLOOKUP($F7,'개량사업비 산정기준'!$A$5:$I$23,2,FALSE)/1000,0),"")</f>
        <v/>
      </c>
      <c r="AE7" s="61"/>
      <c r="AF7" s="61" t="str">
        <f>IF(Q7="개량",ROUND(VLOOKUP($F7,'개량사업비 산정기준'!$A$5:$I$23,6,FALSE)/1000,0),"")</f>
        <v/>
      </c>
      <c r="AG7" s="61" t="str">
        <f>IF(R7="개량",ROUND(VLOOKUP($F7,'개량사업비 산정기준'!$A$5:$I$23,7,FALSE)/1000,0),"")</f>
        <v/>
      </c>
      <c r="AH7" s="61" t="str">
        <f>IF(S7="개량",ROUND(((AB7*'개량사업비 산정기준'!$B$34)+(AC7*'개량사업비 산정기준'!$C$34))/1000000,0),"")</f>
        <v/>
      </c>
      <c r="AI7" s="61"/>
      <c r="AJ7" s="61" t="str">
        <f>IF($AA7="D",ROUND('개량사업비 산정기준'!$F$56/1000,0),IF($AA7="E",ROUND('개량사업비 산정기준'!$F$56/1000,0),""))</f>
        <v/>
      </c>
      <c r="AK7" s="61">
        <f>SUM(AD7:AJ7)</f>
        <v>0</v>
      </c>
      <c r="AL7" s="61"/>
      <c r="AM7" s="61">
        <f>IF($AL7=1,$AK7,0)</f>
        <v>0</v>
      </c>
      <c r="AN7" s="61">
        <f>IF($AL7=2,$AK7,0)</f>
        <v>0</v>
      </c>
      <c r="AO7" s="61">
        <f>IF($AL7=3,$AK7,0)</f>
        <v>0</v>
      </c>
      <c r="AP7" s="61">
        <f>IF($AL7=4,$AK7,0)</f>
        <v>0</v>
      </c>
      <c r="AQ7" s="49"/>
    </row>
    <row r="8" spans="1:43" ht="20.100000000000001" customHeight="1">
      <c r="A8" s="49" t="s">
        <v>446</v>
      </c>
      <c r="B8" s="49">
        <v>2</v>
      </c>
      <c r="C8" s="56" t="s">
        <v>140</v>
      </c>
      <c r="D8" s="56" t="s">
        <v>448</v>
      </c>
      <c r="E8" s="56" t="s">
        <v>139</v>
      </c>
      <c r="F8" s="49">
        <f>VLOOKUP(C8,'[1]논산시 마을상수도'!$E$5:$K$171,6,FALSE)</f>
        <v>120</v>
      </c>
      <c r="G8" s="49">
        <f>VLOOKUP(C8,'[1]논산시 마을상수도'!$E$5:$K$171,3,FALSE)</f>
        <v>2002</v>
      </c>
      <c r="H8" s="49">
        <f>VLOOKUP($C8,'[1]논산시 마을상수도'!$E$5:$K$171,4,FALSE)</f>
        <v>77</v>
      </c>
      <c r="I8" s="49">
        <f>VLOOKUP($E8,'[2]마을_소규모 인접거리'!$D$8:$P$167,8,FALSE)</f>
        <v>2002</v>
      </c>
      <c r="J8" s="49"/>
      <c r="K8" s="49" t="str">
        <f>VLOOKUP($E8,'[2]마을_소규모 인접거리'!$D$8:$P$167,12,FALSE)</f>
        <v>2002</v>
      </c>
      <c r="L8" s="49" t="str">
        <f t="shared" ref="L8:L71" si="9">K8</f>
        <v>2002</v>
      </c>
      <c r="M8" s="49">
        <v>2002</v>
      </c>
      <c r="N8" s="49">
        <v>2020</v>
      </c>
      <c r="O8" s="49" t="str">
        <f t="shared" ref="O8:O71" si="10">IF(($N8-5)-I8&gt;=25,"개량","")</f>
        <v/>
      </c>
      <c r="P8" s="49"/>
      <c r="Q8" s="49" t="str">
        <f t="shared" ref="Q8:Q71" si="11">IF(($N8-5)-K8&gt;=25,"개량","")</f>
        <v/>
      </c>
      <c r="R8" s="49" t="str">
        <f t="shared" ref="R8:R71" si="12">IF(($N8-5)-L8&gt;=25,"개량","")</f>
        <v/>
      </c>
      <c r="S8" s="49" t="str">
        <f t="shared" ref="S8:S71" si="13">IF(($N8-5)-M8&gt;=25,"개량","")</f>
        <v/>
      </c>
      <c r="T8" s="49" t="str">
        <f t="shared" si="4"/>
        <v/>
      </c>
      <c r="U8" s="49" t="str">
        <f t="shared" si="5"/>
        <v/>
      </c>
      <c r="V8" s="49" t="str">
        <f t="shared" si="6"/>
        <v/>
      </c>
      <c r="W8" s="49" t="str">
        <f t="shared" si="7"/>
        <v/>
      </c>
      <c r="X8" s="49" t="str">
        <f t="shared" si="8"/>
        <v/>
      </c>
      <c r="Y8" s="49"/>
      <c r="Z8" s="49" t="s">
        <v>114</v>
      </c>
      <c r="AA8" s="49" t="str">
        <f t="shared" ref="AA8:AA71" si="14">IF(O8="개량","D",IF(P8="개량","D",IF(Q8="개량","D",IF(R8="개량","D",IF(S8="개량","D",IF(N8=2025,"E","F"))))))</f>
        <v>F</v>
      </c>
      <c r="AB8" s="61"/>
      <c r="AC8" s="61"/>
      <c r="AD8" s="61" t="str">
        <f>IF(O8="개량",ROUND(VLOOKUP($F8,'개량사업비 산정기준'!$A$5:$I$23,2,FALSE)/1000,0),"")</f>
        <v/>
      </c>
      <c r="AE8" s="61"/>
      <c r="AF8" s="61" t="str">
        <f>IF(Q8="개량",ROUND(VLOOKUP($F8,'개량사업비 산정기준'!$A$5:$I$23,6,FALSE)/1000,0),"")</f>
        <v/>
      </c>
      <c r="AG8" s="61" t="str">
        <f>IF(R8="개량",ROUND(VLOOKUP($F8,'개량사업비 산정기준'!$A$5:$I$23,7,FALSE)/1000,0),"")</f>
        <v/>
      </c>
      <c r="AH8" s="61" t="str">
        <f>IF(S8="개량",ROUND(((AB8*'개량사업비 산정기준'!$B$34)+(AC8*'개량사업비 산정기준'!$C$34))/1000000,0),"")</f>
        <v/>
      </c>
      <c r="AI8" s="61"/>
      <c r="AJ8" s="61" t="str">
        <f>IF($AA8="D",ROUND('개량사업비 산정기준'!$F$56/1000,0),IF($AA8="E",ROUND('개량사업비 산정기준'!$F$56/1000,0),""))</f>
        <v/>
      </c>
      <c r="AK8" s="61">
        <f t="shared" ref="AK8:AK71" si="15">SUM(AD8:AJ8)</f>
        <v>0</v>
      </c>
      <c r="AL8" s="61"/>
      <c r="AM8" s="61">
        <f t="shared" ref="AM8:AM71" si="16">IF($AL8=1,$AK8,0)</f>
        <v>0</v>
      </c>
      <c r="AN8" s="61">
        <f t="shared" ref="AN8:AN71" si="17">IF($AL8=2,$AK8,0)</f>
        <v>0</v>
      </c>
      <c r="AO8" s="61">
        <f t="shared" ref="AO8:AO71" si="18">IF($AL8=3,$AK8,0)</f>
        <v>0</v>
      </c>
      <c r="AP8" s="61">
        <f t="shared" ref="AP8:AP71" si="19">IF($AL8=4,$AK8,0)</f>
        <v>0</v>
      </c>
      <c r="AQ8" s="49"/>
    </row>
    <row r="9" spans="1:43" ht="20.100000000000001" customHeight="1">
      <c r="A9" s="49" t="s">
        <v>446</v>
      </c>
      <c r="B9" s="49">
        <v>3</v>
      </c>
      <c r="C9" s="56" t="s">
        <v>142</v>
      </c>
      <c r="D9" s="56" t="s">
        <v>448</v>
      </c>
      <c r="E9" s="56" t="s">
        <v>141</v>
      </c>
      <c r="F9" s="49">
        <f>VLOOKUP(C9,'[1]논산시 마을상수도'!$E$5:$K$171,6,FALSE)</f>
        <v>120</v>
      </c>
      <c r="G9" s="49">
        <f>VLOOKUP(C9,'[1]논산시 마을상수도'!$E$5:$K$171,3,FALSE)</f>
        <v>2005</v>
      </c>
      <c r="H9" s="49">
        <f>VLOOKUP($C9,'[1]논산시 마을상수도'!$E$5:$K$171,4,FALSE)</f>
        <v>53</v>
      </c>
      <c r="I9" s="49">
        <f>VLOOKUP($E9,'[2]마을_소규모 인접거리'!$D$8:$P$167,8,FALSE)</f>
        <v>2005</v>
      </c>
      <c r="J9" s="49"/>
      <c r="K9" s="49" t="str">
        <f>VLOOKUP($E9,'[2]마을_소규모 인접거리'!$D$8:$P$167,12,FALSE)</f>
        <v>2005</v>
      </c>
      <c r="L9" s="49" t="str">
        <f t="shared" si="9"/>
        <v>2005</v>
      </c>
      <c r="M9" s="49">
        <v>2005</v>
      </c>
      <c r="N9" s="49">
        <v>2020</v>
      </c>
      <c r="O9" s="49" t="str">
        <f t="shared" si="10"/>
        <v/>
      </c>
      <c r="P9" s="49"/>
      <c r="Q9" s="49" t="str">
        <f t="shared" si="11"/>
        <v/>
      </c>
      <c r="R9" s="49" t="str">
        <f t="shared" si="12"/>
        <v/>
      </c>
      <c r="S9" s="49" t="str">
        <f t="shared" si="13"/>
        <v/>
      </c>
      <c r="T9" s="49" t="str">
        <f t="shared" si="4"/>
        <v/>
      </c>
      <c r="U9" s="49" t="str">
        <f t="shared" si="5"/>
        <v/>
      </c>
      <c r="V9" s="49" t="str">
        <f t="shared" si="6"/>
        <v/>
      </c>
      <c r="W9" s="49" t="str">
        <f t="shared" si="7"/>
        <v/>
      </c>
      <c r="X9" s="49" t="str">
        <f t="shared" si="8"/>
        <v/>
      </c>
      <c r="Y9" s="49"/>
      <c r="Z9" s="49" t="s">
        <v>114</v>
      </c>
      <c r="AA9" s="49" t="str">
        <f t="shared" si="14"/>
        <v>F</v>
      </c>
      <c r="AB9" s="61"/>
      <c r="AC9" s="61"/>
      <c r="AD9" s="61" t="str">
        <f>IF(O9="개량",ROUND(VLOOKUP($F9,'개량사업비 산정기준'!$A$5:$I$23,2,FALSE)/1000,0),"")</f>
        <v/>
      </c>
      <c r="AE9" s="61"/>
      <c r="AF9" s="61" t="str">
        <f>IF(Q9="개량",ROUND(VLOOKUP($F9,'개량사업비 산정기준'!$A$5:$I$23,6,FALSE)/1000,0),"")</f>
        <v/>
      </c>
      <c r="AG9" s="61" t="str">
        <f>IF(R9="개량",ROUND(VLOOKUP($F9,'개량사업비 산정기준'!$A$5:$I$23,7,FALSE)/1000,0),"")</f>
        <v/>
      </c>
      <c r="AH9" s="61" t="str">
        <f>IF(S9="개량",ROUND(((AB9*'개량사업비 산정기준'!$B$34)+(AC9*'개량사업비 산정기준'!$C$34))/1000000,0),"")</f>
        <v/>
      </c>
      <c r="AI9" s="61"/>
      <c r="AJ9" s="61" t="str">
        <f>IF($AA9="D",ROUND('개량사업비 산정기준'!$F$56/1000,0),IF($AA9="E",ROUND('개량사업비 산정기준'!$F$56/1000,0),""))</f>
        <v/>
      </c>
      <c r="AK9" s="61">
        <f t="shared" si="15"/>
        <v>0</v>
      </c>
      <c r="AL9" s="61"/>
      <c r="AM9" s="61">
        <f t="shared" si="16"/>
        <v>0</v>
      </c>
      <c r="AN9" s="61">
        <f t="shared" si="17"/>
        <v>0</v>
      </c>
      <c r="AO9" s="61">
        <f t="shared" si="18"/>
        <v>0</v>
      </c>
      <c r="AP9" s="61">
        <f t="shared" si="19"/>
        <v>0</v>
      </c>
      <c r="AQ9" s="49"/>
    </row>
    <row r="10" spans="1:43" ht="20.100000000000001" customHeight="1">
      <c r="A10" s="49" t="s">
        <v>446</v>
      </c>
      <c r="B10" s="49">
        <v>4</v>
      </c>
      <c r="C10" s="56" t="s">
        <v>145</v>
      </c>
      <c r="D10" s="56" t="s">
        <v>449</v>
      </c>
      <c r="E10" s="56" t="s">
        <v>144</v>
      </c>
      <c r="F10" s="49">
        <f>VLOOKUP(C10,'[1]논산시 마을상수도'!$E$5:$K$171,6,FALSE)</f>
        <v>80</v>
      </c>
      <c r="G10" s="49">
        <f>VLOOKUP(C10,'[1]논산시 마을상수도'!$E$5:$K$171,3,FALSE)</f>
        <v>1995</v>
      </c>
      <c r="H10" s="49">
        <f>VLOOKUP($C10,'[1]논산시 마을상수도'!$E$5:$K$171,4,FALSE)</f>
        <v>50</v>
      </c>
      <c r="I10" s="49">
        <v>1995</v>
      </c>
      <c r="J10" s="49"/>
      <c r="K10" s="49">
        <v>1995</v>
      </c>
      <c r="L10" s="49">
        <f t="shared" si="9"/>
        <v>1995</v>
      </c>
      <c r="M10" s="49">
        <v>2004</v>
      </c>
      <c r="N10" s="49">
        <v>2020</v>
      </c>
      <c r="O10" s="49" t="str">
        <f t="shared" si="10"/>
        <v/>
      </c>
      <c r="P10" s="49"/>
      <c r="Q10" s="49" t="str">
        <f t="shared" si="11"/>
        <v/>
      </c>
      <c r="R10" s="49" t="str">
        <f t="shared" si="12"/>
        <v/>
      </c>
      <c r="S10" s="49" t="str">
        <f t="shared" si="13"/>
        <v/>
      </c>
      <c r="T10" s="49" t="str">
        <f t="shared" si="4"/>
        <v/>
      </c>
      <c r="U10" s="49" t="str">
        <f t="shared" si="5"/>
        <v/>
      </c>
      <c r="V10" s="49" t="str">
        <f t="shared" si="6"/>
        <v/>
      </c>
      <c r="W10" s="49" t="str">
        <f t="shared" si="7"/>
        <v/>
      </c>
      <c r="X10" s="49" t="str">
        <f t="shared" si="8"/>
        <v/>
      </c>
      <c r="Y10" s="49"/>
      <c r="Z10" s="49" t="s">
        <v>114</v>
      </c>
      <c r="AA10" s="49" t="str">
        <f t="shared" si="14"/>
        <v>F</v>
      </c>
      <c r="AB10" s="61"/>
      <c r="AC10" s="61"/>
      <c r="AD10" s="61" t="str">
        <f>IF(O10="개량",ROUND(VLOOKUP($F10,'개량사업비 산정기준'!$A$5:$I$23,2,FALSE)/1000,0),"")</f>
        <v/>
      </c>
      <c r="AE10" s="61"/>
      <c r="AF10" s="61" t="str">
        <f>IF(Q10="개량",ROUND(VLOOKUP($F10,'개량사업비 산정기준'!$A$5:$I$23,6,FALSE)/1000,0),"")</f>
        <v/>
      </c>
      <c r="AG10" s="61" t="str">
        <f>IF(R10="개량",ROUND(VLOOKUP($F10,'개량사업비 산정기준'!$A$5:$I$23,7,FALSE)/1000,0),"")</f>
        <v/>
      </c>
      <c r="AH10" s="61" t="str">
        <f>IF(S10="개량",ROUND(((AB10*'개량사업비 산정기준'!$B$34)+(AC10*'개량사업비 산정기준'!$C$34))/1000000,0),"")</f>
        <v/>
      </c>
      <c r="AI10" s="61"/>
      <c r="AJ10" s="61" t="str">
        <f>IF($AA10="D",ROUND('개량사업비 산정기준'!$F$56/1000,0),IF($AA10="E",ROUND('개량사업비 산정기준'!$F$56/1000,0),""))</f>
        <v/>
      </c>
      <c r="AK10" s="61">
        <f t="shared" si="15"/>
        <v>0</v>
      </c>
      <c r="AL10" s="61"/>
      <c r="AM10" s="61">
        <f t="shared" si="16"/>
        <v>0</v>
      </c>
      <c r="AN10" s="61">
        <f t="shared" si="17"/>
        <v>0</v>
      </c>
      <c r="AO10" s="61">
        <f t="shared" si="18"/>
        <v>0</v>
      </c>
      <c r="AP10" s="61">
        <f t="shared" si="19"/>
        <v>0</v>
      </c>
      <c r="AQ10" s="49"/>
    </row>
    <row r="11" spans="1:43" ht="20.100000000000001" customHeight="1">
      <c r="A11" s="49" t="s">
        <v>446</v>
      </c>
      <c r="B11" s="49">
        <v>5</v>
      </c>
      <c r="C11" s="56" t="s">
        <v>146</v>
      </c>
      <c r="D11" s="56" t="s">
        <v>449</v>
      </c>
      <c r="E11" s="56" t="s">
        <v>3</v>
      </c>
      <c r="F11" s="49">
        <f>VLOOKUP(C11,'[1]논산시 마을상수도'!$E$5:$K$171,6,FALSE)</f>
        <v>80</v>
      </c>
      <c r="G11" s="49">
        <f>VLOOKUP(C11,'[1]논산시 마을상수도'!$E$5:$K$171,3,FALSE)</f>
        <v>1999</v>
      </c>
      <c r="H11" s="49">
        <f>VLOOKUP($C11,'[1]논산시 마을상수도'!$E$5:$K$171,4,FALSE)</f>
        <v>40</v>
      </c>
      <c r="I11" s="49">
        <f>VLOOKUP($E11,'[2]마을_소규모 인접거리'!$D$8:$P$167,8,FALSE)</f>
        <v>1999</v>
      </c>
      <c r="J11" s="49"/>
      <c r="K11" s="49">
        <f>VLOOKUP($E11,'[2]마을_소규모 인접거리'!$D$8:$P$167,12,FALSE)</f>
        <v>1999</v>
      </c>
      <c r="L11" s="49">
        <f t="shared" si="9"/>
        <v>1999</v>
      </c>
      <c r="M11" s="49">
        <v>1999</v>
      </c>
      <c r="N11" s="49">
        <v>2025</v>
      </c>
      <c r="O11" s="49" t="str">
        <f t="shared" si="10"/>
        <v/>
      </c>
      <c r="P11" s="49"/>
      <c r="Q11" s="49" t="str">
        <f t="shared" si="11"/>
        <v/>
      </c>
      <c r="R11" s="49" t="str">
        <f t="shared" si="12"/>
        <v/>
      </c>
      <c r="S11" s="49" t="str">
        <f t="shared" si="13"/>
        <v/>
      </c>
      <c r="T11" s="49" t="str">
        <f t="shared" si="4"/>
        <v/>
      </c>
      <c r="U11" s="49" t="str">
        <f t="shared" si="5"/>
        <v/>
      </c>
      <c r="V11" s="49" t="str">
        <f t="shared" si="6"/>
        <v/>
      </c>
      <c r="W11" s="49" t="str">
        <f t="shared" si="7"/>
        <v/>
      </c>
      <c r="X11" s="49" t="str">
        <f t="shared" si="8"/>
        <v/>
      </c>
      <c r="Y11" s="49">
        <v>2</v>
      </c>
      <c r="Z11" s="49" t="s">
        <v>114</v>
      </c>
      <c r="AA11" s="49" t="str">
        <f t="shared" si="14"/>
        <v>E</v>
      </c>
      <c r="AB11" s="61"/>
      <c r="AC11" s="61"/>
      <c r="AD11" s="61" t="str">
        <f>IF(O11="개량",ROUND(VLOOKUP($F11,'개량사업비 산정기준'!$A$5:$I$23,2,FALSE)/1000,0),"")</f>
        <v/>
      </c>
      <c r="AE11" s="61"/>
      <c r="AF11" s="61" t="str">
        <f>IF(Q11="개량",ROUND(VLOOKUP($F11,'개량사업비 산정기준'!$A$5:$I$23,6,FALSE)/1000,0),"")</f>
        <v/>
      </c>
      <c r="AG11" s="61" t="str">
        <f>IF(R11="개량",ROUND(VLOOKUP($F11,'개량사업비 산정기준'!$A$5:$I$23,7,FALSE)/1000,0),"")</f>
        <v/>
      </c>
      <c r="AH11" s="61" t="str">
        <f>IF(S11="개량",ROUND(((AB11*'개량사업비 산정기준'!$B$34)+(AC11*'개량사업비 산정기준'!$C$34))/1000000,0),"")</f>
        <v/>
      </c>
      <c r="AI11" s="61"/>
      <c r="AJ11" s="61">
        <f>IF($AA11="D",ROUND('개량사업비 산정기준'!$F$56/1000,0),IF($AA11="E",ROUND('개량사업비 산정기준'!$F$56/1000,0),""))</f>
        <v>48</v>
      </c>
      <c r="AK11" s="61">
        <f t="shared" si="15"/>
        <v>48</v>
      </c>
      <c r="AL11" s="61">
        <v>2</v>
      </c>
      <c r="AM11" s="61">
        <f t="shared" si="16"/>
        <v>0</v>
      </c>
      <c r="AN11" s="61">
        <f t="shared" si="17"/>
        <v>48</v>
      </c>
      <c r="AO11" s="61">
        <f t="shared" si="18"/>
        <v>0</v>
      </c>
      <c r="AP11" s="61">
        <f t="shared" si="19"/>
        <v>0</v>
      </c>
      <c r="AQ11" s="49"/>
    </row>
    <row r="12" spans="1:43" ht="20.100000000000001" customHeight="1">
      <c r="A12" s="49" t="s">
        <v>446</v>
      </c>
      <c r="B12" s="49">
        <v>6</v>
      </c>
      <c r="C12" s="56" t="s">
        <v>148</v>
      </c>
      <c r="D12" s="56" t="s">
        <v>450</v>
      </c>
      <c r="E12" s="56" t="s">
        <v>147</v>
      </c>
      <c r="F12" s="49">
        <f>VLOOKUP(C12,'[1]논산시 마을상수도'!$E$5:$K$171,6,FALSE)</f>
        <v>70</v>
      </c>
      <c r="G12" s="49">
        <f>VLOOKUP(C12,'[1]논산시 마을상수도'!$E$5:$K$171,3,FALSE)</f>
        <v>2000</v>
      </c>
      <c r="H12" s="49">
        <f>VLOOKUP($C12,'[1]논산시 마을상수도'!$E$5:$K$171,4,FALSE)</f>
        <v>34</v>
      </c>
      <c r="I12" s="49" t="str">
        <f>VLOOKUP($E12,'[2]마을_소규모 인접거리'!$D$8:$P$167,8,FALSE)</f>
        <v>2010</v>
      </c>
      <c r="J12" s="49"/>
      <c r="K12" s="49">
        <f>VLOOKUP($E12,'[2]마을_소규모 인접거리'!$D$8:$P$167,12,FALSE)</f>
        <v>2000</v>
      </c>
      <c r="L12" s="49">
        <f t="shared" si="9"/>
        <v>2000</v>
      </c>
      <c r="M12" s="49">
        <v>2000</v>
      </c>
      <c r="N12" s="49">
        <v>2020</v>
      </c>
      <c r="O12" s="49" t="str">
        <f t="shared" si="10"/>
        <v/>
      </c>
      <c r="P12" s="49"/>
      <c r="Q12" s="49" t="str">
        <f t="shared" si="11"/>
        <v/>
      </c>
      <c r="R12" s="49" t="str">
        <f t="shared" si="12"/>
        <v/>
      </c>
      <c r="S12" s="49" t="str">
        <f t="shared" si="13"/>
        <v/>
      </c>
      <c r="T12" s="49" t="str">
        <f t="shared" si="4"/>
        <v/>
      </c>
      <c r="U12" s="49" t="str">
        <f t="shared" si="5"/>
        <v/>
      </c>
      <c r="V12" s="49" t="str">
        <f t="shared" si="6"/>
        <v/>
      </c>
      <c r="W12" s="49" t="str">
        <f t="shared" si="7"/>
        <v/>
      </c>
      <c r="X12" s="49" t="str">
        <f t="shared" si="8"/>
        <v/>
      </c>
      <c r="Y12" s="49"/>
      <c r="Z12" s="49" t="s">
        <v>114</v>
      </c>
      <c r="AA12" s="49" t="str">
        <f t="shared" si="14"/>
        <v>F</v>
      </c>
      <c r="AB12" s="61"/>
      <c r="AC12" s="61"/>
      <c r="AD12" s="61" t="str">
        <f>IF(O12="개량",ROUND(VLOOKUP($F12,'개량사업비 산정기준'!$A$5:$I$23,2,FALSE)/1000,0),"")</f>
        <v/>
      </c>
      <c r="AE12" s="61"/>
      <c r="AF12" s="61" t="str">
        <f>IF(Q12="개량",ROUND(VLOOKUP($F12,'개량사업비 산정기준'!$A$5:$I$23,6,FALSE)/1000,0),"")</f>
        <v/>
      </c>
      <c r="AG12" s="61" t="str">
        <f>IF(R12="개량",ROUND(VLOOKUP($F12,'개량사업비 산정기준'!$A$5:$I$23,7,FALSE)/1000,0),"")</f>
        <v/>
      </c>
      <c r="AH12" s="61" t="str">
        <f>IF(S12="개량",ROUND(((AB12*'개량사업비 산정기준'!$B$34)+(AC12*'개량사업비 산정기준'!$C$34))/1000000,0),"")</f>
        <v/>
      </c>
      <c r="AI12" s="61"/>
      <c r="AJ12" s="61" t="str">
        <f>IF($AA12="D",ROUND('개량사업비 산정기준'!$F$56/1000,0),IF($AA12="E",ROUND('개량사업비 산정기준'!$F$56/1000,0),""))</f>
        <v/>
      </c>
      <c r="AK12" s="61">
        <f t="shared" si="15"/>
        <v>0</v>
      </c>
      <c r="AL12" s="61"/>
      <c r="AM12" s="61">
        <f t="shared" si="16"/>
        <v>0</v>
      </c>
      <c r="AN12" s="61">
        <f t="shared" si="17"/>
        <v>0</v>
      </c>
      <c r="AO12" s="61">
        <f t="shared" si="18"/>
        <v>0</v>
      </c>
      <c r="AP12" s="61">
        <f t="shared" si="19"/>
        <v>0</v>
      </c>
      <c r="AQ12" s="49"/>
    </row>
    <row r="13" spans="1:43" ht="20.100000000000001" customHeight="1">
      <c r="A13" s="49" t="s">
        <v>446</v>
      </c>
      <c r="B13" s="49">
        <v>7</v>
      </c>
      <c r="C13" s="56" t="s">
        <v>150</v>
      </c>
      <c r="D13" s="56" t="s">
        <v>450</v>
      </c>
      <c r="E13" s="56" t="s">
        <v>149</v>
      </c>
      <c r="F13" s="49">
        <f>VLOOKUP(C13,'[1]논산시 마을상수도'!$E$5:$K$171,6,FALSE)</f>
        <v>80</v>
      </c>
      <c r="G13" s="49">
        <f>VLOOKUP(C13,'[1]논산시 마을상수도'!$E$5:$K$171,3,FALSE)</f>
        <v>2003</v>
      </c>
      <c r="H13" s="49">
        <f>VLOOKUP($C13,'[1]논산시 마을상수도'!$E$5:$K$171,4,FALSE)</f>
        <v>59</v>
      </c>
      <c r="I13" s="49">
        <f>VLOOKUP($E13,'[2]마을_소규모 인접거리'!$D$8:$P$167,8,FALSE)</f>
        <v>2003</v>
      </c>
      <c r="J13" s="49"/>
      <c r="K13" s="49">
        <f>VLOOKUP($E13,'[2]마을_소규모 인접거리'!$D$8:$P$167,12,FALSE)</f>
        <v>2003</v>
      </c>
      <c r="L13" s="49">
        <f t="shared" si="9"/>
        <v>2003</v>
      </c>
      <c r="M13" s="49">
        <v>2003</v>
      </c>
      <c r="N13" s="49">
        <v>2020</v>
      </c>
      <c r="O13" s="49" t="str">
        <f t="shared" si="10"/>
        <v/>
      </c>
      <c r="P13" s="49"/>
      <c r="Q13" s="49" t="str">
        <f t="shared" si="11"/>
        <v/>
      </c>
      <c r="R13" s="49" t="str">
        <f t="shared" si="12"/>
        <v/>
      </c>
      <c r="S13" s="49" t="str">
        <f t="shared" si="13"/>
        <v/>
      </c>
      <c r="T13" s="49" t="str">
        <f t="shared" si="4"/>
        <v/>
      </c>
      <c r="U13" s="49" t="str">
        <f t="shared" si="5"/>
        <v/>
      </c>
      <c r="V13" s="49" t="str">
        <f t="shared" si="6"/>
        <v/>
      </c>
      <c r="W13" s="49" t="str">
        <f t="shared" si="7"/>
        <v/>
      </c>
      <c r="X13" s="49" t="str">
        <f t="shared" si="8"/>
        <v/>
      </c>
      <c r="Y13" s="49"/>
      <c r="Z13" s="49" t="s">
        <v>114</v>
      </c>
      <c r="AA13" s="49" t="str">
        <f t="shared" si="14"/>
        <v>F</v>
      </c>
      <c r="AB13" s="61"/>
      <c r="AC13" s="61"/>
      <c r="AD13" s="61" t="str">
        <f>IF(O13="개량",ROUND(VLOOKUP($F13,'개량사업비 산정기준'!$A$5:$I$23,2,FALSE)/1000,0),"")</f>
        <v/>
      </c>
      <c r="AE13" s="61"/>
      <c r="AF13" s="61" t="str">
        <f>IF(Q13="개량",ROUND(VLOOKUP($F13,'개량사업비 산정기준'!$A$5:$I$23,6,FALSE)/1000,0),"")</f>
        <v/>
      </c>
      <c r="AG13" s="61" t="str">
        <f>IF(R13="개량",ROUND(VLOOKUP($F13,'개량사업비 산정기준'!$A$5:$I$23,7,FALSE)/1000,0),"")</f>
        <v/>
      </c>
      <c r="AH13" s="61" t="str">
        <f>IF(S13="개량",ROUND(((AB13*'개량사업비 산정기준'!$B$34)+(AC13*'개량사업비 산정기준'!$C$34))/1000000,0),"")</f>
        <v/>
      </c>
      <c r="AI13" s="61"/>
      <c r="AJ13" s="61" t="str">
        <f>IF($AA13="D",ROUND('개량사업비 산정기준'!$F$56/1000,0),IF($AA13="E",ROUND('개량사업비 산정기준'!$F$56/1000,0),""))</f>
        <v/>
      </c>
      <c r="AK13" s="61">
        <f t="shared" si="15"/>
        <v>0</v>
      </c>
      <c r="AL13" s="61"/>
      <c r="AM13" s="61">
        <f t="shared" si="16"/>
        <v>0</v>
      </c>
      <c r="AN13" s="61">
        <f t="shared" si="17"/>
        <v>0</v>
      </c>
      <c r="AO13" s="61">
        <f t="shared" si="18"/>
        <v>0</v>
      </c>
      <c r="AP13" s="61">
        <f t="shared" si="19"/>
        <v>0</v>
      </c>
      <c r="AQ13" s="49"/>
    </row>
    <row r="14" spans="1:43" ht="20.100000000000001" customHeight="1">
      <c r="A14" s="49" t="s">
        <v>446</v>
      </c>
      <c r="B14" s="49">
        <v>8</v>
      </c>
      <c r="C14" s="56" t="s">
        <v>151</v>
      </c>
      <c r="D14" s="56" t="s">
        <v>450</v>
      </c>
      <c r="E14" s="56" t="s">
        <v>4</v>
      </c>
      <c r="F14" s="49">
        <f>VLOOKUP(C14,'[1]논산시 마을상수도'!$E$5:$K$171,6,FALSE)</f>
        <v>120</v>
      </c>
      <c r="G14" s="49">
        <f>VLOOKUP(C14,'[1]논산시 마을상수도'!$E$5:$K$171,3,FALSE)</f>
        <v>2005</v>
      </c>
      <c r="H14" s="49">
        <f>VLOOKUP($C14,'[1]논산시 마을상수도'!$E$5:$K$171,4,FALSE)</f>
        <v>58</v>
      </c>
      <c r="I14" s="49" t="str">
        <f>VLOOKUP($E14,'[2]마을_소규모 인접거리'!$D$8:$P$167,8,FALSE)</f>
        <v>2007</v>
      </c>
      <c r="J14" s="49"/>
      <c r="K14" s="49">
        <f>VLOOKUP($E14,'[2]마을_소규모 인접거리'!$D$8:$P$167,12,FALSE)</f>
        <v>2005</v>
      </c>
      <c r="L14" s="49">
        <f t="shared" si="9"/>
        <v>2005</v>
      </c>
      <c r="M14" s="49">
        <v>2005</v>
      </c>
      <c r="N14" s="49">
        <v>2020</v>
      </c>
      <c r="O14" s="49" t="str">
        <f t="shared" si="10"/>
        <v/>
      </c>
      <c r="P14" s="49"/>
      <c r="Q14" s="49" t="str">
        <f t="shared" si="11"/>
        <v/>
      </c>
      <c r="R14" s="49" t="str">
        <f t="shared" si="12"/>
        <v/>
      </c>
      <c r="S14" s="49" t="str">
        <f t="shared" si="13"/>
        <v/>
      </c>
      <c r="T14" s="49" t="str">
        <f t="shared" si="4"/>
        <v/>
      </c>
      <c r="U14" s="49" t="str">
        <f t="shared" si="5"/>
        <v/>
      </c>
      <c r="V14" s="49" t="str">
        <f t="shared" si="6"/>
        <v/>
      </c>
      <c r="W14" s="49" t="str">
        <f t="shared" si="7"/>
        <v/>
      </c>
      <c r="X14" s="49" t="str">
        <f t="shared" si="8"/>
        <v/>
      </c>
      <c r="Y14" s="49"/>
      <c r="Z14" s="49" t="s">
        <v>114</v>
      </c>
      <c r="AA14" s="49" t="str">
        <f t="shared" si="14"/>
        <v>F</v>
      </c>
      <c r="AB14" s="61"/>
      <c r="AC14" s="61"/>
      <c r="AD14" s="61" t="str">
        <f>IF(O14="개량",ROUND(VLOOKUP($F14,'개량사업비 산정기준'!$A$5:$I$23,2,FALSE)/1000,0),"")</f>
        <v/>
      </c>
      <c r="AE14" s="61"/>
      <c r="AF14" s="61" t="str">
        <f>IF(Q14="개량",ROUND(VLOOKUP($F14,'개량사업비 산정기준'!$A$5:$I$23,6,FALSE)/1000,0),"")</f>
        <v/>
      </c>
      <c r="AG14" s="61" t="str">
        <f>IF(R14="개량",ROUND(VLOOKUP($F14,'개량사업비 산정기준'!$A$5:$I$23,7,FALSE)/1000,0),"")</f>
        <v/>
      </c>
      <c r="AH14" s="61" t="str">
        <f>IF(S14="개량",ROUND(((AB14*'개량사업비 산정기준'!$B$34)+(AC14*'개량사업비 산정기준'!$C$34))/1000000,0),"")</f>
        <v/>
      </c>
      <c r="AI14" s="61"/>
      <c r="AJ14" s="61" t="str">
        <f>IF($AA14="D",ROUND('개량사업비 산정기준'!$F$56/1000,0),IF($AA14="E",ROUND('개량사업비 산정기준'!$F$56/1000,0),""))</f>
        <v/>
      </c>
      <c r="AK14" s="61">
        <f t="shared" si="15"/>
        <v>0</v>
      </c>
      <c r="AL14" s="61"/>
      <c r="AM14" s="61">
        <f t="shared" si="16"/>
        <v>0</v>
      </c>
      <c r="AN14" s="61">
        <f t="shared" si="17"/>
        <v>0</v>
      </c>
      <c r="AO14" s="61">
        <f t="shared" si="18"/>
        <v>0</v>
      </c>
      <c r="AP14" s="61">
        <f t="shared" si="19"/>
        <v>0</v>
      </c>
      <c r="AQ14" s="49"/>
    </row>
    <row r="15" spans="1:43" ht="20.100000000000001" customHeight="1">
      <c r="A15" s="49" t="s">
        <v>446</v>
      </c>
      <c r="B15" s="49">
        <v>9</v>
      </c>
      <c r="C15" s="56" t="s">
        <v>152</v>
      </c>
      <c r="D15" s="56" t="s">
        <v>450</v>
      </c>
      <c r="E15" s="56" t="s">
        <v>5</v>
      </c>
      <c r="F15" s="49">
        <f>VLOOKUP(C15,'[1]논산시 마을상수도'!$E$5:$K$171,6,FALSE)</f>
        <v>60</v>
      </c>
      <c r="G15" s="49">
        <f>VLOOKUP(C15,'[1]논산시 마을상수도'!$E$5:$K$171,3,FALSE)</f>
        <v>2006</v>
      </c>
      <c r="H15" s="49">
        <f>VLOOKUP($C15,'[1]논산시 마을상수도'!$E$5:$K$171,4,FALSE)</f>
        <v>44</v>
      </c>
      <c r="I15" s="49">
        <f>VLOOKUP($E15,'[2]마을_소규모 인접거리'!$D$8:$P$167,8,FALSE)</f>
        <v>2006</v>
      </c>
      <c r="J15" s="49"/>
      <c r="K15" s="49">
        <f>VLOOKUP($E15,'[2]마을_소규모 인접거리'!$D$8:$P$167,12,FALSE)</f>
        <v>2006</v>
      </c>
      <c r="L15" s="49">
        <f t="shared" si="9"/>
        <v>2006</v>
      </c>
      <c r="M15" s="49">
        <v>2006</v>
      </c>
      <c r="N15" s="49">
        <v>2020</v>
      </c>
      <c r="O15" s="49" t="str">
        <f t="shared" si="10"/>
        <v/>
      </c>
      <c r="P15" s="49"/>
      <c r="Q15" s="49" t="str">
        <f t="shared" si="11"/>
        <v/>
      </c>
      <c r="R15" s="49" t="str">
        <f t="shared" si="12"/>
        <v/>
      </c>
      <c r="S15" s="49" t="str">
        <f t="shared" si="13"/>
        <v/>
      </c>
      <c r="T15" s="49" t="str">
        <f t="shared" si="4"/>
        <v/>
      </c>
      <c r="U15" s="49" t="str">
        <f t="shared" si="5"/>
        <v/>
      </c>
      <c r="V15" s="49" t="str">
        <f t="shared" si="6"/>
        <v/>
      </c>
      <c r="W15" s="49" t="str">
        <f t="shared" si="7"/>
        <v/>
      </c>
      <c r="X15" s="49" t="str">
        <f t="shared" si="8"/>
        <v/>
      </c>
      <c r="Y15" s="49"/>
      <c r="Z15" s="49" t="s">
        <v>114</v>
      </c>
      <c r="AA15" s="49" t="str">
        <f t="shared" si="14"/>
        <v>F</v>
      </c>
      <c r="AB15" s="61"/>
      <c r="AC15" s="61"/>
      <c r="AD15" s="61" t="str">
        <f>IF(O15="개량",ROUND(VLOOKUP($F15,'개량사업비 산정기준'!$A$5:$I$23,2,FALSE)/1000,0),"")</f>
        <v/>
      </c>
      <c r="AE15" s="61"/>
      <c r="AF15" s="61" t="str">
        <f>IF(Q15="개량",ROUND(VLOOKUP($F15,'개량사업비 산정기준'!$A$5:$I$23,6,FALSE)/1000,0),"")</f>
        <v/>
      </c>
      <c r="AG15" s="61" t="str">
        <f>IF(R15="개량",ROUND(VLOOKUP($F15,'개량사업비 산정기준'!$A$5:$I$23,7,FALSE)/1000,0),"")</f>
        <v/>
      </c>
      <c r="AH15" s="61" t="str">
        <f>IF(S15="개량",ROUND(((AB15*'개량사업비 산정기준'!$B$34)+(AC15*'개량사업비 산정기준'!$C$34))/1000000,0),"")</f>
        <v/>
      </c>
      <c r="AI15" s="61"/>
      <c r="AJ15" s="61" t="str">
        <f>IF($AA15="D",ROUND('개량사업비 산정기준'!$F$56/1000,0),IF($AA15="E",ROUND('개량사업비 산정기준'!$F$56/1000,0),""))</f>
        <v/>
      </c>
      <c r="AK15" s="61">
        <f t="shared" si="15"/>
        <v>0</v>
      </c>
      <c r="AL15" s="61"/>
      <c r="AM15" s="61">
        <f t="shared" si="16"/>
        <v>0</v>
      </c>
      <c r="AN15" s="61">
        <f t="shared" si="17"/>
        <v>0</v>
      </c>
      <c r="AO15" s="61">
        <f t="shared" si="18"/>
        <v>0</v>
      </c>
      <c r="AP15" s="61">
        <f t="shared" si="19"/>
        <v>0</v>
      </c>
      <c r="AQ15" s="49"/>
    </row>
    <row r="16" spans="1:43" ht="20.100000000000001" customHeight="1">
      <c r="A16" s="49" t="s">
        <v>446</v>
      </c>
      <c r="B16" s="49">
        <v>10</v>
      </c>
      <c r="C16" s="56" t="s">
        <v>153</v>
      </c>
      <c r="D16" s="56" t="s">
        <v>450</v>
      </c>
      <c r="E16" s="56" t="s">
        <v>6</v>
      </c>
      <c r="F16" s="49">
        <f>VLOOKUP(C16,'[1]논산시 마을상수도'!$E$5:$K$171,6,FALSE)</f>
        <v>80</v>
      </c>
      <c r="G16" s="49">
        <f>VLOOKUP(C16,'[1]논산시 마을상수도'!$E$5:$K$171,3,FALSE)</f>
        <v>2007</v>
      </c>
      <c r="H16" s="49">
        <f>VLOOKUP($C16,'[1]논산시 마을상수도'!$E$5:$K$171,4,FALSE)</f>
        <v>37</v>
      </c>
      <c r="I16" s="49">
        <f>VLOOKUP($E16,'[2]마을_소규모 인접거리'!$D$8:$P$167,8,FALSE)</f>
        <v>2007</v>
      </c>
      <c r="J16" s="49"/>
      <c r="K16" s="49">
        <f>VLOOKUP($E16,'[2]마을_소규모 인접거리'!$D$8:$P$167,12,FALSE)</f>
        <v>2007</v>
      </c>
      <c r="L16" s="49">
        <f t="shared" si="9"/>
        <v>2007</v>
      </c>
      <c r="M16" s="49">
        <v>2007</v>
      </c>
      <c r="N16" s="49">
        <v>2020</v>
      </c>
      <c r="O16" s="49" t="str">
        <f t="shared" si="10"/>
        <v/>
      </c>
      <c r="P16" s="49"/>
      <c r="Q16" s="49" t="str">
        <f t="shared" si="11"/>
        <v/>
      </c>
      <c r="R16" s="49" t="str">
        <f t="shared" si="12"/>
        <v/>
      </c>
      <c r="S16" s="49" t="str">
        <f t="shared" si="13"/>
        <v/>
      </c>
      <c r="T16" s="49" t="str">
        <f t="shared" si="4"/>
        <v/>
      </c>
      <c r="U16" s="49" t="str">
        <f t="shared" si="5"/>
        <v/>
      </c>
      <c r="V16" s="49" t="str">
        <f t="shared" si="6"/>
        <v/>
      </c>
      <c r="W16" s="49" t="str">
        <f t="shared" si="7"/>
        <v/>
      </c>
      <c r="X16" s="49" t="str">
        <f t="shared" si="8"/>
        <v/>
      </c>
      <c r="Y16" s="49"/>
      <c r="Z16" s="49" t="s">
        <v>114</v>
      </c>
      <c r="AA16" s="49" t="str">
        <f t="shared" si="14"/>
        <v>F</v>
      </c>
      <c r="AB16" s="61"/>
      <c r="AC16" s="61"/>
      <c r="AD16" s="61" t="str">
        <f>IF(O16="개량",ROUND(VLOOKUP($F16,'개량사업비 산정기준'!$A$5:$I$23,2,FALSE)/1000,0),"")</f>
        <v/>
      </c>
      <c r="AE16" s="61"/>
      <c r="AF16" s="61" t="str">
        <f>IF(Q16="개량",ROUND(VLOOKUP($F16,'개량사업비 산정기준'!$A$5:$I$23,6,FALSE)/1000,0),"")</f>
        <v/>
      </c>
      <c r="AG16" s="61" t="str">
        <f>IF(R16="개량",ROUND(VLOOKUP($F16,'개량사업비 산정기준'!$A$5:$I$23,7,FALSE)/1000,0),"")</f>
        <v/>
      </c>
      <c r="AH16" s="61" t="str">
        <f>IF(S16="개량",ROUND(((AB16*'개량사업비 산정기준'!$B$34)+(AC16*'개량사업비 산정기준'!$C$34))/1000000,0),"")</f>
        <v/>
      </c>
      <c r="AI16" s="61"/>
      <c r="AJ16" s="61" t="str">
        <f>IF($AA16="D",ROUND('개량사업비 산정기준'!$F$56/1000,0),IF($AA16="E",ROUND('개량사업비 산정기준'!$F$56/1000,0),""))</f>
        <v/>
      </c>
      <c r="AK16" s="61">
        <f t="shared" si="15"/>
        <v>0</v>
      </c>
      <c r="AL16" s="61"/>
      <c r="AM16" s="61">
        <f t="shared" si="16"/>
        <v>0</v>
      </c>
      <c r="AN16" s="61">
        <f t="shared" si="17"/>
        <v>0</v>
      </c>
      <c r="AO16" s="61">
        <f t="shared" si="18"/>
        <v>0</v>
      </c>
      <c r="AP16" s="61">
        <f t="shared" si="19"/>
        <v>0</v>
      </c>
      <c r="AQ16" s="49"/>
    </row>
    <row r="17" spans="1:43" ht="20.100000000000001" customHeight="1">
      <c r="A17" s="49" t="s">
        <v>446</v>
      </c>
      <c r="B17" s="49">
        <v>11</v>
      </c>
      <c r="C17" s="56" t="s">
        <v>154</v>
      </c>
      <c r="D17" s="56" t="s">
        <v>450</v>
      </c>
      <c r="E17" s="56" t="s">
        <v>7</v>
      </c>
      <c r="F17" s="49">
        <f>VLOOKUP(C17,'[1]논산시 마을상수도'!$E$5:$K$171,6,FALSE)</f>
        <v>130</v>
      </c>
      <c r="G17" s="49">
        <f>VLOOKUP(C17,'[1]논산시 마을상수도'!$E$5:$K$171,3,FALSE)</f>
        <v>2008</v>
      </c>
      <c r="H17" s="49">
        <f>VLOOKUP($C17,'[1]논산시 마을상수도'!$E$5:$K$171,4,FALSE)</f>
        <v>73</v>
      </c>
      <c r="I17" s="49">
        <f>VLOOKUP($E17,'[2]마을_소규모 인접거리'!$D$8:$P$167,8,FALSE)</f>
        <v>2008</v>
      </c>
      <c r="J17" s="49"/>
      <c r="K17" s="49">
        <f>VLOOKUP($E17,'[2]마을_소규모 인접거리'!$D$8:$P$167,12,FALSE)</f>
        <v>2008</v>
      </c>
      <c r="L17" s="49">
        <f t="shared" si="9"/>
        <v>2008</v>
      </c>
      <c r="M17" s="49">
        <v>2008</v>
      </c>
      <c r="N17" s="49">
        <v>2020</v>
      </c>
      <c r="O17" s="49" t="str">
        <f t="shared" si="10"/>
        <v/>
      </c>
      <c r="P17" s="49"/>
      <c r="Q17" s="49" t="str">
        <f t="shared" si="11"/>
        <v/>
      </c>
      <c r="R17" s="49" t="str">
        <f t="shared" si="12"/>
        <v/>
      </c>
      <c r="S17" s="49" t="str">
        <f t="shared" si="13"/>
        <v/>
      </c>
      <c r="T17" s="49" t="str">
        <f t="shared" si="4"/>
        <v/>
      </c>
      <c r="U17" s="49" t="str">
        <f t="shared" si="5"/>
        <v/>
      </c>
      <c r="V17" s="49" t="str">
        <f t="shared" si="6"/>
        <v/>
      </c>
      <c r="W17" s="49" t="str">
        <f t="shared" si="7"/>
        <v/>
      </c>
      <c r="X17" s="49" t="str">
        <f t="shared" si="8"/>
        <v/>
      </c>
      <c r="Y17" s="49"/>
      <c r="Z17" s="49" t="s">
        <v>114</v>
      </c>
      <c r="AA17" s="49" t="str">
        <f t="shared" si="14"/>
        <v>F</v>
      </c>
      <c r="AB17" s="61"/>
      <c r="AC17" s="61"/>
      <c r="AD17" s="61" t="str">
        <f>IF(O17="개량",ROUND(VLOOKUP($F17,'개량사업비 산정기준'!$A$5:$I$23,2,FALSE)/1000,0),"")</f>
        <v/>
      </c>
      <c r="AE17" s="61"/>
      <c r="AF17" s="61" t="str">
        <f>IF(Q17="개량",ROUND(VLOOKUP($F17,'개량사업비 산정기준'!$A$5:$I$23,6,FALSE)/1000,0),"")</f>
        <v/>
      </c>
      <c r="AG17" s="61" t="str">
        <f>IF(R17="개량",ROUND(VLOOKUP($F17,'개량사업비 산정기준'!$A$5:$I$23,7,FALSE)/1000,0),"")</f>
        <v/>
      </c>
      <c r="AH17" s="61" t="str">
        <f>IF(S17="개량",ROUND(((AB17*'개량사업비 산정기준'!$B$34)+(AC17*'개량사업비 산정기준'!$C$34))/1000000,0),"")</f>
        <v/>
      </c>
      <c r="AI17" s="61"/>
      <c r="AJ17" s="61" t="str">
        <f>IF($AA17="D",ROUND('개량사업비 산정기준'!$F$56/1000,0),IF($AA17="E",ROUND('개량사업비 산정기준'!$F$56/1000,0),""))</f>
        <v/>
      </c>
      <c r="AK17" s="61">
        <f t="shared" si="15"/>
        <v>0</v>
      </c>
      <c r="AL17" s="61"/>
      <c r="AM17" s="61">
        <f t="shared" si="16"/>
        <v>0</v>
      </c>
      <c r="AN17" s="61">
        <f t="shared" si="17"/>
        <v>0</v>
      </c>
      <c r="AO17" s="61">
        <f t="shared" si="18"/>
        <v>0</v>
      </c>
      <c r="AP17" s="61">
        <f t="shared" si="19"/>
        <v>0</v>
      </c>
      <c r="AQ17" s="49"/>
    </row>
    <row r="18" spans="1:43" ht="20.100000000000001" customHeight="1">
      <c r="A18" s="49" t="s">
        <v>446</v>
      </c>
      <c r="B18" s="49">
        <v>12</v>
      </c>
      <c r="C18" s="56" t="s">
        <v>156</v>
      </c>
      <c r="D18" s="56" t="s">
        <v>450</v>
      </c>
      <c r="E18" s="56" t="s">
        <v>155</v>
      </c>
      <c r="F18" s="49">
        <f>VLOOKUP(C18,'[1]논산시 마을상수도'!$E$5:$K$171,6,FALSE)</f>
        <v>70</v>
      </c>
      <c r="G18" s="49">
        <f>VLOOKUP(C18,'[1]논산시 마을상수도'!$E$5:$K$171,3,FALSE)</f>
        <v>1995</v>
      </c>
      <c r="H18" s="49">
        <f>VLOOKUP($C18,'[1]논산시 마을상수도'!$E$5:$K$171,4,FALSE)</f>
        <v>52</v>
      </c>
      <c r="I18" s="49">
        <v>2005</v>
      </c>
      <c r="J18" s="49"/>
      <c r="K18" s="49">
        <v>2005</v>
      </c>
      <c r="L18" s="49">
        <f t="shared" si="9"/>
        <v>2005</v>
      </c>
      <c r="M18" s="49">
        <v>2005</v>
      </c>
      <c r="N18" s="49">
        <v>2020</v>
      </c>
      <c r="O18" s="49" t="str">
        <f t="shared" si="10"/>
        <v/>
      </c>
      <c r="P18" s="49"/>
      <c r="Q18" s="49" t="str">
        <f t="shared" si="11"/>
        <v/>
      </c>
      <c r="R18" s="49" t="str">
        <f t="shared" si="12"/>
        <v/>
      </c>
      <c r="S18" s="49" t="str">
        <f t="shared" si="13"/>
        <v/>
      </c>
      <c r="T18" s="49" t="str">
        <f t="shared" si="4"/>
        <v/>
      </c>
      <c r="U18" s="49" t="str">
        <f t="shared" si="5"/>
        <v/>
      </c>
      <c r="V18" s="49" t="str">
        <f t="shared" si="6"/>
        <v/>
      </c>
      <c r="W18" s="49" t="str">
        <f t="shared" si="7"/>
        <v/>
      </c>
      <c r="X18" s="49" t="str">
        <f t="shared" si="8"/>
        <v/>
      </c>
      <c r="Y18" s="49"/>
      <c r="Z18" s="49" t="s">
        <v>114</v>
      </c>
      <c r="AA18" s="49" t="str">
        <f t="shared" si="14"/>
        <v>F</v>
      </c>
      <c r="AB18" s="61"/>
      <c r="AC18" s="61"/>
      <c r="AD18" s="61" t="str">
        <f>IF(O18="개량",ROUND(VLOOKUP($F18,'개량사업비 산정기준'!$A$5:$I$23,2,FALSE)/1000,0),"")</f>
        <v/>
      </c>
      <c r="AE18" s="61"/>
      <c r="AF18" s="61" t="str">
        <f>IF(Q18="개량",ROUND(VLOOKUP($F18,'개량사업비 산정기준'!$A$5:$I$23,6,FALSE)/1000,0),"")</f>
        <v/>
      </c>
      <c r="AG18" s="61" t="str">
        <f>IF(R18="개량",ROUND(VLOOKUP($F18,'개량사업비 산정기준'!$A$5:$I$23,7,FALSE)/1000,0),"")</f>
        <v/>
      </c>
      <c r="AH18" s="61" t="str">
        <f>IF(S18="개량",ROUND(((AB18*'개량사업비 산정기준'!$B$34)+(AC18*'개량사업비 산정기준'!$C$34))/1000000,0),"")</f>
        <v/>
      </c>
      <c r="AI18" s="61"/>
      <c r="AJ18" s="61" t="str">
        <f>IF($AA18="D",ROUND('개량사업비 산정기준'!$F$56/1000,0),IF($AA18="E",ROUND('개량사업비 산정기준'!$F$56/1000,0),""))</f>
        <v/>
      </c>
      <c r="AK18" s="61">
        <f t="shared" si="15"/>
        <v>0</v>
      </c>
      <c r="AL18" s="61"/>
      <c r="AM18" s="61">
        <f t="shared" si="16"/>
        <v>0</v>
      </c>
      <c r="AN18" s="61">
        <f t="shared" si="17"/>
        <v>0</v>
      </c>
      <c r="AO18" s="61">
        <f t="shared" si="18"/>
        <v>0</v>
      </c>
      <c r="AP18" s="61">
        <f t="shared" si="19"/>
        <v>0</v>
      </c>
      <c r="AQ18" s="49"/>
    </row>
    <row r="19" spans="1:43" ht="20.100000000000001" customHeight="1">
      <c r="A19" s="49" t="s">
        <v>446</v>
      </c>
      <c r="B19" s="49">
        <v>13</v>
      </c>
      <c r="C19" s="57" t="s">
        <v>159</v>
      </c>
      <c r="D19" s="57" t="s">
        <v>451</v>
      </c>
      <c r="E19" s="56" t="s">
        <v>158</v>
      </c>
      <c r="F19" s="49">
        <f>VLOOKUP(C19,'[1]논산시 마을상수도'!$E$5:$K$171,6,FALSE)</f>
        <v>140</v>
      </c>
      <c r="G19" s="49">
        <f>VLOOKUP(C19,'[1]논산시 마을상수도'!$E$5:$K$171,3,FALSE)</f>
        <v>2000</v>
      </c>
      <c r="H19" s="49">
        <f>VLOOKUP($C19,'[1]논산시 마을상수도'!$E$5:$K$171,4,FALSE)</f>
        <v>76</v>
      </c>
      <c r="I19" s="49">
        <f>VLOOKUP($E19,'[2]마을_소규모 인접거리'!$D$8:$P$167,8,FALSE)</f>
        <v>2000</v>
      </c>
      <c r="J19" s="49"/>
      <c r="K19" s="49">
        <f>VLOOKUP($E19,'[2]마을_소규모 인접거리'!$D$8:$P$167,12,FALSE)</f>
        <v>2000</v>
      </c>
      <c r="L19" s="49">
        <f t="shared" si="9"/>
        <v>2000</v>
      </c>
      <c r="M19" s="49">
        <v>2000</v>
      </c>
      <c r="N19" s="49">
        <v>2020</v>
      </c>
      <c r="O19" s="49" t="str">
        <f t="shared" si="10"/>
        <v/>
      </c>
      <c r="P19" s="49"/>
      <c r="Q19" s="49" t="str">
        <f t="shared" si="11"/>
        <v/>
      </c>
      <c r="R19" s="49" t="str">
        <f t="shared" si="12"/>
        <v/>
      </c>
      <c r="S19" s="49" t="str">
        <f t="shared" si="13"/>
        <v/>
      </c>
      <c r="T19" s="49" t="str">
        <f t="shared" si="4"/>
        <v/>
      </c>
      <c r="U19" s="49" t="str">
        <f t="shared" si="5"/>
        <v/>
      </c>
      <c r="V19" s="49" t="str">
        <f t="shared" si="6"/>
        <v/>
      </c>
      <c r="W19" s="49" t="str">
        <f t="shared" si="7"/>
        <v/>
      </c>
      <c r="X19" s="49" t="str">
        <f t="shared" si="8"/>
        <v/>
      </c>
      <c r="Y19" s="49"/>
      <c r="Z19" s="49" t="s">
        <v>114</v>
      </c>
      <c r="AA19" s="49" t="str">
        <f t="shared" si="14"/>
        <v>F</v>
      </c>
      <c r="AB19" s="61"/>
      <c r="AC19" s="61"/>
      <c r="AD19" s="61" t="str">
        <f>IF(O19="개량",ROUND(VLOOKUP($F19,'개량사업비 산정기준'!$A$5:$I$23,2,FALSE)/1000,0),"")</f>
        <v/>
      </c>
      <c r="AE19" s="61"/>
      <c r="AF19" s="61" t="str">
        <f>IF(Q19="개량",ROUND(VLOOKUP($F19,'개량사업비 산정기준'!$A$5:$I$23,6,FALSE)/1000,0),"")</f>
        <v/>
      </c>
      <c r="AG19" s="61" t="str">
        <f>IF(R19="개량",ROUND(VLOOKUP($F19,'개량사업비 산정기준'!$A$5:$I$23,7,FALSE)/1000,0),"")</f>
        <v/>
      </c>
      <c r="AH19" s="61" t="str">
        <f>IF(S19="개량",ROUND(((AB19*'개량사업비 산정기준'!$B$34)+(AC19*'개량사업비 산정기준'!$C$34))/1000000,0),"")</f>
        <v/>
      </c>
      <c r="AI19" s="61"/>
      <c r="AJ19" s="61" t="str">
        <f>IF($AA19="D",ROUND('개량사업비 산정기준'!$F$56/1000,0),IF($AA19="E",ROUND('개량사업비 산정기준'!$F$56/1000,0),""))</f>
        <v/>
      </c>
      <c r="AK19" s="61">
        <f t="shared" si="15"/>
        <v>0</v>
      </c>
      <c r="AL19" s="61"/>
      <c r="AM19" s="61">
        <f t="shared" si="16"/>
        <v>0</v>
      </c>
      <c r="AN19" s="61">
        <f t="shared" si="17"/>
        <v>0</v>
      </c>
      <c r="AO19" s="61">
        <f t="shared" si="18"/>
        <v>0</v>
      </c>
      <c r="AP19" s="61">
        <f t="shared" si="19"/>
        <v>0</v>
      </c>
      <c r="AQ19" s="49"/>
    </row>
    <row r="20" spans="1:43" ht="20.100000000000001" customHeight="1">
      <c r="A20" s="49" t="s">
        <v>446</v>
      </c>
      <c r="B20" s="49">
        <v>14</v>
      </c>
      <c r="C20" s="57" t="s">
        <v>161</v>
      </c>
      <c r="D20" s="57" t="s">
        <v>451</v>
      </c>
      <c r="E20" s="56" t="s">
        <v>160</v>
      </c>
      <c r="F20" s="49">
        <f>VLOOKUP(C20,'[1]논산시 마을상수도'!$E$5:$K$171,6,FALSE)</f>
        <v>140</v>
      </c>
      <c r="G20" s="49">
        <f>VLOOKUP(C20,'[1]논산시 마을상수도'!$E$5:$K$171,3,FALSE)</f>
        <v>2001</v>
      </c>
      <c r="H20" s="49">
        <f>VLOOKUP($C20,'[1]논산시 마을상수도'!$E$5:$K$171,4,FALSE)</f>
        <v>84</v>
      </c>
      <c r="I20" s="49">
        <v>2010</v>
      </c>
      <c r="J20" s="49"/>
      <c r="K20" s="49" t="str">
        <f>VLOOKUP($E20,'[2]마을_소규모 인접거리'!$D$8:$P$167,12,FALSE)</f>
        <v>2010</v>
      </c>
      <c r="L20" s="49" t="str">
        <f t="shared" si="9"/>
        <v>2010</v>
      </c>
      <c r="M20" s="49">
        <v>2001</v>
      </c>
      <c r="N20" s="49">
        <v>2020</v>
      </c>
      <c r="O20" s="49" t="str">
        <f t="shared" si="10"/>
        <v/>
      </c>
      <c r="P20" s="49"/>
      <c r="Q20" s="49" t="str">
        <f t="shared" si="11"/>
        <v/>
      </c>
      <c r="R20" s="49" t="str">
        <f t="shared" si="12"/>
        <v/>
      </c>
      <c r="S20" s="49" t="str">
        <f t="shared" si="13"/>
        <v/>
      </c>
      <c r="T20" s="49" t="str">
        <f t="shared" si="4"/>
        <v/>
      </c>
      <c r="U20" s="49" t="str">
        <f t="shared" si="5"/>
        <v/>
      </c>
      <c r="V20" s="49" t="str">
        <f t="shared" si="6"/>
        <v/>
      </c>
      <c r="W20" s="49" t="str">
        <f t="shared" si="7"/>
        <v/>
      </c>
      <c r="X20" s="49" t="str">
        <f t="shared" si="8"/>
        <v/>
      </c>
      <c r="Y20" s="49"/>
      <c r="Z20" s="49" t="s">
        <v>114</v>
      </c>
      <c r="AA20" s="49" t="str">
        <f t="shared" si="14"/>
        <v>F</v>
      </c>
      <c r="AB20" s="61"/>
      <c r="AC20" s="61"/>
      <c r="AD20" s="61" t="str">
        <f>IF(O20="개량",ROUND(VLOOKUP($F20,'개량사업비 산정기준'!$A$5:$I$23,2,FALSE)/1000,0),"")</f>
        <v/>
      </c>
      <c r="AE20" s="61"/>
      <c r="AF20" s="61" t="str">
        <f>IF(Q20="개량",ROUND(VLOOKUP($F20,'개량사업비 산정기준'!$A$5:$I$23,6,FALSE)/1000,0),"")</f>
        <v/>
      </c>
      <c r="AG20" s="61" t="str">
        <f>IF(R20="개량",ROUND(VLOOKUP($F20,'개량사업비 산정기준'!$A$5:$I$23,7,FALSE)/1000,0),"")</f>
        <v/>
      </c>
      <c r="AH20" s="61" t="str">
        <f>IF(S20="개량",ROUND(((AB20*'개량사업비 산정기준'!$B$34)+(AC20*'개량사업비 산정기준'!$C$34))/1000000,0),"")</f>
        <v/>
      </c>
      <c r="AI20" s="61"/>
      <c r="AJ20" s="61" t="str">
        <f>IF($AA20="D",ROUND('개량사업비 산정기준'!$F$56/1000,0),IF($AA20="E",ROUND('개량사업비 산정기준'!$F$56/1000,0),""))</f>
        <v/>
      </c>
      <c r="AK20" s="61">
        <f t="shared" si="15"/>
        <v>0</v>
      </c>
      <c r="AL20" s="61"/>
      <c r="AM20" s="61">
        <f t="shared" si="16"/>
        <v>0</v>
      </c>
      <c r="AN20" s="61">
        <f t="shared" si="17"/>
        <v>0</v>
      </c>
      <c r="AO20" s="61">
        <f t="shared" si="18"/>
        <v>0</v>
      </c>
      <c r="AP20" s="61">
        <f t="shared" si="19"/>
        <v>0</v>
      </c>
      <c r="AQ20" s="49"/>
    </row>
    <row r="21" spans="1:43" ht="20.100000000000001" customHeight="1">
      <c r="A21" s="49" t="s">
        <v>446</v>
      </c>
      <c r="B21" s="49">
        <v>15</v>
      </c>
      <c r="C21" s="57" t="s">
        <v>162</v>
      </c>
      <c r="D21" s="57" t="s">
        <v>451</v>
      </c>
      <c r="E21" s="56" t="s">
        <v>9</v>
      </c>
      <c r="F21" s="49">
        <f>VLOOKUP(C21,'[1]논산시 마을상수도'!$E$5:$K$171,6,FALSE)</f>
        <v>200</v>
      </c>
      <c r="G21" s="49">
        <f>VLOOKUP(C21,'[1]논산시 마을상수도'!$E$5:$K$171,3,FALSE)</f>
        <v>2004</v>
      </c>
      <c r="H21" s="49">
        <f>VLOOKUP($C21,'[1]논산시 마을상수도'!$E$5:$K$171,4,FALSE)</f>
        <v>121</v>
      </c>
      <c r="I21" s="49">
        <f>VLOOKUP($E21,'[2]마을_소규모 인접거리'!$D$8:$P$167,8,FALSE)</f>
        <v>2004</v>
      </c>
      <c r="J21" s="49">
        <v>2004</v>
      </c>
      <c r="K21" s="49">
        <f>VLOOKUP($E21,'[2]마을_소규모 인접거리'!$D$8:$P$167,12,FALSE)</f>
        <v>2004</v>
      </c>
      <c r="L21" s="49">
        <f t="shared" si="9"/>
        <v>2004</v>
      </c>
      <c r="M21" s="49">
        <v>2004</v>
      </c>
      <c r="N21" s="49">
        <v>2020</v>
      </c>
      <c r="O21" s="49" t="str">
        <f t="shared" si="10"/>
        <v/>
      </c>
      <c r="P21" s="49"/>
      <c r="Q21" s="49" t="str">
        <f t="shared" si="11"/>
        <v/>
      </c>
      <c r="R21" s="49" t="str">
        <f t="shared" si="12"/>
        <v/>
      </c>
      <c r="S21" s="49" t="str">
        <f t="shared" si="13"/>
        <v/>
      </c>
      <c r="T21" s="49" t="str">
        <f t="shared" si="4"/>
        <v/>
      </c>
      <c r="U21" s="49" t="str">
        <f t="shared" si="5"/>
        <v/>
      </c>
      <c r="V21" s="49" t="str">
        <f t="shared" si="6"/>
        <v/>
      </c>
      <c r="W21" s="49" t="str">
        <f t="shared" si="7"/>
        <v/>
      </c>
      <c r="X21" s="49" t="str">
        <f t="shared" si="8"/>
        <v/>
      </c>
      <c r="Y21" s="49"/>
      <c r="Z21" s="49" t="s">
        <v>114</v>
      </c>
      <c r="AA21" s="49" t="str">
        <f t="shared" si="14"/>
        <v>F</v>
      </c>
      <c r="AB21" s="61"/>
      <c r="AC21" s="61"/>
      <c r="AD21" s="61" t="str">
        <f>IF(O21="개량",ROUND(VLOOKUP($F21,'개량사업비 산정기준'!$A$5:$I$23,2,FALSE)/1000,0),"")</f>
        <v/>
      </c>
      <c r="AE21" s="61"/>
      <c r="AF21" s="61" t="str">
        <f>IF(Q21="개량",ROUND(VLOOKUP($F21,'개량사업비 산정기준'!$A$5:$I$23,6,FALSE)/1000,0),"")</f>
        <v/>
      </c>
      <c r="AG21" s="61" t="str">
        <f>IF(R21="개량",ROUND(VLOOKUP($F21,'개량사업비 산정기준'!$A$5:$I$23,7,FALSE)/1000,0),"")</f>
        <v/>
      </c>
      <c r="AH21" s="61" t="str">
        <f>IF(S21="개량",ROUND(((AB21*'개량사업비 산정기준'!$B$34)+(AC21*'개량사업비 산정기준'!$C$34))/1000000,0),"")</f>
        <v/>
      </c>
      <c r="AI21" s="61"/>
      <c r="AJ21" s="61" t="str">
        <f>IF($AA21="D",ROUND('개량사업비 산정기준'!$F$56/1000,0),IF($AA21="E",ROUND('개량사업비 산정기준'!$F$56/1000,0),""))</f>
        <v/>
      </c>
      <c r="AK21" s="61">
        <f t="shared" si="15"/>
        <v>0</v>
      </c>
      <c r="AL21" s="61"/>
      <c r="AM21" s="61">
        <f t="shared" si="16"/>
        <v>0</v>
      </c>
      <c r="AN21" s="61">
        <f t="shared" si="17"/>
        <v>0</v>
      </c>
      <c r="AO21" s="61">
        <f t="shared" si="18"/>
        <v>0</v>
      </c>
      <c r="AP21" s="61">
        <f t="shared" si="19"/>
        <v>0</v>
      </c>
      <c r="AQ21" s="49"/>
    </row>
    <row r="22" spans="1:43" ht="20.100000000000001" customHeight="1">
      <c r="A22" s="49" t="s">
        <v>446</v>
      </c>
      <c r="B22" s="49">
        <v>16</v>
      </c>
      <c r="C22" s="57" t="s">
        <v>164</v>
      </c>
      <c r="D22" s="57" t="s">
        <v>451</v>
      </c>
      <c r="E22" s="56" t="s">
        <v>163</v>
      </c>
      <c r="F22" s="49">
        <f>VLOOKUP(C22,'[1]논산시 마을상수도'!$E$5:$K$171,6,FALSE)</f>
        <v>60</v>
      </c>
      <c r="G22" s="49">
        <f>VLOOKUP(C22,'[1]논산시 마을상수도'!$E$5:$K$171,3,FALSE)</f>
        <v>2006</v>
      </c>
      <c r="H22" s="49">
        <f>VLOOKUP($C22,'[1]논산시 마을상수도'!$E$5:$K$171,4,FALSE)</f>
        <v>61</v>
      </c>
      <c r="I22" s="49">
        <f>VLOOKUP($E22,'[2]마을_소규모 인접거리'!$D$8:$P$167,8,FALSE)</f>
        <v>2006</v>
      </c>
      <c r="J22" s="49"/>
      <c r="K22" s="49">
        <f>VLOOKUP($E22,'[2]마을_소규모 인접거리'!$D$8:$P$167,12,FALSE)</f>
        <v>2006</v>
      </c>
      <c r="L22" s="49">
        <f t="shared" si="9"/>
        <v>2006</v>
      </c>
      <c r="M22" s="49">
        <v>2006</v>
      </c>
      <c r="N22" s="49">
        <v>2025</v>
      </c>
      <c r="O22" s="49" t="str">
        <f t="shared" si="10"/>
        <v/>
      </c>
      <c r="P22" s="49"/>
      <c r="Q22" s="49" t="str">
        <f t="shared" si="11"/>
        <v/>
      </c>
      <c r="R22" s="49" t="str">
        <f t="shared" si="12"/>
        <v/>
      </c>
      <c r="S22" s="49" t="str">
        <f t="shared" si="13"/>
        <v/>
      </c>
      <c r="T22" s="49" t="str">
        <f t="shared" si="4"/>
        <v/>
      </c>
      <c r="U22" s="49" t="str">
        <f t="shared" si="5"/>
        <v/>
      </c>
      <c r="V22" s="49" t="str">
        <f t="shared" si="6"/>
        <v/>
      </c>
      <c r="W22" s="49" t="str">
        <f t="shared" si="7"/>
        <v/>
      </c>
      <c r="X22" s="49" t="str">
        <f t="shared" si="8"/>
        <v/>
      </c>
      <c r="Y22" s="49">
        <v>2</v>
      </c>
      <c r="Z22" s="49" t="s">
        <v>114</v>
      </c>
      <c r="AA22" s="49" t="str">
        <f t="shared" si="14"/>
        <v>E</v>
      </c>
      <c r="AB22" s="61"/>
      <c r="AC22" s="61"/>
      <c r="AD22" s="61" t="str">
        <f>IF(O22="개량",ROUND(VLOOKUP($F22,'개량사업비 산정기준'!$A$5:$I$23,2,FALSE)/1000,0),"")</f>
        <v/>
      </c>
      <c r="AE22" s="61"/>
      <c r="AF22" s="61" t="str">
        <f>IF(Q22="개량",ROUND(VLOOKUP($F22,'개량사업비 산정기준'!$A$5:$I$23,6,FALSE)/1000,0),"")</f>
        <v/>
      </c>
      <c r="AG22" s="61" t="str">
        <f>IF(R22="개량",ROUND(VLOOKUP($F22,'개량사업비 산정기준'!$A$5:$I$23,7,FALSE)/1000,0),"")</f>
        <v/>
      </c>
      <c r="AH22" s="61" t="str">
        <f>IF(S22="개량",ROUND(((AB22*'개량사업비 산정기준'!$B$34)+(AC22*'개량사업비 산정기준'!$C$34))/1000000,0),"")</f>
        <v/>
      </c>
      <c r="AI22" s="61"/>
      <c r="AJ22" s="61">
        <f>IF($AA22="D",ROUND('개량사업비 산정기준'!$F$56/1000,0),IF($AA22="E",ROUND('개량사업비 산정기준'!$F$56/1000,0),""))</f>
        <v>48</v>
      </c>
      <c r="AK22" s="61">
        <f t="shared" si="15"/>
        <v>48</v>
      </c>
      <c r="AL22" s="61">
        <v>2</v>
      </c>
      <c r="AM22" s="61">
        <f t="shared" si="16"/>
        <v>0</v>
      </c>
      <c r="AN22" s="61">
        <f t="shared" si="17"/>
        <v>48</v>
      </c>
      <c r="AO22" s="61">
        <f t="shared" si="18"/>
        <v>0</v>
      </c>
      <c r="AP22" s="61">
        <f t="shared" si="19"/>
        <v>0</v>
      </c>
      <c r="AQ22" s="49"/>
    </row>
    <row r="23" spans="1:43" ht="20.100000000000001" customHeight="1">
      <c r="A23" s="49" t="s">
        <v>446</v>
      </c>
      <c r="B23" s="49">
        <v>17</v>
      </c>
      <c r="C23" s="57" t="s">
        <v>165</v>
      </c>
      <c r="D23" s="57" t="s">
        <v>451</v>
      </c>
      <c r="E23" s="56" t="s">
        <v>10</v>
      </c>
      <c r="F23" s="49">
        <f>VLOOKUP(C23,'[1]논산시 마을상수도'!$E$5:$K$171,6,FALSE)</f>
        <v>80</v>
      </c>
      <c r="G23" s="49">
        <f>VLOOKUP(C23,'[1]논산시 마을상수도'!$E$5:$K$171,3,FALSE)</f>
        <v>2007</v>
      </c>
      <c r="H23" s="49">
        <f>VLOOKUP($C23,'[1]논산시 마을상수도'!$E$5:$K$171,4,FALSE)</f>
        <v>39</v>
      </c>
      <c r="I23" s="49">
        <f>VLOOKUP($E23,'[2]마을_소규모 인접거리'!$D$8:$P$167,8,FALSE)</f>
        <v>2007</v>
      </c>
      <c r="J23" s="49"/>
      <c r="K23" s="49">
        <f>VLOOKUP($E23,'[2]마을_소규모 인접거리'!$D$8:$P$167,12,FALSE)</f>
        <v>2007</v>
      </c>
      <c r="L23" s="49">
        <f t="shared" si="9"/>
        <v>2007</v>
      </c>
      <c r="M23" s="49">
        <v>2007</v>
      </c>
      <c r="N23" s="49">
        <v>2025</v>
      </c>
      <c r="O23" s="49" t="str">
        <f t="shared" si="10"/>
        <v/>
      </c>
      <c r="P23" s="49"/>
      <c r="Q23" s="49" t="str">
        <f t="shared" si="11"/>
        <v/>
      </c>
      <c r="R23" s="49" t="str">
        <f t="shared" si="12"/>
        <v/>
      </c>
      <c r="S23" s="49" t="str">
        <f t="shared" si="13"/>
        <v/>
      </c>
      <c r="T23" s="49" t="str">
        <f t="shared" si="4"/>
        <v/>
      </c>
      <c r="U23" s="49" t="str">
        <f t="shared" si="5"/>
        <v/>
      </c>
      <c r="V23" s="49" t="str">
        <f t="shared" si="6"/>
        <v/>
      </c>
      <c r="W23" s="49" t="str">
        <f t="shared" si="7"/>
        <v/>
      </c>
      <c r="X23" s="49" t="str">
        <f t="shared" si="8"/>
        <v/>
      </c>
      <c r="Y23" s="49">
        <v>2</v>
      </c>
      <c r="Z23" s="49" t="s">
        <v>114</v>
      </c>
      <c r="AA23" s="49" t="str">
        <f t="shared" si="14"/>
        <v>E</v>
      </c>
      <c r="AB23" s="61"/>
      <c r="AC23" s="61"/>
      <c r="AD23" s="61" t="str">
        <f>IF(O23="개량",ROUND(VLOOKUP($F23,'개량사업비 산정기준'!$A$5:$I$23,2,FALSE)/1000,0),"")</f>
        <v/>
      </c>
      <c r="AE23" s="61"/>
      <c r="AF23" s="61" t="str">
        <f>IF(Q23="개량",ROUND(VLOOKUP($F23,'개량사업비 산정기준'!$A$5:$I$23,6,FALSE)/1000,0),"")</f>
        <v/>
      </c>
      <c r="AG23" s="61" t="str">
        <f>IF(R23="개량",ROUND(VLOOKUP($F23,'개량사업비 산정기준'!$A$5:$I$23,7,FALSE)/1000,0),"")</f>
        <v/>
      </c>
      <c r="AH23" s="61" t="str">
        <f>IF(S23="개량",ROUND(((AB23*'개량사업비 산정기준'!$B$34)+(AC23*'개량사업비 산정기준'!$C$34))/1000000,0),"")</f>
        <v/>
      </c>
      <c r="AI23" s="61"/>
      <c r="AJ23" s="61">
        <f>IF($AA23="D",ROUND('개량사업비 산정기준'!$F$56/1000,0),IF($AA23="E",ROUND('개량사업비 산정기준'!$F$56/1000,0),""))</f>
        <v>48</v>
      </c>
      <c r="AK23" s="61">
        <f t="shared" si="15"/>
        <v>48</v>
      </c>
      <c r="AL23" s="61">
        <v>2</v>
      </c>
      <c r="AM23" s="61">
        <f t="shared" si="16"/>
        <v>0</v>
      </c>
      <c r="AN23" s="61">
        <f t="shared" si="17"/>
        <v>48</v>
      </c>
      <c r="AO23" s="61">
        <f t="shared" si="18"/>
        <v>0</v>
      </c>
      <c r="AP23" s="61">
        <f t="shared" si="19"/>
        <v>0</v>
      </c>
      <c r="AQ23" s="49"/>
    </row>
    <row r="24" spans="1:43" ht="20.100000000000001" customHeight="1">
      <c r="A24" s="49" t="s">
        <v>446</v>
      </c>
      <c r="B24" s="49">
        <v>18</v>
      </c>
      <c r="C24" s="57" t="s">
        <v>166</v>
      </c>
      <c r="D24" s="57" t="s">
        <v>451</v>
      </c>
      <c r="E24" s="56" t="s">
        <v>11</v>
      </c>
      <c r="F24" s="49">
        <f>VLOOKUP(C24,'[1]논산시 마을상수도'!$E$5:$K$171,6,FALSE)</f>
        <v>70</v>
      </c>
      <c r="G24" s="49">
        <f>VLOOKUP(C24,'[1]논산시 마을상수도'!$E$5:$K$171,3,FALSE)</f>
        <v>2008</v>
      </c>
      <c r="H24" s="49">
        <f>VLOOKUP($C24,'[1]논산시 마을상수도'!$E$5:$K$171,4,FALSE)</f>
        <v>41</v>
      </c>
      <c r="I24" s="49">
        <f>VLOOKUP($E24,'[2]마을_소규모 인접거리'!$D$8:$P$167,8,FALSE)</f>
        <v>2008</v>
      </c>
      <c r="J24" s="49"/>
      <c r="K24" s="49">
        <f>VLOOKUP($E24,'[2]마을_소규모 인접거리'!$D$8:$P$167,12,FALSE)</f>
        <v>2008</v>
      </c>
      <c r="L24" s="49">
        <f t="shared" si="9"/>
        <v>2008</v>
      </c>
      <c r="M24" s="49">
        <v>2008</v>
      </c>
      <c r="N24" s="49">
        <v>2020</v>
      </c>
      <c r="O24" s="49" t="str">
        <f t="shared" si="10"/>
        <v/>
      </c>
      <c r="P24" s="49"/>
      <c r="Q24" s="49" t="str">
        <f t="shared" si="11"/>
        <v/>
      </c>
      <c r="R24" s="49" t="str">
        <f t="shared" si="12"/>
        <v/>
      </c>
      <c r="S24" s="49" t="str">
        <f t="shared" si="13"/>
        <v/>
      </c>
      <c r="T24" s="49" t="str">
        <f t="shared" si="4"/>
        <v/>
      </c>
      <c r="U24" s="49" t="str">
        <f t="shared" si="5"/>
        <v/>
      </c>
      <c r="V24" s="49" t="str">
        <f t="shared" si="6"/>
        <v/>
      </c>
      <c r="W24" s="49" t="str">
        <f t="shared" si="7"/>
        <v/>
      </c>
      <c r="X24" s="49" t="str">
        <f t="shared" si="8"/>
        <v/>
      </c>
      <c r="Y24" s="49"/>
      <c r="Z24" s="49" t="s">
        <v>114</v>
      </c>
      <c r="AA24" s="49" t="str">
        <f t="shared" si="14"/>
        <v>F</v>
      </c>
      <c r="AB24" s="61"/>
      <c r="AC24" s="61"/>
      <c r="AD24" s="61" t="str">
        <f>IF(O24="개량",ROUND(VLOOKUP($F24,'개량사업비 산정기준'!$A$5:$I$23,2,FALSE)/1000,0),"")</f>
        <v/>
      </c>
      <c r="AE24" s="61"/>
      <c r="AF24" s="61" t="str">
        <f>IF(Q24="개량",ROUND(VLOOKUP($F24,'개량사업비 산정기준'!$A$5:$I$23,6,FALSE)/1000,0),"")</f>
        <v/>
      </c>
      <c r="AG24" s="61" t="str">
        <f>IF(R24="개량",ROUND(VLOOKUP($F24,'개량사업비 산정기준'!$A$5:$I$23,7,FALSE)/1000,0),"")</f>
        <v/>
      </c>
      <c r="AH24" s="61" t="str">
        <f>IF(S24="개량",ROUND(((AB24*'개량사업비 산정기준'!$B$34)+(AC24*'개량사업비 산정기준'!$C$34))/1000000,0),"")</f>
        <v/>
      </c>
      <c r="AI24" s="61"/>
      <c r="AJ24" s="61" t="str">
        <f>IF($AA24="D",ROUND('개량사업비 산정기준'!$F$56/1000,0),IF($AA24="E",ROUND('개량사업비 산정기준'!$F$56/1000,0),""))</f>
        <v/>
      </c>
      <c r="AK24" s="61">
        <f t="shared" si="15"/>
        <v>0</v>
      </c>
      <c r="AL24" s="61"/>
      <c r="AM24" s="61">
        <f t="shared" si="16"/>
        <v>0</v>
      </c>
      <c r="AN24" s="61">
        <f t="shared" si="17"/>
        <v>0</v>
      </c>
      <c r="AO24" s="61">
        <f t="shared" si="18"/>
        <v>0</v>
      </c>
      <c r="AP24" s="61">
        <f t="shared" si="19"/>
        <v>0</v>
      </c>
      <c r="AQ24" s="49"/>
    </row>
    <row r="25" spans="1:43" ht="20.100000000000001" customHeight="1">
      <c r="A25" s="49" t="s">
        <v>446</v>
      </c>
      <c r="B25" s="49">
        <v>19</v>
      </c>
      <c r="C25" s="57" t="s">
        <v>167</v>
      </c>
      <c r="D25" s="57" t="s">
        <v>451</v>
      </c>
      <c r="E25" s="56" t="s">
        <v>12</v>
      </c>
      <c r="F25" s="49">
        <f>VLOOKUP(C25,'[1]논산시 마을상수도'!$E$5:$K$171,6,FALSE)</f>
        <v>90</v>
      </c>
      <c r="G25" s="49">
        <f>VLOOKUP(C25,'[1]논산시 마을상수도'!$E$5:$K$171,3,FALSE)</f>
        <v>2009</v>
      </c>
      <c r="H25" s="49">
        <f>VLOOKUP($C25,'[1]논산시 마을상수도'!$E$5:$K$171,4,FALSE)</f>
        <v>52</v>
      </c>
      <c r="I25" s="49">
        <f>VLOOKUP($E25,'[2]마을_소규모 인접거리'!$D$8:$P$167,8,FALSE)</f>
        <v>2009</v>
      </c>
      <c r="J25" s="49"/>
      <c r="K25" s="49">
        <f>VLOOKUP($E25,'[2]마을_소규모 인접거리'!$D$8:$P$167,12,FALSE)</f>
        <v>2009</v>
      </c>
      <c r="L25" s="49">
        <f t="shared" si="9"/>
        <v>2009</v>
      </c>
      <c r="M25" s="49">
        <v>2009</v>
      </c>
      <c r="N25" s="49">
        <v>2025</v>
      </c>
      <c r="O25" s="49" t="str">
        <f t="shared" si="10"/>
        <v/>
      </c>
      <c r="P25" s="49"/>
      <c r="Q25" s="49" t="str">
        <f t="shared" si="11"/>
        <v/>
      </c>
      <c r="R25" s="49" t="str">
        <f t="shared" si="12"/>
        <v/>
      </c>
      <c r="S25" s="49" t="str">
        <f t="shared" si="13"/>
        <v/>
      </c>
      <c r="T25" s="49" t="str">
        <f t="shared" si="4"/>
        <v/>
      </c>
      <c r="U25" s="49" t="str">
        <f t="shared" si="5"/>
        <v/>
      </c>
      <c r="V25" s="49" t="str">
        <f t="shared" si="6"/>
        <v/>
      </c>
      <c r="W25" s="49" t="str">
        <f t="shared" si="7"/>
        <v/>
      </c>
      <c r="X25" s="49" t="str">
        <f t="shared" si="8"/>
        <v/>
      </c>
      <c r="Y25" s="49">
        <v>2</v>
      </c>
      <c r="Z25" s="49" t="s">
        <v>114</v>
      </c>
      <c r="AA25" s="49" t="str">
        <f t="shared" si="14"/>
        <v>E</v>
      </c>
      <c r="AB25" s="61"/>
      <c r="AC25" s="61"/>
      <c r="AD25" s="61" t="str">
        <f>IF(O25="개량",ROUND(VLOOKUP($F25,'개량사업비 산정기준'!$A$5:$I$23,2,FALSE)/1000,0),"")</f>
        <v/>
      </c>
      <c r="AE25" s="61"/>
      <c r="AF25" s="61" t="str">
        <f>IF(Q25="개량",ROUND(VLOOKUP($F25,'개량사업비 산정기준'!$A$5:$I$23,6,FALSE)/1000,0),"")</f>
        <v/>
      </c>
      <c r="AG25" s="61" t="str">
        <f>IF(R25="개량",ROUND(VLOOKUP($F25,'개량사업비 산정기준'!$A$5:$I$23,7,FALSE)/1000,0),"")</f>
        <v/>
      </c>
      <c r="AH25" s="61" t="str">
        <f>IF(S25="개량",ROUND(((AB25*'개량사업비 산정기준'!$B$34)+(AC25*'개량사업비 산정기준'!$C$34))/1000000,0),"")</f>
        <v/>
      </c>
      <c r="AI25" s="61"/>
      <c r="AJ25" s="61">
        <f>IF($AA25="D",ROUND('개량사업비 산정기준'!$F$56/1000,0),IF($AA25="E",ROUND('개량사업비 산정기준'!$F$56/1000,0),""))</f>
        <v>48</v>
      </c>
      <c r="AK25" s="61">
        <f t="shared" si="15"/>
        <v>48</v>
      </c>
      <c r="AL25" s="61">
        <v>2</v>
      </c>
      <c r="AM25" s="61">
        <f t="shared" si="16"/>
        <v>0</v>
      </c>
      <c r="AN25" s="61">
        <f t="shared" si="17"/>
        <v>48</v>
      </c>
      <c r="AO25" s="61">
        <f t="shared" si="18"/>
        <v>0</v>
      </c>
      <c r="AP25" s="61">
        <f t="shared" si="19"/>
        <v>0</v>
      </c>
      <c r="AQ25" s="49"/>
    </row>
    <row r="26" spans="1:43" ht="20.100000000000001" customHeight="1">
      <c r="A26" s="49" t="s">
        <v>446</v>
      </c>
      <c r="B26" s="49">
        <v>20</v>
      </c>
      <c r="C26" s="57" t="s">
        <v>169</v>
      </c>
      <c r="D26" s="57" t="s">
        <v>451</v>
      </c>
      <c r="E26" s="56" t="s">
        <v>168</v>
      </c>
      <c r="F26" s="49">
        <f>VLOOKUP(C26,'[1]논산시 마을상수도'!$E$5:$K$171,6,FALSE)</f>
        <v>60</v>
      </c>
      <c r="G26" s="49">
        <f>VLOOKUP(C26,'[1]논산시 마을상수도'!$E$5:$K$171,3,FALSE)</f>
        <v>2010</v>
      </c>
      <c r="H26" s="49">
        <f>VLOOKUP($C26,'[1]논산시 마을상수도'!$E$5:$K$171,4,FALSE)</f>
        <v>34</v>
      </c>
      <c r="I26" s="49" t="str">
        <f>VLOOKUP($E26,'[2]마을_소규모 인접거리'!$D$8:$P$167,8,FALSE)</f>
        <v>2010</v>
      </c>
      <c r="J26" s="49"/>
      <c r="K26" s="49" t="str">
        <f>VLOOKUP($E26,'[2]마을_소규모 인접거리'!$D$8:$P$167,12,FALSE)</f>
        <v>2010</v>
      </c>
      <c r="L26" s="49" t="str">
        <f t="shared" si="9"/>
        <v>2010</v>
      </c>
      <c r="M26" s="49">
        <v>2010</v>
      </c>
      <c r="N26" s="49">
        <v>2025</v>
      </c>
      <c r="O26" s="49" t="str">
        <f t="shared" si="10"/>
        <v/>
      </c>
      <c r="P26" s="49"/>
      <c r="Q26" s="49" t="str">
        <f t="shared" si="11"/>
        <v/>
      </c>
      <c r="R26" s="49" t="str">
        <f t="shared" si="12"/>
        <v/>
      </c>
      <c r="S26" s="49" t="str">
        <f t="shared" si="13"/>
        <v/>
      </c>
      <c r="T26" s="49" t="str">
        <f t="shared" si="4"/>
        <v/>
      </c>
      <c r="U26" s="49" t="str">
        <f t="shared" si="5"/>
        <v/>
      </c>
      <c r="V26" s="49" t="str">
        <f t="shared" si="6"/>
        <v/>
      </c>
      <c r="W26" s="49" t="str">
        <f t="shared" si="7"/>
        <v/>
      </c>
      <c r="X26" s="49" t="str">
        <f t="shared" si="8"/>
        <v/>
      </c>
      <c r="Y26" s="49">
        <v>2</v>
      </c>
      <c r="Z26" s="49" t="s">
        <v>114</v>
      </c>
      <c r="AA26" s="49" t="str">
        <f t="shared" si="14"/>
        <v>E</v>
      </c>
      <c r="AB26" s="61"/>
      <c r="AC26" s="61"/>
      <c r="AD26" s="61" t="str">
        <f>IF(O26="개량",ROUND(VLOOKUP($F26,'개량사업비 산정기준'!$A$5:$I$23,2,FALSE)/1000,0),"")</f>
        <v/>
      </c>
      <c r="AE26" s="61"/>
      <c r="AF26" s="61" t="str">
        <f>IF(Q26="개량",ROUND(VLOOKUP($F26,'개량사업비 산정기준'!$A$5:$I$23,6,FALSE)/1000,0),"")</f>
        <v/>
      </c>
      <c r="AG26" s="61" t="str">
        <f>IF(R26="개량",ROUND(VLOOKUP($F26,'개량사업비 산정기준'!$A$5:$I$23,7,FALSE)/1000,0),"")</f>
        <v/>
      </c>
      <c r="AH26" s="61" t="str">
        <f>IF(S26="개량",ROUND(((AB26*'개량사업비 산정기준'!$B$34)+(AC26*'개량사업비 산정기준'!$C$34))/1000000,0),"")</f>
        <v/>
      </c>
      <c r="AI26" s="61"/>
      <c r="AJ26" s="61">
        <f>IF($AA26="D",ROUND('개량사업비 산정기준'!$F$56/1000,0),IF($AA26="E",ROUND('개량사업비 산정기준'!$F$56/1000,0),""))</f>
        <v>48</v>
      </c>
      <c r="AK26" s="61">
        <f t="shared" si="15"/>
        <v>48</v>
      </c>
      <c r="AL26" s="61">
        <v>2</v>
      </c>
      <c r="AM26" s="61">
        <f t="shared" si="16"/>
        <v>0</v>
      </c>
      <c r="AN26" s="61">
        <f t="shared" si="17"/>
        <v>48</v>
      </c>
      <c r="AO26" s="61">
        <f t="shared" si="18"/>
        <v>0</v>
      </c>
      <c r="AP26" s="61">
        <f t="shared" si="19"/>
        <v>0</v>
      </c>
      <c r="AQ26" s="49"/>
    </row>
    <row r="27" spans="1:43" ht="20.100000000000001" customHeight="1">
      <c r="A27" s="49" t="s">
        <v>446</v>
      </c>
      <c r="B27" s="49">
        <v>21</v>
      </c>
      <c r="C27" s="57" t="s">
        <v>170</v>
      </c>
      <c r="D27" s="57" t="s">
        <v>451</v>
      </c>
      <c r="E27" s="56" t="s">
        <v>160</v>
      </c>
      <c r="F27" s="49">
        <f>VLOOKUP(C27,'[1]논산시 마을상수도'!$E$5:$K$171,6,FALSE)</f>
        <v>80</v>
      </c>
      <c r="G27" s="49">
        <f>VLOOKUP(C27,'[1]논산시 마을상수도'!$E$5:$K$171,3,FALSE)</f>
        <v>2010</v>
      </c>
      <c r="H27" s="49">
        <f>VLOOKUP($C27,'[1]논산시 마을상수도'!$E$5:$K$171,4,FALSE)</f>
        <v>80</v>
      </c>
      <c r="I27" s="49">
        <v>2010</v>
      </c>
      <c r="J27" s="49"/>
      <c r="K27" s="49" t="str">
        <f>VLOOKUP($E27,'[2]마을_소규모 인접거리'!$D$8:$P$167,12,FALSE)</f>
        <v>2010</v>
      </c>
      <c r="L27" s="49" t="str">
        <f t="shared" si="9"/>
        <v>2010</v>
      </c>
      <c r="M27" s="49">
        <v>2010</v>
      </c>
      <c r="N27" s="49">
        <v>2020</v>
      </c>
      <c r="O27" s="49" t="str">
        <f t="shared" si="10"/>
        <v/>
      </c>
      <c r="P27" s="49"/>
      <c r="Q27" s="49" t="str">
        <f t="shared" si="11"/>
        <v/>
      </c>
      <c r="R27" s="49" t="str">
        <f t="shared" si="12"/>
        <v/>
      </c>
      <c r="S27" s="49" t="str">
        <f t="shared" si="13"/>
        <v/>
      </c>
      <c r="T27" s="49" t="str">
        <f t="shared" si="4"/>
        <v/>
      </c>
      <c r="U27" s="49" t="str">
        <f t="shared" si="5"/>
        <v/>
      </c>
      <c r="V27" s="49" t="str">
        <f t="shared" si="6"/>
        <v/>
      </c>
      <c r="W27" s="49" t="str">
        <f t="shared" si="7"/>
        <v/>
      </c>
      <c r="X27" s="49" t="str">
        <f t="shared" si="8"/>
        <v/>
      </c>
      <c r="Y27" s="49"/>
      <c r="Z27" s="49" t="s">
        <v>114</v>
      </c>
      <c r="AA27" s="49" t="str">
        <f t="shared" si="14"/>
        <v>F</v>
      </c>
      <c r="AB27" s="61"/>
      <c r="AC27" s="61"/>
      <c r="AD27" s="61" t="str">
        <f>IF(O27="개량",ROUND(VLOOKUP($F27,'개량사업비 산정기준'!$A$5:$I$23,2,FALSE)/1000,0),"")</f>
        <v/>
      </c>
      <c r="AE27" s="61"/>
      <c r="AF27" s="61" t="str">
        <f>IF(Q27="개량",ROUND(VLOOKUP($F27,'개량사업비 산정기준'!$A$5:$I$23,6,FALSE)/1000,0),"")</f>
        <v/>
      </c>
      <c r="AG27" s="61" t="str">
        <f>IF(R27="개량",ROUND(VLOOKUP($F27,'개량사업비 산정기준'!$A$5:$I$23,7,FALSE)/1000,0),"")</f>
        <v/>
      </c>
      <c r="AH27" s="61" t="str">
        <f>IF(S27="개량",ROUND(((AB27*'개량사업비 산정기준'!$B$34)+(AC27*'개량사업비 산정기준'!$C$34))/1000000,0),"")</f>
        <v/>
      </c>
      <c r="AI27" s="61"/>
      <c r="AJ27" s="61" t="str">
        <f>IF($AA27="D",ROUND('개량사업비 산정기준'!$F$56/1000,0),IF($AA27="E",ROUND('개량사업비 산정기준'!$F$56/1000,0),""))</f>
        <v/>
      </c>
      <c r="AK27" s="61">
        <f t="shared" si="15"/>
        <v>0</v>
      </c>
      <c r="AL27" s="61"/>
      <c r="AM27" s="61">
        <f t="shared" si="16"/>
        <v>0</v>
      </c>
      <c r="AN27" s="61">
        <f t="shared" si="17"/>
        <v>0</v>
      </c>
      <c r="AO27" s="61">
        <f t="shared" si="18"/>
        <v>0</v>
      </c>
      <c r="AP27" s="61">
        <f t="shared" si="19"/>
        <v>0</v>
      </c>
      <c r="AQ27" s="49"/>
    </row>
    <row r="28" spans="1:43" ht="20.100000000000001" customHeight="1">
      <c r="A28" s="49" t="s">
        <v>446</v>
      </c>
      <c r="B28" s="49">
        <v>22</v>
      </c>
      <c r="C28" s="57" t="s">
        <v>171</v>
      </c>
      <c r="D28" s="57" t="s">
        <v>451</v>
      </c>
      <c r="E28" s="56" t="s">
        <v>13</v>
      </c>
      <c r="F28" s="49">
        <f>VLOOKUP(C28,'[1]논산시 마을상수도'!$E$5:$K$171,6,FALSE)</f>
        <v>80</v>
      </c>
      <c r="G28" s="49">
        <f>VLOOKUP(C28,'[1]논산시 마을상수도'!$E$5:$K$171,3,FALSE)</f>
        <v>2012</v>
      </c>
      <c r="H28" s="49">
        <f>VLOOKUP($C28,'[1]논산시 마을상수도'!$E$5:$K$171,4,FALSE)</f>
        <v>50</v>
      </c>
      <c r="I28" s="49" t="str">
        <f>VLOOKUP($E28,'[2]마을_소규모 인접거리'!$D$8:$P$167,8,FALSE)</f>
        <v>2012</v>
      </c>
      <c r="J28" s="49"/>
      <c r="K28" s="49" t="str">
        <f>VLOOKUP($E28,'[2]마을_소규모 인접거리'!$D$8:$P$167,12,FALSE)</f>
        <v>2012</v>
      </c>
      <c r="L28" s="49" t="str">
        <f t="shared" si="9"/>
        <v>2012</v>
      </c>
      <c r="M28" s="49">
        <v>2012</v>
      </c>
      <c r="N28" s="49">
        <v>2025</v>
      </c>
      <c r="O28" s="49" t="str">
        <f t="shared" si="10"/>
        <v/>
      </c>
      <c r="P28" s="49"/>
      <c r="Q28" s="49" t="str">
        <f t="shared" si="11"/>
        <v/>
      </c>
      <c r="R28" s="49" t="str">
        <f t="shared" si="12"/>
        <v/>
      </c>
      <c r="S28" s="49" t="str">
        <f t="shared" si="13"/>
        <v/>
      </c>
      <c r="T28" s="49" t="str">
        <f t="shared" si="4"/>
        <v/>
      </c>
      <c r="U28" s="49" t="str">
        <f t="shared" si="5"/>
        <v/>
      </c>
      <c r="V28" s="49" t="str">
        <f t="shared" si="6"/>
        <v/>
      </c>
      <c r="W28" s="49" t="str">
        <f t="shared" si="7"/>
        <v/>
      </c>
      <c r="X28" s="49" t="str">
        <f t="shared" si="8"/>
        <v/>
      </c>
      <c r="Y28" s="49">
        <v>2</v>
      </c>
      <c r="Z28" s="49" t="s">
        <v>114</v>
      </c>
      <c r="AA28" s="49" t="str">
        <f t="shared" si="14"/>
        <v>E</v>
      </c>
      <c r="AB28" s="61"/>
      <c r="AC28" s="61"/>
      <c r="AD28" s="61" t="str">
        <f>IF(O28="개량",ROUND(VLOOKUP($F28,'개량사업비 산정기준'!$A$5:$I$23,2,FALSE)/1000,0),"")</f>
        <v/>
      </c>
      <c r="AE28" s="61"/>
      <c r="AF28" s="61" t="str">
        <f>IF(Q28="개량",ROUND(VLOOKUP($F28,'개량사업비 산정기준'!$A$5:$I$23,6,FALSE)/1000,0),"")</f>
        <v/>
      </c>
      <c r="AG28" s="61" t="str">
        <f>IF(R28="개량",ROUND(VLOOKUP($F28,'개량사업비 산정기준'!$A$5:$I$23,7,FALSE)/1000,0),"")</f>
        <v/>
      </c>
      <c r="AH28" s="61" t="str">
        <f>IF(S28="개량",ROUND(((AB28*'개량사업비 산정기준'!$B$34)+(AC28*'개량사업비 산정기준'!$C$34))/1000000,0),"")</f>
        <v/>
      </c>
      <c r="AI28" s="61"/>
      <c r="AJ28" s="61">
        <f>IF($AA28="D",ROUND('개량사업비 산정기준'!$F$56/1000,0),IF($AA28="E",ROUND('개량사업비 산정기준'!$F$56/1000,0),""))</f>
        <v>48</v>
      </c>
      <c r="AK28" s="61">
        <f t="shared" si="15"/>
        <v>48</v>
      </c>
      <c r="AL28" s="61">
        <v>2</v>
      </c>
      <c r="AM28" s="61">
        <f t="shared" si="16"/>
        <v>0</v>
      </c>
      <c r="AN28" s="61">
        <f t="shared" si="17"/>
        <v>48</v>
      </c>
      <c r="AO28" s="61">
        <f t="shared" si="18"/>
        <v>0</v>
      </c>
      <c r="AP28" s="61">
        <f t="shared" si="19"/>
        <v>0</v>
      </c>
      <c r="AQ28" s="49"/>
    </row>
    <row r="29" spans="1:43" ht="20.100000000000001" customHeight="1">
      <c r="A29" s="49" t="s">
        <v>446</v>
      </c>
      <c r="B29" s="49">
        <v>23</v>
      </c>
      <c r="C29" s="57" t="s">
        <v>172</v>
      </c>
      <c r="D29" s="57" t="s">
        <v>451</v>
      </c>
      <c r="E29" s="56" t="s">
        <v>14</v>
      </c>
      <c r="F29" s="49">
        <f>VLOOKUP(C29,'[1]논산시 마을상수도'!$E$5:$K$171,6,FALSE)</f>
        <v>60</v>
      </c>
      <c r="G29" s="49">
        <f>VLOOKUP(C29,'[1]논산시 마을상수도'!$E$5:$K$171,3,FALSE)</f>
        <v>2012</v>
      </c>
      <c r="H29" s="49">
        <f>VLOOKUP($C29,'[1]논산시 마을상수도'!$E$5:$K$171,4,FALSE)</f>
        <v>47</v>
      </c>
      <c r="I29" s="49" t="str">
        <f>VLOOKUP($E29,'[2]마을_소규모 인접거리'!$D$8:$P$167,8,FALSE)</f>
        <v>2012</v>
      </c>
      <c r="J29" s="49"/>
      <c r="K29" s="49" t="str">
        <f>VLOOKUP($E29,'[2]마을_소규모 인접거리'!$D$8:$P$167,12,FALSE)</f>
        <v>2012</v>
      </c>
      <c r="L29" s="49" t="str">
        <f t="shared" si="9"/>
        <v>2012</v>
      </c>
      <c r="M29" s="49">
        <v>2012</v>
      </c>
      <c r="N29" s="49">
        <v>2025</v>
      </c>
      <c r="O29" s="49" t="str">
        <f t="shared" si="10"/>
        <v/>
      </c>
      <c r="P29" s="49"/>
      <c r="Q29" s="49" t="str">
        <f t="shared" si="11"/>
        <v/>
      </c>
      <c r="R29" s="49" t="str">
        <f t="shared" si="12"/>
        <v/>
      </c>
      <c r="S29" s="49" t="str">
        <f t="shared" si="13"/>
        <v/>
      </c>
      <c r="T29" s="49" t="str">
        <f t="shared" si="4"/>
        <v/>
      </c>
      <c r="U29" s="49" t="str">
        <f t="shared" si="5"/>
        <v/>
      </c>
      <c r="V29" s="49" t="str">
        <f t="shared" si="6"/>
        <v/>
      </c>
      <c r="W29" s="49" t="str">
        <f t="shared" si="7"/>
        <v/>
      </c>
      <c r="X29" s="49" t="str">
        <f t="shared" si="8"/>
        <v/>
      </c>
      <c r="Y29" s="49">
        <v>2</v>
      </c>
      <c r="Z29" s="49" t="s">
        <v>114</v>
      </c>
      <c r="AA29" s="49" t="str">
        <f t="shared" si="14"/>
        <v>E</v>
      </c>
      <c r="AB29" s="61"/>
      <c r="AC29" s="61"/>
      <c r="AD29" s="61" t="str">
        <f>IF(O29="개량",ROUND(VLOOKUP($F29,'개량사업비 산정기준'!$A$5:$I$23,2,FALSE)/1000,0),"")</f>
        <v/>
      </c>
      <c r="AE29" s="61"/>
      <c r="AF29" s="61" t="str">
        <f>IF(Q29="개량",ROUND(VLOOKUP($F29,'개량사업비 산정기준'!$A$5:$I$23,6,FALSE)/1000,0),"")</f>
        <v/>
      </c>
      <c r="AG29" s="61" t="str">
        <f>IF(R29="개량",ROUND(VLOOKUP($F29,'개량사업비 산정기준'!$A$5:$I$23,7,FALSE)/1000,0),"")</f>
        <v/>
      </c>
      <c r="AH29" s="61" t="str">
        <f>IF(S29="개량",ROUND(((AB29*'개량사업비 산정기준'!$B$34)+(AC29*'개량사업비 산정기준'!$C$34))/1000000,0),"")</f>
        <v/>
      </c>
      <c r="AI29" s="61"/>
      <c r="AJ29" s="61">
        <f>IF($AA29="D",ROUND('개량사업비 산정기준'!$F$56/1000,0),IF($AA29="E",ROUND('개량사업비 산정기준'!$F$56/1000,0),""))</f>
        <v>48</v>
      </c>
      <c r="AK29" s="61">
        <f t="shared" si="15"/>
        <v>48</v>
      </c>
      <c r="AL29" s="61">
        <v>2</v>
      </c>
      <c r="AM29" s="61">
        <f t="shared" si="16"/>
        <v>0</v>
      </c>
      <c r="AN29" s="61">
        <f t="shared" si="17"/>
        <v>48</v>
      </c>
      <c r="AO29" s="61">
        <f t="shared" si="18"/>
        <v>0</v>
      </c>
      <c r="AP29" s="61">
        <f t="shared" si="19"/>
        <v>0</v>
      </c>
      <c r="AQ29" s="49"/>
    </row>
    <row r="30" spans="1:43" ht="20.100000000000001" customHeight="1">
      <c r="A30" s="49" t="s">
        <v>446</v>
      </c>
      <c r="B30" s="49">
        <v>24</v>
      </c>
      <c r="C30" s="56" t="s">
        <v>174</v>
      </c>
      <c r="D30" s="56" t="s">
        <v>173</v>
      </c>
      <c r="E30" s="56" t="s">
        <v>16</v>
      </c>
      <c r="F30" s="49">
        <f>VLOOKUP(C30,'[1]논산시 마을상수도'!$E$5:$K$171,6,FALSE)</f>
        <v>90</v>
      </c>
      <c r="G30" s="49">
        <f>VLOOKUP(C30,'[1]논산시 마을상수도'!$E$5:$K$171,3,FALSE)</f>
        <v>1975</v>
      </c>
      <c r="H30" s="49">
        <f>VLOOKUP($C30,'[1]논산시 마을상수도'!$E$5:$K$171,4,FALSE)</f>
        <v>67</v>
      </c>
      <c r="I30" s="49" t="str">
        <f>VLOOKUP($E30,'[2]마을_소규모 인접거리'!$D$8:$P$167,8,FALSE)</f>
        <v>2003</v>
      </c>
      <c r="J30" s="49"/>
      <c r="K30" s="49">
        <f>VLOOKUP($E30,'[2]마을_소규모 인접거리'!$D$8:$P$167,12,FALSE)</f>
        <v>1975</v>
      </c>
      <c r="L30" s="49">
        <f t="shared" si="9"/>
        <v>1975</v>
      </c>
      <c r="M30" s="49">
        <v>2009</v>
      </c>
      <c r="N30" s="49">
        <v>2020</v>
      </c>
      <c r="O30" s="49" t="str">
        <f t="shared" si="10"/>
        <v/>
      </c>
      <c r="P30" s="49"/>
      <c r="Q30" s="49" t="str">
        <f t="shared" si="11"/>
        <v>개량</v>
      </c>
      <c r="R30" s="49" t="str">
        <f t="shared" si="12"/>
        <v>개량</v>
      </c>
      <c r="S30" s="49" t="str">
        <f t="shared" si="13"/>
        <v/>
      </c>
      <c r="T30" s="49" t="str">
        <f>IF(O30="","",IF((I30+25)&lt;=2015,1,IF((I30+25)&lt;=2020,2,IF((I30+25)&lt;=2025,3,4))))</f>
        <v/>
      </c>
      <c r="U30" s="49" t="str">
        <f>IF(P30="","",IF((J30+25)&lt;=2015,1,IF((J30+25)&lt;=2020,2,IF((J30+25)&lt;=2025,3,4))))</f>
        <v/>
      </c>
      <c r="V30" s="49">
        <f>IF(Q30="","",IF((K30+25)&lt;=2015,1,IF((K30+25)&lt;=2020,2,IF((K30+25)&lt;=2025,3,4))))</f>
        <v>1</v>
      </c>
      <c r="W30" s="49">
        <f>IF(R30="","",IF((L30+25)&lt;=2015,1,IF((L30+25)&lt;=2020,2,IF((L30+25)&lt;=2025,3,4))))</f>
        <v>1</v>
      </c>
      <c r="X30" s="49" t="str">
        <f>IF(S30="","",IF((M30+25)&lt;=2015,1,IF((M30+25)&lt;=2020,2,IF((M30+25)&lt;=2025,3,4))))</f>
        <v/>
      </c>
      <c r="Y30" s="49">
        <v>1</v>
      </c>
      <c r="Z30" s="49" t="s">
        <v>114</v>
      </c>
      <c r="AA30" s="49" t="str">
        <f t="shared" si="14"/>
        <v>D</v>
      </c>
      <c r="AB30" s="61"/>
      <c r="AC30" s="61"/>
      <c r="AD30" s="61" t="str">
        <f>IF(O30="개량",ROUND(VLOOKUP($F30,'개량사업비 산정기준'!$A$5:$I$23,2,FALSE)/1000,0),"")</f>
        <v/>
      </c>
      <c r="AE30" s="61"/>
      <c r="AF30" s="61">
        <f>IF(Q30="개량",ROUND(VLOOKUP($F30,'개량사업비 산정기준'!$A$5:$I$23,6,FALSE)/1000,0),"")</f>
        <v>31</v>
      </c>
      <c r="AG30" s="61">
        <f>IF(R30="개량",ROUND(VLOOKUP($F30,'개량사업비 산정기준'!$A$5:$I$23,7,FALSE)/1000,0),"")</f>
        <v>22</v>
      </c>
      <c r="AH30" s="61" t="str">
        <f>IF(S30="개량",ROUND(((AB30*'개량사업비 산정기준'!$B$34)+(AC30*'개량사업비 산정기준'!$C$34))/1000000,0),"")</f>
        <v/>
      </c>
      <c r="AI30" s="61"/>
      <c r="AJ30" s="61">
        <f>IF($AA30="D",ROUND('개량사업비 산정기준'!$F$56/1000,0),IF($AA30="E",ROUND('개량사업비 산정기준'!$F$56/1000,0),""))</f>
        <v>48</v>
      </c>
      <c r="AK30" s="61">
        <f t="shared" si="15"/>
        <v>101</v>
      </c>
      <c r="AL30" s="61">
        <v>1</v>
      </c>
      <c r="AM30" s="61">
        <f t="shared" si="16"/>
        <v>101</v>
      </c>
      <c r="AN30" s="61">
        <f t="shared" si="17"/>
        <v>0</v>
      </c>
      <c r="AO30" s="61">
        <f t="shared" si="18"/>
        <v>0</v>
      </c>
      <c r="AP30" s="61">
        <f t="shared" si="19"/>
        <v>0</v>
      </c>
      <c r="AQ30" s="49"/>
    </row>
    <row r="31" spans="1:43" ht="20.100000000000001" customHeight="1">
      <c r="A31" s="49" t="s">
        <v>446</v>
      </c>
      <c r="B31" s="49">
        <v>25</v>
      </c>
      <c r="C31" s="58" t="s">
        <v>176</v>
      </c>
      <c r="D31" s="58" t="s">
        <v>173</v>
      </c>
      <c r="E31" s="58" t="s">
        <v>175</v>
      </c>
      <c r="F31" s="49">
        <f>VLOOKUP(C31,'[1]논산시 마을상수도'!$E$5:$K$171,6,FALSE)</f>
        <v>80</v>
      </c>
      <c r="G31" s="49">
        <f>VLOOKUP(C31,'[1]논산시 마을상수도'!$E$5:$K$171,3,FALSE)</f>
        <v>1987</v>
      </c>
      <c r="H31" s="49" t="str">
        <f>VLOOKUP($C31,'[1]논산시 마을상수도'!$E$5:$K$171,4,FALSE)</f>
        <v>-</v>
      </c>
      <c r="I31" s="49">
        <f>VLOOKUP($E31,'[2]마을_소규모 인접거리'!$D$8:$P$167,8,FALSE)</f>
        <v>1987</v>
      </c>
      <c r="J31" s="49"/>
      <c r="K31" s="49">
        <f>VLOOKUP($E31,'[2]마을_소규모 인접거리'!$D$8:$P$167,12,FALSE)</f>
        <v>1987</v>
      </c>
      <c r="L31" s="49">
        <f t="shared" si="9"/>
        <v>1987</v>
      </c>
      <c r="M31" s="49">
        <v>1987</v>
      </c>
      <c r="N31" s="49">
        <v>2020</v>
      </c>
      <c r="O31" s="49" t="str">
        <f t="shared" si="10"/>
        <v>개량</v>
      </c>
      <c r="P31" s="49"/>
      <c r="Q31" s="49" t="str">
        <f t="shared" si="11"/>
        <v>개량</v>
      </c>
      <c r="R31" s="49" t="str">
        <f t="shared" si="12"/>
        <v>개량</v>
      </c>
      <c r="S31" s="49" t="str">
        <f t="shared" si="13"/>
        <v>개량</v>
      </c>
      <c r="T31" s="49">
        <f t="shared" ref="T31:T94" si="20">IF(O31="","",IF((I31+25)&lt;=2015,1,IF((I31+25)&lt;=2020,2,IF((I31+25)&lt;=2025,3,4))))</f>
        <v>1</v>
      </c>
      <c r="U31" s="49" t="str">
        <f t="shared" ref="U31:U94" si="21">IF(P31="","",IF((J31+25)&lt;=2015,1,IF((J31+25)&lt;=2020,2,IF((J31+25)&lt;=2025,3,4))))</f>
        <v/>
      </c>
      <c r="V31" s="49">
        <f t="shared" ref="V31:V94" si="22">IF(Q31="","",IF((K31+25)&lt;=2015,1,IF((K31+25)&lt;=2020,2,IF((K31+25)&lt;=2025,3,4))))</f>
        <v>1</v>
      </c>
      <c r="W31" s="49">
        <f t="shared" ref="W31:W94" si="23">IF(R31="","",IF((L31+25)&lt;=2015,1,IF((L31+25)&lt;=2020,2,IF((L31+25)&lt;=2025,3,4))))</f>
        <v>1</v>
      </c>
      <c r="X31" s="49">
        <f t="shared" ref="X31:X94" si="24">IF(S31="","",IF((M31+25)&lt;=2015,1,IF((M31+25)&lt;=2020,2,IF((M31+25)&lt;=2025,3,4))))</f>
        <v>1</v>
      </c>
      <c r="Y31" s="49">
        <v>1</v>
      </c>
      <c r="Z31" s="49" t="s">
        <v>114</v>
      </c>
      <c r="AA31" s="49" t="str">
        <f t="shared" si="14"/>
        <v>D</v>
      </c>
      <c r="AB31" s="61">
        <v>20</v>
      </c>
      <c r="AC31" s="61">
        <v>230</v>
      </c>
      <c r="AD31" s="61">
        <f>IF(O31="개량",ROUND(VLOOKUP($F31,'개량사업비 산정기준'!$A$5:$I$23,2,FALSE)/1000,0),"")</f>
        <v>43</v>
      </c>
      <c r="AE31" s="61"/>
      <c r="AF31" s="61">
        <f>IF(Q31="개량",ROUND(VLOOKUP($F31,'개량사업비 산정기준'!$A$5:$I$23,6,FALSE)/1000,0),"")</f>
        <v>29</v>
      </c>
      <c r="AG31" s="61">
        <f>IF(R31="개량",ROUND(VLOOKUP($F31,'개량사업비 산정기준'!$A$5:$I$23,7,FALSE)/1000,0),"")</f>
        <v>20</v>
      </c>
      <c r="AH31" s="61">
        <f>IF(S31="개량",ROUND(((AB31*'개량사업비 산정기준'!$B$34)+(AC31*'개량사업비 산정기준'!$C$34))/1000000,0),"")</f>
        <v>55</v>
      </c>
      <c r="AI31" s="61">
        <f>IF((AB31+AC31)&lt;=1000,ROUND('개량사업비 산정기준'!$B$45/1000,0),IF((AB31+AC31)&lt;=2000,ROUND('개량사업비 산정기준'!$C$45/1000,0),ROUND('개량사업비 산정기준'!$E$45/1000,0)))</f>
        <v>9</v>
      </c>
      <c r="AJ31" s="61">
        <f>IF($AA31="D",ROUND('개량사업비 산정기준'!$F$56/1000,0),IF($AA31="E",ROUND('개량사업비 산정기준'!$F$56/1000,0),""))</f>
        <v>48</v>
      </c>
      <c r="AK31" s="61">
        <f t="shared" si="15"/>
        <v>204</v>
      </c>
      <c r="AL31" s="61">
        <v>1</v>
      </c>
      <c r="AM31" s="61">
        <f t="shared" si="16"/>
        <v>204</v>
      </c>
      <c r="AN31" s="61">
        <f t="shared" si="17"/>
        <v>0</v>
      </c>
      <c r="AO31" s="61">
        <f t="shared" si="18"/>
        <v>0</v>
      </c>
      <c r="AP31" s="61">
        <f t="shared" si="19"/>
        <v>0</v>
      </c>
      <c r="AQ31" s="49"/>
    </row>
    <row r="32" spans="1:43" ht="20.100000000000001" customHeight="1">
      <c r="A32" s="49" t="s">
        <v>446</v>
      </c>
      <c r="B32" s="49">
        <v>26</v>
      </c>
      <c r="C32" s="56" t="s">
        <v>179</v>
      </c>
      <c r="D32" s="56" t="s">
        <v>173</v>
      </c>
      <c r="E32" s="56" t="s">
        <v>178</v>
      </c>
      <c r="F32" s="49">
        <f>VLOOKUP(C32,'[1]논산시 마을상수도'!$E$5:$K$171,6,FALSE)</f>
        <v>100</v>
      </c>
      <c r="G32" s="49">
        <f>VLOOKUP(C32,'[1]논산시 마을상수도'!$E$5:$K$171,3,FALSE)</f>
        <v>2000</v>
      </c>
      <c r="H32" s="49">
        <f>VLOOKUP($C32,'[1]논산시 마을상수도'!$E$5:$K$171,4,FALSE)</f>
        <v>48</v>
      </c>
      <c r="I32" s="49">
        <v>2000</v>
      </c>
      <c r="J32" s="49"/>
      <c r="K32" s="49">
        <v>2000</v>
      </c>
      <c r="L32" s="49">
        <f t="shared" si="9"/>
        <v>2000</v>
      </c>
      <c r="M32" s="49">
        <v>2000</v>
      </c>
      <c r="N32" s="64">
        <v>2025</v>
      </c>
      <c r="O32" s="49" t="str">
        <f t="shared" si="10"/>
        <v/>
      </c>
      <c r="P32" s="49"/>
      <c r="Q32" s="49" t="str">
        <f t="shared" si="11"/>
        <v/>
      </c>
      <c r="R32" s="49" t="str">
        <f t="shared" si="12"/>
        <v/>
      </c>
      <c r="S32" s="49" t="str">
        <f t="shared" si="13"/>
        <v/>
      </c>
      <c r="T32" s="49" t="str">
        <f t="shared" si="20"/>
        <v/>
      </c>
      <c r="U32" s="49" t="str">
        <f t="shared" si="21"/>
        <v/>
      </c>
      <c r="V32" s="49" t="str">
        <f t="shared" si="22"/>
        <v/>
      </c>
      <c r="W32" s="49" t="str">
        <f t="shared" si="23"/>
        <v/>
      </c>
      <c r="X32" s="49" t="str">
        <f t="shared" si="24"/>
        <v/>
      </c>
      <c r="Y32" s="49"/>
      <c r="Z32" s="49" t="s">
        <v>114</v>
      </c>
      <c r="AA32" s="49" t="str">
        <f t="shared" si="14"/>
        <v>E</v>
      </c>
      <c r="AB32" s="61"/>
      <c r="AC32" s="61"/>
      <c r="AD32" s="61" t="str">
        <f>IF(O32="개량",ROUND(VLOOKUP($F32,'개량사업비 산정기준'!$A$5:$I$23,2,FALSE)/1000,0),"")</f>
        <v/>
      </c>
      <c r="AE32" s="61"/>
      <c r="AF32" s="61" t="str">
        <f>IF(Q32="개량",ROUND(VLOOKUP($F32,'개량사업비 산정기준'!$A$5:$I$23,6,FALSE)/1000,0),"")</f>
        <v/>
      </c>
      <c r="AG32" s="61" t="str">
        <f>IF(R32="개량",ROUND(VLOOKUP($F32,'개량사업비 산정기준'!$A$5:$I$23,7,FALSE)/1000,0),"")</f>
        <v/>
      </c>
      <c r="AH32" s="61" t="str">
        <f>IF(S32="개량",ROUND(((AB32*'개량사업비 산정기준'!$B$34)+(AC32*'개량사업비 산정기준'!$C$34))/1000000,0),"")</f>
        <v/>
      </c>
      <c r="AI32" s="61"/>
      <c r="AJ32" s="61">
        <f>IF($AA32="D",ROUND('개량사업비 산정기준'!$F$56/1000,0),IF($AA32="E",ROUND('개량사업비 산정기준'!$F$56/1000,0),""))</f>
        <v>48</v>
      </c>
      <c r="AK32" s="61">
        <f t="shared" si="15"/>
        <v>48</v>
      </c>
      <c r="AL32" s="61"/>
      <c r="AM32" s="61">
        <f t="shared" si="16"/>
        <v>0</v>
      </c>
      <c r="AN32" s="61">
        <f t="shared" si="17"/>
        <v>0</v>
      </c>
      <c r="AO32" s="61">
        <f t="shared" si="18"/>
        <v>0</v>
      </c>
      <c r="AP32" s="61">
        <f t="shared" si="19"/>
        <v>0</v>
      </c>
      <c r="AQ32" s="49"/>
    </row>
    <row r="33" spans="1:43" ht="20.100000000000001" customHeight="1">
      <c r="A33" s="49" t="s">
        <v>446</v>
      </c>
      <c r="B33" s="49">
        <v>27</v>
      </c>
      <c r="C33" s="56" t="s">
        <v>180</v>
      </c>
      <c r="D33" s="56" t="s">
        <v>173</v>
      </c>
      <c r="E33" s="56" t="s">
        <v>19</v>
      </c>
      <c r="F33" s="49">
        <f>VLOOKUP(C33,'[1]논산시 마을상수도'!$E$5:$K$171,6,FALSE)</f>
        <v>100</v>
      </c>
      <c r="G33" s="49">
        <f>VLOOKUP(C33,'[1]논산시 마을상수도'!$E$5:$K$171,3,FALSE)</f>
        <v>2001</v>
      </c>
      <c r="H33" s="49">
        <f>VLOOKUP($C33,'[1]논산시 마을상수도'!$E$5:$K$171,4,FALSE)</f>
        <v>66</v>
      </c>
      <c r="I33" s="49">
        <f>VLOOKUP($E33,'[2]마을_소규모 인접거리'!$D$8:$P$167,8,FALSE)</f>
        <v>2001</v>
      </c>
      <c r="J33" s="49"/>
      <c r="K33" s="49">
        <f>VLOOKUP($E33,'[2]마을_소규모 인접거리'!$D$8:$P$167,12,FALSE)</f>
        <v>2001</v>
      </c>
      <c r="L33" s="49">
        <f t="shared" si="9"/>
        <v>2001</v>
      </c>
      <c r="M33" s="49">
        <v>2001</v>
      </c>
      <c r="N33" s="49">
        <v>2020</v>
      </c>
      <c r="O33" s="49" t="str">
        <f t="shared" si="10"/>
        <v/>
      </c>
      <c r="P33" s="49"/>
      <c r="Q33" s="49" t="str">
        <f t="shared" si="11"/>
        <v/>
      </c>
      <c r="R33" s="49" t="str">
        <f t="shared" si="12"/>
        <v/>
      </c>
      <c r="S33" s="49" t="str">
        <f t="shared" si="13"/>
        <v/>
      </c>
      <c r="T33" s="49" t="str">
        <f t="shared" si="20"/>
        <v/>
      </c>
      <c r="U33" s="49" t="str">
        <f t="shared" si="21"/>
        <v/>
      </c>
      <c r="V33" s="49" t="str">
        <f t="shared" si="22"/>
        <v/>
      </c>
      <c r="W33" s="49" t="str">
        <f t="shared" si="23"/>
        <v/>
      </c>
      <c r="X33" s="49" t="str">
        <f t="shared" si="24"/>
        <v/>
      </c>
      <c r="Y33" s="49"/>
      <c r="Z33" s="49" t="s">
        <v>114</v>
      </c>
      <c r="AA33" s="49" t="str">
        <f t="shared" si="14"/>
        <v>F</v>
      </c>
      <c r="AB33" s="61"/>
      <c r="AC33" s="61"/>
      <c r="AD33" s="61" t="str">
        <f>IF(O33="개량",ROUND(VLOOKUP($F33,'개량사업비 산정기준'!$A$5:$I$23,2,FALSE)/1000,0),"")</f>
        <v/>
      </c>
      <c r="AE33" s="61"/>
      <c r="AF33" s="61" t="str">
        <f>IF(Q33="개량",ROUND(VLOOKUP($F33,'개량사업비 산정기준'!$A$5:$I$23,6,FALSE)/1000,0),"")</f>
        <v/>
      </c>
      <c r="AG33" s="61" t="str">
        <f>IF(R33="개량",ROUND(VLOOKUP($F33,'개량사업비 산정기준'!$A$5:$I$23,7,FALSE)/1000,0),"")</f>
        <v/>
      </c>
      <c r="AH33" s="61" t="str">
        <f>IF(S33="개량",ROUND(((AB33*'개량사업비 산정기준'!$B$34)+(AC33*'개량사업비 산정기준'!$C$34))/1000000,0),"")</f>
        <v/>
      </c>
      <c r="AI33" s="61"/>
      <c r="AJ33" s="61" t="str">
        <f>IF($AA33="D",ROUND('개량사업비 산정기준'!$F$56/1000,0),IF($AA33="E",ROUND('개량사업비 산정기준'!$F$56/1000,0),""))</f>
        <v/>
      </c>
      <c r="AK33" s="61">
        <f t="shared" si="15"/>
        <v>0</v>
      </c>
      <c r="AL33" s="61"/>
      <c r="AM33" s="61">
        <f t="shared" si="16"/>
        <v>0</v>
      </c>
      <c r="AN33" s="61">
        <f t="shared" si="17"/>
        <v>0</v>
      </c>
      <c r="AO33" s="61">
        <f t="shared" si="18"/>
        <v>0</v>
      </c>
      <c r="AP33" s="61">
        <f t="shared" si="19"/>
        <v>0</v>
      </c>
      <c r="AQ33" s="49"/>
    </row>
    <row r="34" spans="1:43" ht="20.100000000000001" customHeight="1">
      <c r="A34" s="49" t="s">
        <v>446</v>
      </c>
      <c r="B34" s="49">
        <v>28</v>
      </c>
      <c r="C34" s="56" t="s">
        <v>181</v>
      </c>
      <c r="D34" s="56" t="s">
        <v>173</v>
      </c>
      <c r="E34" s="56" t="s">
        <v>20</v>
      </c>
      <c r="F34" s="49">
        <f>VLOOKUP(C34,'[1]논산시 마을상수도'!$E$5:$K$171,6,FALSE)</f>
        <v>70</v>
      </c>
      <c r="G34" s="49">
        <f>VLOOKUP(C34,'[1]논산시 마을상수도'!$E$5:$K$171,3,FALSE)</f>
        <v>2003</v>
      </c>
      <c r="H34" s="49">
        <f>VLOOKUP($C34,'[1]논산시 마을상수도'!$E$5:$K$171,4,FALSE)</f>
        <v>55</v>
      </c>
      <c r="I34" s="49">
        <f>VLOOKUP($E34,'[2]마을_소규모 인접거리'!$D$8:$P$167,8,FALSE)</f>
        <v>2003</v>
      </c>
      <c r="J34" s="49"/>
      <c r="K34" s="49">
        <f>VLOOKUP($E34,'[2]마을_소규모 인접거리'!$D$8:$P$167,12,FALSE)</f>
        <v>2003</v>
      </c>
      <c r="L34" s="49">
        <f t="shared" si="9"/>
        <v>2003</v>
      </c>
      <c r="M34" s="49">
        <v>2003</v>
      </c>
      <c r="N34" s="49">
        <v>2020</v>
      </c>
      <c r="O34" s="49" t="str">
        <f t="shared" si="10"/>
        <v/>
      </c>
      <c r="P34" s="49"/>
      <c r="Q34" s="49" t="str">
        <f t="shared" si="11"/>
        <v/>
      </c>
      <c r="R34" s="49" t="str">
        <f t="shared" si="12"/>
        <v/>
      </c>
      <c r="S34" s="49" t="str">
        <f t="shared" si="13"/>
        <v/>
      </c>
      <c r="T34" s="49" t="str">
        <f t="shared" si="20"/>
        <v/>
      </c>
      <c r="U34" s="49" t="str">
        <f t="shared" si="21"/>
        <v/>
      </c>
      <c r="V34" s="49" t="str">
        <f t="shared" si="22"/>
        <v/>
      </c>
      <c r="W34" s="49" t="str">
        <f t="shared" si="23"/>
        <v/>
      </c>
      <c r="X34" s="49" t="str">
        <f t="shared" si="24"/>
        <v/>
      </c>
      <c r="Y34" s="49"/>
      <c r="Z34" s="49" t="s">
        <v>114</v>
      </c>
      <c r="AA34" s="49" t="str">
        <f t="shared" si="14"/>
        <v>F</v>
      </c>
      <c r="AB34" s="61"/>
      <c r="AC34" s="61"/>
      <c r="AD34" s="61" t="str">
        <f>IF(O34="개량",ROUND(VLOOKUP($F34,'개량사업비 산정기준'!$A$5:$I$23,2,FALSE)/1000,0),"")</f>
        <v/>
      </c>
      <c r="AE34" s="61"/>
      <c r="AF34" s="61" t="str">
        <f>IF(Q34="개량",ROUND(VLOOKUP($F34,'개량사업비 산정기준'!$A$5:$I$23,6,FALSE)/1000,0),"")</f>
        <v/>
      </c>
      <c r="AG34" s="61" t="str">
        <f>IF(R34="개량",ROUND(VLOOKUP($F34,'개량사업비 산정기준'!$A$5:$I$23,7,FALSE)/1000,0),"")</f>
        <v/>
      </c>
      <c r="AH34" s="61" t="str">
        <f>IF(S34="개량",ROUND(((AB34*'개량사업비 산정기준'!$B$34)+(AC34*'개량사업비 산정기준'!$C$34))/1000000,0),"")</f>
        <v/>
      </c>
      <c r="AI34" s="61"/>
      <c r="AJ34" s="61" t="str">
        <f>IF($AA34="D",ROUND('개량사업비 산정기준'!$F$56/1000,0),IF($AA34="E",ROUND('개량사업비 산정기준'!$F$56/1000,0),""))</f>
        <v/>
      </c>
      <c r="AK34" s="61">
        <f t="shared" si="15"/>
        <v>0</v>
      </c>
      <c r="AL34" s="61"/>
      <c r="AM34" s="61">
        <f t="shared" si="16"/>
        <v>0</v>
      </c>
      <c r="AN34" s="61">
        <f t="shared" si="17"/>
        <v>0</v>
      </c>
      <c r="AO34" s="61">
        <f t="shared" si="18"/>
        <v>0</v>
      </c>
      <c r="AP34" s="61">
        <f t="shared" si="19"/>
        <v>0</v>
      </c>
      <c r="AQ34" s="49"/>
    </row>
    <row r="35" spans="1:43" ht="20.100000000000001" customHeight="1">
      <c r="A35" s="49" t="s">
        <v>446</v>
      </c>
      <c r="B35" s="49">
        <v>29</v>
      </c>
      <c r="C35" s="56" t="s">
        <v>182</v>
      </c>
      <c r="D35" s="56" t="s">
        <v>173</v>
      </c>
      <c r="E35" s="56" t="s">
        <v>21</v>
      </c>
      <c r="F35" s="49">
        <f>VLOOKUP(C35,'[1]논산시 마을상수도'!$E$5:$K$171,6,FALSE)</f>
        <v>80</v>
      </c>
      <c r="G35" s="49">
        <f>VLOOKUP(C35,'[1]논산시 마을상수도'!$E$5:$K$171,3,FALSE)</f>
        <v>2003</v>
      </c>
      <c r="H35" s="49">
        <f>VLOOKUP($C35,'[1]논산시 마을상수도'!$E$5:$K$171,4,FALSE)</f>
        <v>50</v>
      </c>
      <c r="I35" s="49">
        <f>VLOOKUP($E35,'[2]마을_소규모 인접거리'!$D$8:$P$167,8,FALSE)</f>
        <v>2003</v>
      </c>
      <c r="J35" s="49"/>
      <c r="K35" s="49">
        <f>VLOOKUP($E35,'[2]마을_소규모 인접거리'!$D$8:$P$167,12,FALSE)</f>
        <v>2003</v>
      </c>
      <c r="L35" s="49">
        <f t="shared" si="9"/>
        <v>2003</v>
      </c>
      <c r="M35" s="49">
        <v>2003</v>
      </c>
      <c r="N35" s="64">
        <v>2025</v>
      </c>
      <c r="O35" s="49" t="str">
        <f t="shared" si="10"/>
        <v/>
      </c>
      <c r="P35" s="49"/>
      <c r="Q35" s="49" t="str">
        <f t="shared" si="11"/>
        <v/>
      </c>
      <c r="R35" s="49" t="str">
        <f t="shared" si="12"/>
        <v/>
      </c>
      <c r="S35" s="49" t="str">
        <f t="shared" si="13"/>
        <v/>
      </c>
      <c r="T35" s="49" t="str">
        <f t="shared" si="20"/>
        <v/>
      </c>
      <c r="U35" s="49" t="str">
        <f t="shared" si="21"/>
        <v/>
      </c>
      <c r="V35" s="49" t="str">
        <f t="shared" si="22"/>
        <v/>
      </c>
      <c r="W35" s="49" t="str">
        <f t="shared" si="23"/>
        <v/>
      </c>
      <c r="X35" s="49" t="str">
        <f t="shared" si="24"/>
        <v/>
      </c>
      <c r="Y35" s="49"/>
      <c r="Z35" s="49" t="s">
        <v>114</v>
      </c>
      <c r="AA35" s="49" t="str">
        <f t="shared" si="14"/>
        <v>E</v>
      </c>
      <c r="AB35" s="61"/>
      <c r="AC35" s="61"/>
      <c r="AD35" s="61" t="str">
        <f>IF(O35="개량",ROUND(VLOOKUP($F35,'개량사업비 산정기준'!$A$5:$I$23,2,FALSE)/1000,0),"")</f>
        <v/>
      </c>
      <c r="AE35" s="61"/>
      <c r="AF35" s="61" t="str">
        <f>IF(Q35="개량",ROUND(VLOOKUP($F35,'개량사업비 산정기준'!$A$5:$I$23,6,FALSE)/1000,0),"")</f>
        <v/>
      </c>
      <c r="AG35" s="61" t="str">
        <f>IF(R35="개량",ROUND(VLOOKUP($F35,'개량사업비 산정기준'!$A$5:$I$23,7,FALSE)/1000,0),"")</f>
        <v/>
      </c>
      <c r="AH35" s="61" t="str">
        <f>IF(S35="개량",ROUND(((AB35*'개량사업비 산정기준'!$B$34)+(AC35*'개량사업비 산정기준'!$C$34))/1000000,0),"")</f>
        <v/>
      </c>
      <c r="AI35" s="61"/>
      <c r="AJ35" s="61">
        <f>IF($AA35="D",ROUND('개량사업비 산정기준'!$F$56/1000,0),IF($AA35="E",ROUND('개량사업비 산정기준'!$F$56/1000,0),""))</f>
        <v>48</v>
      </c>
      <c r="AK35" s="61">
        <f t="shared" si="15"/>
        <v>48</v>
      </c>
      <c r="AL35" s="61"/>
      <c r="AM35" s="61">
        <f t="shared" si="16"/>
        <v>0</v>
      </c>
      <c r="AN35" s="61">
        <f t="shared" si="17"/>
        <v>0</v>
      </c>
      <c r="AO35" s="61">
        <f t="shared" si="18"/>
        <v>0</v>
      </c>
      <c r="AP35" s="61">
        <f t="shared" si="19"/>
        <v>0</v>
      </c>
      <c r="AQ35" s="49"/>
    </row>
    <row r="36" spans="1:43" ht="20.100000000000001" customHeight="1">
      <c r="A36" s="49" t="s">
        <v>446</v>
      </c>
      <c r="B36" s="49">
        <v>30</v>
      </c>
      <c r="C36" s="56" t="s">
        <v>183</v>
      </c>
      <c r="D36" s="56" t="s">
        <v>173</v>
      </c>
      <c r="E36" s="56" t="s">
        <v>22</v>
      </c>
      <c r="F36" s="49">
        <f>VLOOKUP(C36,'[1]논산시 마을상수도'!$E$5:$K$171,6,FALSE)</f>
        <v>110</v>
      </c>
      <c r="G36" s="49">
        <f>VLOOKUP(C36,'[1]논산시 마을상수도'!$E$5:$K$171,3,FALSE)</f>
        <v>2005</v>
      </c>
      <c r="H36" s="49">
        <f>VLOOKUP($C36,'[1]논산시 마을상수도'!$E$5:$K$171,4,FALSE)</f>
        <v>53</v>
      </c>
      <c r="I36" s="49">
        <f>VLOOKUP($E36,'[2]마을_소규모 인접거리'!$D$8:$P$167,8,FALSE)</f>
        <v>2005</v>
      </c>
      <c r="J36" s="49"/>
      <c r="K36" s="49">
        <f>VLOOKUP($E36,'[2]마을_소규모 인접거리'!$D$8:$P$167,12,FALSE)</f>
        <v>2005</v>
      </c>
      <c r="L36" s="49">
        <f t="shared" si="9"/>
        <v>2005</v>
      </c>
      <c r="M36" s="49">
        <v>2005</v>
      </c>
      <c r="N36" s="49">
        <v>2020</v>
      </c>
      <c r="O36" s="49" t="str">
        <f t="shared" si="10"/>
        <v/>
      </c>
      <c r="P36" s="49"/>
      <c r="Q36" s="49" t="str">
        <f t="shared" si="11"/>
        <v/>
      </c>
      <c r="R36" s="49" t="str">
        <f t="shared" si="12"/>
        <v/>
      </c>
      <c r="S36" s="49" t="str">
        <f t="shared" si="13"/>
        <v/>
      </c>
      <c r="T36" s="49" t="str">
        <f t="shared" si="20"/>
        <v/>
      </c>
      <c r="U36" s="49" t="str">
        <f t="shared" si="21"/>
        <v/>
      </c>
      <c r="V36" s="49" t="str">
        <f t="shared" si="22"/>
        <v/>
      </c>
      <c r="W36" s="49" t="str">
        <f t="shared" si="23"/>
        <v/>
      </c>
      <c r="X36" s="49" t="str">
        <f t="shared" si="24"/>
        <v/>
      </c>
      <c r="Y36" s="49"/>
      <c r="Z36" s="49" t="s">
        <v>114</v>
      </c>
      <c r="AA36" s="49" t="str">
        <f t="shared" si="14"/>
        <v>F</v>
      </c>
      <c r="AB36" s="61"/>
      <c r="AC36" s="61"/>
      <c r="AD36" s="61" t="str">
        <f>IF(O36="개량",ROUND(VLOOKUP($F36,'개량사업비 산정기준'!$A$5:$I$23,2,FALSE)/1000,0),"")</f>
        <v/>
      </c>
      <c r="AE36" s="61"/>
      <c r="AF36" s="61" t="str">
        <f>IF(Q36="개량",ROUND(VLOOKUP($F36,'개량사업비 산정기준'!$A$5:$I$23,6,FALSE)/1000,0),"")</f>
        <v/>
      </c>
      <c r="AG36" s="61" t="str">
        <f>IF(R36="개량",ROUND(VLOOKUP($F36,'개량사업비 산정기준'!$A$5:$I$23,7,FALSE)/1000,0),"")</f>
        <v/>
      </c>
      <c r="AH36" s="61" t="str">
        <f>IF(S36="개량",ROUND(((AB36*'개량사업비 산정기준'!$B$34)+(AC36*'개량사업비 산정기준'!$C$34))/1000000,0),"")</f>
        <v/>
      </c>
      <c r="AI36" s="61"/>
      <c r="AJ36" s="61" t="str">
        <f>IF($AA36="D",ROUND('개량사업비 산정기준'!$F$56/1000,0),IF($AA36="E",ROUND('개량사업비 산정기준'!$F$56/1000,0),""))</f>
        <v/>
      </c>
      <c r="AK36" s="61">
        <f t="shared" si="15"/>
        <v>0</v>
      </c>
      <c r="AL36" s="61"/>
      <c r="AM36" s="61">
        <f t="shared" si="16"/>
        <v>0</v>
      </c>
      <c r="AN36" s="61">
        <f t="shared" si="17"/>
        <v>0</v>
      </c>
      <c r="AO36" s="61">
        <f t="shared" si="18"/>
        <v>0</v>
      </c>
      <c r="AP36" s="61">
        <f t="shared" si="19"/>
        <v>0</v>
      </c>
      <c r="AQ36" s="49"/>
    </row>
    <row r="37" spans="1:43" ht="20.100000000000001" customHeight="1">
      <c r="A37" s="49" t="s">
        <v>446</v>
      </c>
      <c r="B37" s="49">
        <v>31</v>
      </c>
      <c r="C37" s="56" t="s">
        <v>184</v>
      </c>
      <c r="D37" s="56" t="s">
        <v>173</v>
      </c>
      <c r="E37" s="56" t="s">
        <v>23</v>
      </c>
      <c r="F37" s="49">
        <f>VLOOKUP(C37,'[1]논산시 마을상수도'!$E$5:$K$171,6,FALSE)</f>
        <v>50</v>
      </c>
      <c r="G37" s="49">
        <f>VLOOKUP(C37,'[1]논산시 마을상수도'!$E$5:$K$171,3,FALSE)</f>
        <v>2006</v>
      </c>
      <c r="H37" s="49">
        <f>VLOOKUP($C37,'[1]논산시 마을상수도'!$E$5:$K$171,4,FALSE)</f>
        <v>25</v>
      </c>
      <c r="I37" s="49">
        <f>VLOOKUP($E37,'[2]마을_소규모 인접거리'!$D$8:$P$167,8,FALSE)</f>
        <v>2006</v>
      </c>
      <c r="J37" s="49"/>
      <c r="K37" s="49">
        <f>VLOOKUP($E37,'[2]마을_소규모 인접거리'!$D$8:$P$167,12,FALSE)</f>
        <v>2006</v>
      </c>
      <c r="L37" s="49">
        <f t="shared" si="9"/>
        <v>2006</v>
      </c>
      <c r="M37" s="49">
        <v>2006</v>
      </c>
      <c r="N37" s="64">
        <v>2025</v>
      </c>
      <c r="O37" s="49" t="str">
        <f t="shared" si="10"/>
        <v/>
      </c>
      <c r="P37" s="49"/>
      <c r="Q37" s="49" t="str">
        <f t="shared" si="11"/>
        <v/>
      </c>
      <c r="R37" s="49" t="str">
        <f t="shared" si="12"/>
        <v/>
      </c>
      <c r="S37" s="49" t="str">
        <f t="shared" si="13"/>
        <v/>
      </c>
      <c r="T37" s="49" t="str">
        <f t="shared" si="20"/>
        <v/>
      </c>
      <c r="U37" s="49" t="str">
        <f t="shared" si="21"/>
        <v/>
      </c>
      <c r="V37" s="49" t="str">
        <f t="shared" si="22"/>
        <v/>
      </c>
      <c r="W37" s="49" t="str">
        <f t="shared" si="23"/>
        <v/>
      </c>
      <c r="X37" s="49" t="str">
        <f t="shared" si="24"/>
        <v/>
      </c>
      <c r="Y37" s="49"/>
      <c r="Z37" s="49" t="s">
        <v>114</v>
      </c>
      <c r="AA37" s="49" t="str">
        <f t="shared" si="14"/>
        <v>E</v>
      </c>
      <c r="AB37" s="61"/>
      <c r="AC37" s="61"/>
      <c r="AD37" s="61" t="str">
        <f>IF(O37="개량",ROUND(VLOOKUP($F37,'개량사업비 산정기준'!$A$5:$I$23,2,FALSE)/1000,0),"")</f>
        <v/>
      </c>
      <c r="AE37" s="61"/>
      <c r="AF37" s="61" t="str">
        <f>IF(Q37="개량",ROUND(VLOOKUP($F37,'개량사업비 산정기준'!$A$5:$I$23,6,FALSE)/1000,0),"")</f>
        <v/>
      </c>
      <c r="AG37" s="61" t="str">
        <f>IF(R37="개량",ROUND(VLOOKUP($F37,'개량사업비 산정기준'!$A$5:$I$23,7,FALSE)/1000,0),"")</f>
        <v/>
      </c>
      <c r="AH37" s="61" t="str">
        <f>IF(S37="개량",ROUND(((AB37*'개량사업비 산정기준'!$B$34)+(AC37*'개량사업비 산정기준'!$C$34))/1000000,0),"")</f>
        <v/>
      </c>
      <c r="AI37" s="61"/>
      <c r="AJ37" s="61">
        <f>IF($AA37="D",ROUND('개량사업비 산정기준'!$F$56/1000,0),IF($AA37="E",ROUND('개량사업비 산정기준'!$F$56/1000,0),""))</f>
        <v>48</v>
      </c>
      <c r="AK37" s="61">
        <f t="shared" si="15"/>
        <v>48</v>
      </c>
      <c r="AL37" s="61"/>
      <c r="AM37" s="61">
        <f t="shared" si="16"/>
        <v>0</v>
      </c>
      <c r="AN37" s="61">
        <f t="shared" si="17"/>
        <v>0</v>
      </c>
      <c r="AO37" s="61">
        <f t="shared" si="18"/>
        <v>0</v>
      </c>
      <c r="AP37" s="61">
        <f t="shared" si="19"/>
        <v>0</v>
      </c>
      <c r="AQ37" s="49"/>
    </row>
    <row r="38" spans="1:43" ht="20.100000000000001" customHeight="1">
      <c r="A38" s="49" t="s">
        <v>446</v>
      </c>
      <c r="B38" s="49">
        <v>32</v>
      </c>
      <c r="C38" s="56" t="s">
        <v>185</v>
      </c>
      <c r="D38" s="56" t="s">
        <v>173</v>
      </c>
      <c r="E38" s="56" t="s">
        <v>24</v>
      </c>
      <c r="F38" s="49">
        <f>VLOOKUP(C38,'[1]논산시 마을상수도'!$E$5:$K$171,6,FALSE)</f>
        <v>100</v>
      </c>
      <c r="G38" s="49">
        <f>VLOOKUP(C38,'[1]논산시 마을상수도'!$E$5:$K$171,3,FALSE)</f>
        <v>2009</v>
      </c>
      <c r="H38" s="49">
        <f>VLOOKUP($C38,'[1]논산시 마을상수도'!$E$5:$K$171,4,FALSE)</f>
        <v>61</v>
      </c>
      <c r="I38" s="49">
        <f>VLOOKUP($E38,'[2]마을_소규모 인접거리'!$D$8:$P$167,8,FALSE)</f>
        <v>2009</v>
      </c>
      <c r="J38" s="49"/>
      <c r="K38" s="49">
        <f>VLOOKUP($E38,'[2]마을_소규모 인접거리'!$D$8:$P$167,12,FALSE)</f>
        <v>2009</v>
      </c>
      <c r="L38" s="49">
        <f t="shared" si="9"/>
        <v>2009</v>
      </c>
      <c r="M38" s="49">
        <v>2009</v>
      </c>
      <c r="N38" s="49">
        <v>2020</v>
      </c>
      <c r="O38" s="49" t="str">
        <f t="shared" si="10"/>
        <v/>
      </c>
      <c r="P38" s="49"/>
      <c r="Q38" s="49" t="str">
        <f t="shared" si="11"/>
        <v/>
      </c>
      <c r="R38" s="49" t="str">
        <f t="shared" si="12"/>
        <v/>
      </c>
      <c r="S38" s="49" t="str">
        <f t="shared" si="13"/>
        <v/>
      </c>
      <c r="T38" s="49" t="str">
        <f t="shared" si="20"/>
        <v/>
      </c>
      <c r="U38" s="49" t="str">
        <f t="shared" si="21"/>
        <v/>
      </c>
      <c r="V38" s="49" t="str">
        <f t="shared" si="22"/>
        <v/>
      </c>
      <c r="W38" s="49" t="str">
        <f t="shared" si="23"/>
        <v/>
      </c>
      <c r="X38" s="49" t="str">
        <f t="shared" si="24"/>
        <v/>
      </c>
      <c r="Y38" s="49"/>
      <c r="Z38" s="49" t="s">
        <v>114</v>
      </c>
      <c r="AA38" s="49" t="str">
        <f t="shared" si="14"/>
        <v>F</v>
      </c>
      <c r="AB38" s="61"/>
      <c r="AC38" s="61"/>
      <c r="AD38" s="61" t="str">
        <f>IF(O38="개량",ROUND(VLOOKUP($F38,'개량사업비 산정기준'!$A$5:$I$23,2,FALSE)/1000,0),"")</f>
        <v/>
      </c>
      <c r="AE38" s="61"/>
      <c r="AF38" s="61" t="str">
        <f>IF(Q38="개량",ROUND(VLOOKUP($F38,'개량사업비 산정기준'!$A$5:$I$23,6,FALSE)/1000,0),"")</f>
        <v/>
      </c>
      <c r="AG38" s="61" t="str">
        <f>IF(R38="개량",ROUND(VLOOKUP($F38,'개량사업비 산정기준'!$A$5:$I$23,7,FALSE)/1000,0),"")</f>
        <v/>
      </c>
      <c r="AH38" s="61" t="str">
        <f>IF(S38="개량",ROUND(((AB38*'개량사업비 산정기준'!$B$34)+(AC38*'개량사업비 산정기준'!$C$34))/1000000,0),"")</f>
        <v/>
      </c>
      <c r="AI38" s="61"/>
      <c r="AJ38" s="61" t="str">
        <f>IF($AA38="D",ROUND('개량사업비 산정기준'!$F$56/1000,0),IF($AA38="E",ROUND('개량사업비 산정기준'!$F$56/1000,0),""))</f>
        <v/>
      </c>
      <c r="AK38" s="61">
        <f t="shared" si="15"/>
        <v>0</v>
      </c>
      <c r="AL38" s="61"/>
      <c r="AM38" s="61">
        <f t="shared" si="16"/>
        <v>0</v>
      </c>
      <c r="AN38" s="61">
        <f t="shared" si="17"/>
        <v>0</v>
      </c>
      <c r="AO38" s="61">
        <f t="shared" si="18"/>
        <v>0</v>
      </c>
      <c r="AP38" s="61">
        <f t="shared" si="19"/>
        <v>0</v>
      </c>
      <c r="AQ38" s="49"/>
    </row>
    <row r="39" spans="1:43" ht="20.100000000000001" customHeight="1">
      <c r="A39" s="49" t="s">
        <v>446</v>
      </c>
      <c r="B39" s="49">
        <v>33</v>
      </c>
      <c r="C39" s="56" t="s">
        <v>187</v>
      </c>
      <c r="D39" s="56" t="s">
        <v>173</v>
      </c>
      <c r="E39" s="56" t="s">
        <v>186</v>
      </c>
      <c r="F39" s="49">
        <f>VLOOKUP(C39,'[1]논산시 마을상수도'!$E$5:$K$171,6,FALSE)</f>
        <v>110</v>
      </c>
      <c r="G39" s="49">
        <f>VLOOKUP(C39,'[1]논산시 마을상수도'!$E$5:$K$171,3,FALSE)</f>
        <v>2010</v>
      </c>
      <c r="H39" s="49">
        <f>VLOOKUP($C39,'[1]논산시 마을상수도'!$E$5:$K$171,4,FALSE)</f>
        <v>73</v>
      </c>
      <c r="I39" s="49" t="str">
        <f>VLOOKUP($E39,'[2]마을_소규모 인접거리'!$D$8:$P$167,8,FALSE)</f>
        <v>2010</v>
      </c>
      <c r="J39" s="49"/>
      <c r="K39" s="49" t="str">
        <f>VLOOKUP($E39,'[2]마을_소규모 인접거리'!$D$8:$P$167,12,FALSE)</f>
        <v>2010</v>
      </c>
      <c r="L39" s="49" t="str">
        <f t="shared" si="9"/>
        <v>2010</v>
      </c>
      <c r="M39" s="49">
        <v>2010</v>
      </c>
      <c r="N39" s="64">
        <v>2025</v>
      </c>
      <c r="O39" s="49" t="str">
        <f t="shared" si="10"/>
        <v/>
      </c>
      <c r="P39" s="49"/>
      <c r="Q39" s="49" t="str">
        <f t="shared" si="11"/>
        <v/>
      </c>
      <c r="R39" s="49" t="str">
        <f t="shared" si="12"/>
        <v/>
      </c>
      <c r="S39" s="49" t="str">
        <f t="shared" si="13"/>
        <v/>
      </c>
      <c r="T39" s="49" t="str">
        <f t="shared" si="20"/>
        <v/>
      </c>
      <c r="U39" s="49" t="str">
        <f t="shared" si="21"/>
        <v/>
      </c>
      <c r="V39" s="49" t="str">
        <f t="shared" si="22"/>
        <v/>
      </c>
      <c r="W39" s="49" t="str">
        <f t="shared" si="23"/>
        <v/>
      </c>
      <c r="X39" s="49" t="str">
        <f t="shared" si="24"/>
        <v/>
      </c>
      <c r="Y39" s="49"/>
      <c r="Z39" s="49" t="s">
        <v>114</v>
      </c>
      <c r="AA39" s="49" t="str">
        <f t="shared" si="14"/>
        <v>E</v>
      </c>
      <c r="AB39" s="61"/>
      <c r="AC39" s="61"/>
      <c r="AD39" s="61" t="str">
        <f>IF(O39="개량",ROUND(VLOOKUP($F39,'개량사업비 산정기준'!$A$5:$I$23,2,FALSE)/1000,0),"")</f>
        <v/>
      </c>
      <c r="AE39" s="61"/>
      <c r="AF39" s="61" t="str">
        <f>IF(Q39="개량",ROUND(VLOOKUP($F39,'개량사업비 산정기준'!$A$5:$I$23,6,FALSE)/1000,0),"")</f>
        <v/>
      </c>
      <c r="AG39" s="61" t="str">
        <f>IF(R39="개량",ROUND(VLOOKUP($F39,'개량사업비 산정기준'!$A$5:$I$23,7,FALSE)/1000,0),"")</f>
        <v/>
      </c>
      <c r="AH39" s="61" t="str">
        <f>IF(S39="개량",ROUND(((AB39*'개량사업비 산정기준'!$B$34)+(AC39*'개량사업비 산정기준'!$C$34))/1000000,0),"")</f>
        <v/>
      </c>
      <c r="AI39" s="61"/>
      <c r="AJ39" s="61">
        <f>IF($AA39="D",ROUND('개량사업비 산정기준'!$F$56/1000,0),IF($AA39="E",ROUND('개량사업비 산정기준'!$F$56/1000,0),""))</f>
        <v>48</v>
      </c>
      <c r="AK39" s="61">
        <f t="shared" si="15"/>
        <v>48</v>
      </c>
      <c r="AL39" s="61"/>
      <c r="AM39" s="61">
        <f t="shared" si="16"/>
        <v>0</v>
      </c>
      <c r="AN39" s="61">
        <f t="shared" si="17"/>
        <v>0</v>
      </c>
      <c r="AO39" s="61">
        <f t="shared" si="18"/>
        <v>0</v>
      </c>
      <c r="AP39" s="61">
        <f t="shared" si="19"/>
        <v>0</v>
      </c>
      <c r="AQ39" s="49"/>
    </row>
    <row r="40" spans="1:43" ht="20.100000000000001" customHeight="1">
      <c r="A40" s="49" t="s">
        <v>446</v>
      </c>
      <c r="B40" s="49">
        <v>34</v>
      </c>
      <c r="C40" s="56" t="s">
        <v>189</v>
      </c>
      <c r="D40" s="56" t="s">
        <v>188</v>
      </c>
      <c r="E40" s="56" t="s">
        <v>25</v>
      </c>
      <c r="F40" s="49">
        <f>VLOOKUP(C40,'[1]논산시 마을상수도'!$E$5:$K$171,6,FALSE)</f>
        <v>130</v>
      </c>
      <c r="G40" s="49">
        <f>VLOOKUP(C40,'[1]논산시 마을상수도'!$E$5:$K$171,3,FALSE)</f>
        <v>2000</v>
      </c>
      <c r="H40" s="49">
        <f>VLOOKUP($C40,'[1]논산시 마을상수도'!$E$5:$K$171,4,FALSE)</f>
        <v>85</v>
      </c>
      <c r="I40" s="49">
        <f>VLOOKUP($E40,'[2]마을_소규모 인접거리'!$D$8:$P$167,8,FALSE)</f>
        <v>2000</v>
      </c>
      <c r="J40" s="49"/>
      <c r="K40" s="49">
        <f>VLOOKUP($E40,'[2]마을_소규모 인접거리'!$D$8:$P$167,12,FALSE)</f>
        <v>2000</v>
      </c>
      <c r="L40" s="49">
        <f t="shared" si="9"/>
        <v>2000</v>
      </c>
      <c r="M40" s="49">
        <v>2000</v>
      </c>
      <c r="N40" s="49">
        <v>2020</v>
      </c>
      <c r="O40" s="49" t="str">
        <f t="shared" si="10"/>
        <v/>
      </c>
      <c r="P40" s="49"/>
      <c r="Q40" s="49" t="str">
        <f t="shared" si="11"/>
        <v/>
      </c>
      <c r="R40" s="49" t="str">
        <f t="shared" si="12"/>
        <v/>
      </c>
      <c r="S40" s="49" t="str">
        <f t="shared" si="13"/>
        <v/>
      </c>
      <c r="T40" s="49" t="str">
        <f t="shared" si="20"/>
        <v/>
      </c>
      <c r="U40" s="49" t="str">
        <f t="shared" si="21"/>
        <v/>
      </c>
      <c r="V40" s="49" t="str">
        <f t="shared" si="22"/>
        <v/>
      </c>
      <c r="W40" s="49" t="str">
        <f t="shared" si="23"/>
        <v/>
      </c>
      <c r="X40" s="49" t="str">
        <f t="shared" si="24"/>
        <v/>
      </c>
      <c r="Y40" s="49"/>
      <c r="Z40" s="49" t="s">
        <v>114</v>
      </c>
      <c r="AA40" s="49" t="str">
        <f t="shared" si="14"/>
        <v>F</v>
      </c>
      <c r="AB40" s="61"/>
      <c r="AC40" s="61"/>
      <c r="AD40" s="61" t="str">
        <f>IF(O40="개량",ROUND(VLOOKUP($F40,'개량사업비 산정기준'!$A$5:$I$23,2,FALSE)/1000,0),"")</f>
        <v/>
      </c>
      <c r="AE40" s="61"/>
      <c r="AF40" s="61" t="str">
        <f>IF(Q40="개량",ROUND(VLOOKUP($F40,'개량사업비 산정기준'!$A$5:$I$23,6,FALSE)/1000,0),"")</f>
        <v/>
      </c>
      <c r="AG40" s="61" t="str">
        <f>IF(R40="개량",ROUND(VLOOKUP($F40,'개량사업비 산정기준'!$A$5:$I$23,7,FALSE)/1000,0),"")</f>
        <v/>
      </c>
      <c r="AH40" s="61" t="str">
        <f>IF(S40="개량",ROUND(((AB40*'개량사업비 산정기준'!$B$34)+(AC40*'개량사업비 산정기준'!$C$34))/1000000,0),"")</f>
        <v/>
      </c>
      <c r="AI40" s="61"/>
      <c r="AJ40" s="61" t="str">
        <f>IF($AA40="D",ROUND('개량사업비 산정기준'!$F$56/1000,0),IF($AA40="E",ROUND('개량사업비 산정기준'!$F$56/1000,0),""))</f>
        <v/>
      </c>
      <c r="AK40" s="61">
        <f t="shared" si="15"/>
        <v>0</v>
      </c>
      <c r="AL40" s="61"/>
      <c r="AM40" s="61">
        <f t="shared" si="16"/>
        <v>0</v>
      </c>
      <c r="AN40" s="61">
        <f t="shared" si="17"/>
        <v>0</v>
      </c>
      <c r="AO40" s="61">
        <f t="shared" si="18"/>
        <v>0</v>
      </c>
      <c r="AP40" s="61">
        <f t="shared" si="19"/>
        <v>0</v>
      </c>
      <c r="AQ40" s="49"/>
    </row>
    <row r="41" spans="1:43" ht="20.100000000000001" customHeight="1">
      <c r="A41" s="49" t="s">
        <v>446</v>
      </c>
      <c r="B41" s="49">
        <v>35</v>
      </c>
      <c r="C41" s="56" t="s">
        <v>191</v>
      </c>
      <c r="D41" s="56" t="s">
        <v>188</v>
      </c>
      <c r="E41" s="56" t="s">
        <v>456</v>
      </c>
      <c r="F41" s="49">
        <f>VLOOKUP(C41,'[1]논산시 마을상수도'!$E$5:$K$171,6,FALSE)</f>
        <v>50</v>
      </c>
      <c r="G41" s="49">
        <f>VLOOKUP(C41,'[1]논산시 마을상수도'!$E$5:$K$171,3,FALSE)</f>
        <v>2009</v>
      </c>
      <c r="H41" s="49">
        <f>VLOOKUP($C41,'[1]논산시 마을상수도'!$E$5:$K$171,4,FALSE)</f>
        <v>26</v>
      </c>
      <c r="I41" s="49">
        <f>VLOOKUP($E41,'[2]마을_소규모 인접거리'!$D$8:$P$167,8,FALSE)</f>
        <v>2009</v>
      </c>
      <c r="J41" s="49"/>
      <c r="K41" s="49">
        <f>VLOOKUP($E41,'[2]마을_소규모 인접거리'!$D$8:$P$167,12,FALSE)</f>
        <v>2009</v>
      </c>
      <c r="L41" s="49">
        <f t="shared" si="9"/>
        <v>2009</v>
      </c>
      <c r="M41" s="49">
        <v>2009</v>
      </c>
      <c r="N41" s="49">
        <v>2020</v>
      </c>
      <c r="O41" s="49" t="str">
        <f t="shared" si="10"/>
        <v/>
      </c>
      <c r="P41" s="49"/>
      <c r="Q41" s="49" t="str">
        <f t="shared" si="11"/>
        <v/>
      </c>
      <c r="R41" s="49" t="str">
        <f t="shared" si="12"/>
        <v/>
      </c>
      <c r="S41" s="49" t="str">
        <f t="shared" si="13"/>
        <v/>
      </c>
      <c r="T41" s="49" t="str">
        <f t="shared" si="20"/>
        <v/>
      </c>
      <c r="U41" s="49" t="str">
        <f t="shared" si="21"/>
        <v/>
      </c>
      <c r="V41" s="49" t="str">
        <f t="shared" si="22"/>
        <v/>
      </c>
      <c r="W41" s="49" t="str">
        <f t="shared" si="23"/>
        <v/>
      </c>
      <c r="X41" s="49" t="str">
        <f t="shared" si="24"/>
        <v/>
      </c>
      <c r="Y41" s="49"/>
      <c r="Z41" s="49" t="s">
        <v>114</v>
      </c>
      <c r="AA41" s="49" t="str">
        <f t="shared" si="14"/>
        <v>F</v>
      </c>
      <c r="AB41" s="61"/>
      <c r="AC41" s="61"/>
      <c r="AD41" s="61" t="str">
        <f>IF(O41="개량",ROUND(VLOOKUP($F41,'개량사업비 산정기준'!$A$5:$I$23,2,FALSE)/1000,0),"")</f>
        <v/>
      </c>
      <c r="AE41" s="61"/>
      <c r="AF41" s="61" t="str">
        <f>IF(Q41="개량",ROUND(VLOOKUP($F41,'개량사업비 산정기준'!$A$5:$I$23,6,FALSE)/1000,0),"")</f>
        <v/>
      </c>
      <c r="AG41" s="61" t="str">
        <f>IF(R41="개량",ROUND(VLOOKUP($F41,'개량사업비 산정기준'!$A$5:$I$23,7,FALSE)/1000,0),"")</f>
        <v/>
      </c>
      <c r="AH41" s="61" t="str">
        <f>IF(S41="개량",ROUND(((AB41*'개량사업비 산정기준'!$B$34)+(AC41*'개량사업비 산정기준'!$C$34))/1000000,0),"")</f>
        <v/>
      </c>
      <c r="AI41" s="61"/>
      <c r="AJ41" s="61" t="str">
        <f>IF($AA41="D",ROUND('개량사업비 산정기준'!$F$56/1000,0),IF($AA41="E",ROUND('개량사업비 산정기준'!$F$56/1000,0),""))</f>
        <v/>
      </c>
      <c r="AK41" s="61">
        <f t="shared" si="15"/>
        <v>0</v>
      </c>
      <c r="AL41" s="61"/>
      <c r="AM41" s="61">
        <f t="shared" si="16"/>
        <v>0</v>
      </c>
      <c r="AN41" s="61">
        <f t="shared" si="17"/>
        <v>0</v>
      </c>
      <c r="AO41" s="61">
        <f t="shared" si="18"/>
        <v>0</v>
      </c>
      <c r="AP41" s="61">
        <f t="shared" si="19"/>
        <v>0</v>
      </c>
      <c r="AQ41" s="49"/>
    </row>
    <row r="42" spans="1:43" ht="20.100000000000001" customHeight="1">
      <c r="A42" s="49" t="s">
        <v>446</v>
      </c>
      <c r="B42" s="49">
        <v>36</v>
      </c>
      <c r="C42" s="56" t="s">
        <v>193</v>
      </c>
      <c r="D42" s="56" t="s">
        <v>192</v>
      </c>
      <c r="E42" s="56" t="s">
        <v>26</v>
      </c>
      <c r="F42" s="49">
        <f>VLOOKUP(C42,'[1]논산시 마을상수도'!$E$5:$K$171,6,FALSE)</f>
        <v>120</v>
      </c>
      <c r="G42" s="49">
        <f>VLOOKUP(C42,'[1]논산시 마을상수도'!$E$5:$K$171,3,FALSE)</f>
        <v>1998</v>
      </c>
      <c r="H42" s="49">
        <f>VLOOKUP($C42,'[1]논산시 마을상수도'!$E$5:$K$171,4,FALSE)</f>
        <v>71</v>
      </c>
      <c r="I42" s="49">
        <f>VLOOKUP($E42,'[2]마을_소규모 인접거리'!$D$8:$P$167,8,FALSE)</f>
        <v>1998</v>
      </c>
      <c r="J42" s="49"/>
      <c r="K42" s="49">
        <f>VLOOKUP($E42,'[2]마을_소규모 인접거리'!$D$8:$P$167,12,FALSE)</f>
        <v>1998</v>
      </c>
      <c r="L42" s="49">
        <f t="shared" si="9"/>
        <v>1998</v>
      </c>
      <c r="M42" s="49">
        <v>2009</v>
      </c>
      <c r="N42" s="49">
        <v>2025</v>
      </c>
      <c r="O42" s="49" t="str">
        <f t="shared" si="10"/>
        <v/>
      </c>
      <c r="P42" s="49"/>
      <c r="Q42" s="49" t="str">
        <f t="shared" si="11"/>
        <v/>
      </c>
      <c r="R42" s="49" t="str">
        <f t="shared" si="12"/>
        <v/>
      </c>
      <c r="S42" s="49" t="str">
        <f t="shared" si="13"/>
        <v/>
      </c>
      <c r="T42" s="49" t="str">
        <f t="shared" si="20"/>
        <v/>
      </c>
      <c r="U42" s="49" t="str">
        <f t="shared" si="21"/>
        <v/>
      </c>
      <c r="V42" s="49" t="str">
        <f t="shared" si="22"/>
        <v/>
      </c>
      <c r="W42" s="49" t="str">
        <f t="shared" si="23"/>
        <v/>
      </c>
      <c r="X42" s="49" t="str">
        <f t="shared" si="24"/>
        <v/>
      </c>
      <c r="Y42" s="49">
        <v>2</v>
      </c>
      <c r="Z42" s="49" t="s">
        <v>114</v>
      </c>
      <c r="AA42" s="49" t="str">
        <f t="shared" si="14"/>
        <v>E</v>
      </c>
      <c r="AB42" s="61"/>
      <c r="AC42" s="61"/>
      <c r="AD42" s="61" t="str">
        <f>IF(O42="개량",ROUND(VLOOKUP($F42,'개량사업비 산정기준'!$A$5:$I$23,2,FALSE)/1000,0),"")</f>
        <v/>
      </c>
      <c r="AE42" s="61"/>
      <c r="AF42" s="61" t="str">
        <f>IF(Q42="개량",ROUND(VLOOKUP($F42,'개량사업비 산정기준'!$A$5:$I$23,6,FALSE)/1000,0),"")</f>
        <v/>
      </c>
      <c r="AG42" s="61" t="str">
        <f>IF(R42="개량",ROUND(VLOOKUP($F42,'개량사업비 산정기준'!$A$5:$I$23,7,FALSE)/1000,0),"")</f>
        <v/>
      </c>
      <c r="AH42" s="61" t="str">
        <f>IF(S42="개량",ROUND(((AB42*'개량사업비 산정기준'!$B$34)+(AC42*'개량사업비 산정기준'!$C$34))/1000000,0),"")</f>
        <v/>
      </c>
      <c r="AI42" s="61"/>
      <c r="AJ42" s="61">
        <f>IF($AA42="D",ROUND('개량사업비 산정기준'!$F$56/1000,0),IF($AA42="E",ROUND('개량사업비 산정기준'!$F$56/1000,0),""))</f>
        <v>48</v>
      </c>
      <c r="AK42" s="61">
        <f t="shared" si="15"/>
        <v>48</v>
      </c>
      <c r="AL42" s="61">
        <v>2</v>
      </c>
      <c r="AM42" s="61">
        <f t="shared" si="16"/>
        <v>0</v>
      </c>
      <c r="AN42" s="61">
        <f t="shared" si="17"/>
        <v>48</v>
      </c>
      <c r="AO42" s="61">
        <f t="shared" si="18"/>
        <v>0</v>
      </c>
      <c r="AP42" s="61">
        <f t="shared" si="19"/>
        <v>0</v>
      </c>
      <c r="AQ42" s="49"/>
    </row>
    <row r="43" spans="1:43" ht="20.100000000000001" customHeight="1">
      <c r="A43" s="49" t="s">
        <v>446</v>
      </c>
      <c r="B43" s="49">
        <v>37</v>
      </c>
      <c r="C43" s="56" t="s">
        <v>194</v>
      </c>
      <c r="D43" s="56" t="s">
        <v>192</v>
      </c>
      <c r="E43" s="56" t="s">
        <v>27</v>
      </c>
      <c r="F43" s="49">
        <f>VLOOKUP(C43,'[1]논산시 마을상수도'!$E$5:$K$171,6,FALSE)</f>
        <v>130</v>
      </c>
      <c r="G43" s="49">
        <f>VLOOKUP(C43,'[1]논산시 마을상수도'!$E$5:$K$171,3,FALSE)</f>
        <v>2001</v>
      </c>
      <c r="H43" s="49">
        <f>VLOOKUP($C43,'[1]논산시 마을상수도'!$E$5:$K$171,4,FALSE)</f>
        <v>83</v>
      </c>
      <c r="I43" s="49">
        <f>VLOOKUP($E43,'[2]마을_소규모 인접거리'!$D$8:$P$167,8,FALSE)</f>
        <v>2001</v>
      </c>
      <c r="J43" s="49"/>
      <c r="K43" s="49">
        <f>VLOOKUP($E43,'[2]마을_소규모 인접거리'!$D$8:$P$167,12,FALSE)</f>
        <v>2001</v>
      </c>
      <c r="L43" s="49">
        <f t="shared" si="9"/>
        <v>2001</v>
      </c>
      <c r="M43" s="49">
        <v>2001</v>
      </c>
      <c r="N43" s="49">
        <v>2025</v>
      </c>
      <c r="O43" s="49" t="str">
        <f t="shared" si="10"/>
        <v/>
      </c>
      <c r="P43" s="49"/>
      <c r="Q43" s="49" t="str">
        <f t="shared" si="11"/>
        <v/>
      </c>
      <c r="R43" s="49" t="str">
        <f t="shared" si="12"/>
        <v/>
      </c>
      <c r="S43" s="49" t="str">
        <f t="shared" si="13"/>
        <v/>
      </c>
      <c r="T43" s="49" t="str">
        <f t="shared" si="20"/>
        <v/>
      </c>
      <c r="U43" s="49" t="str">
        <f t="shared" si="21"/>
        <v/>
      </c>
      <c r="V43" s="49" t="str">
        <f t="shared" si="22"/>
        <v/>
      </c>
      <c r="W43" s="49" t="str">
        <f t="shared" si="23"/>
        <v/>
      </c>
      <c r="X43" s="49" t="str">
        <f t="shared" si="24"/>
        <v/>
      </c>
      <c r="Y43" s="49">
        <v>2</v>
      </c>
      <c r="Z43" s="49" t="s">
        <v>114</v>
      </c>
      <c r="AA43" s="49" t="str">
        <f t="shared" si="14"/>
        <v>E</v>
      </c>
      <c r="AB43" s="61"/>
      <c r="AC43" s="61"/>
      <c r="AD43" s="61" t="str">
        <f>IF(O43="개량",ROUND(VLOOKUP($F43,'개량사업비 산정기준'!$A$5:$I$23,2,FALSE)/1000,0),"")</f>
        <v/>
      </c>
      <c r="AE43" s="61"/>
      <c r="AF43" s="61" t="str">
        <f>IF(Q43="개량",ROUND(VLOOKUP($F43,'개량사업비 산정기준'!$A$5:$I$23,6,FALSE)/1000,0),"")</f>
        <v/>
      </c>
      <c r="AG43" s="61" t="str">
        <f>IF(R43="개량",ROUND(VLOOKUP($F43,'개량사업비 산정기준'!$A$5:$I$23,7,FALSE)/1000,0),"")</f>
        <v/>
      </c>
      <c r="AH43" s="61" t="str">
        <f>IF(S43="개량",ROUND(((AB43*'개량사업비 산정기준'!$B$34)+(AC43*'개량사업비 산정기준'!$C$34))/1000000,0),"")</f>
        <v/>
      </c>
      <c r="AI43" s="61"/>
      <c r="AJ43" s="61">
        <f>IF($AA43="D",ROUND('개량사업비 산정기준'!$F$56/1000,0),IF($AA43="E",ROUND('개량사업비 산정기준'!$F$56/1000,0),""))</f>
        <v>48</v>
      </c>
      <c r="AK43" s="61">
        <f t="shared" si="15"/>
        <v>48</v>
      </c>
      <c r="AL43" s="61">
        <v>2</v>
      </c>
      <c r="AM43" s="61">
        <f t="shared" si="16"/>
        <v>0</v>
      </c>
      <c r="AN43" s="61">
        <f t="shared" si="17"/>
        <v>48</v>
      </c>
      <c r="AO43" s="61">
        <f t="shared" si="18"/>
        <v>0</v>
      </c>
      <c r="AP43" s="61">
        <f t="shared" si="19"/>
        <v>0</v>
      </c>
      <c r="AQ43" s="49"/>
    </row>
    <row r="44" spans="1:43" ht="20.100000000000001" customHeight="1">
      <c r="A44" s="49" t="s">
        <v>446</v>
      </c>
      <c r="B44" s="49">
        <v>38</v>
      </c>
      <c r="C44" s="56" t="s">
        <v>195</v>
      </c>
      <c r="D44" s="56" t="s">
        <v>192</v>
      </c>
      <c r="E44" s="56" t="s">
        <v>28</v>
      </c>
      <c r="F44" s="49">
        <f>VLOOKUP(C44,'[1]논산시 마을상수도'!$E$5:$K$171,6,FALSE)</f>
        <v>80</v>
      </c>
      <c r="G44" s="49">
        <f>VLOOKUP(C44,'[1]논산시 마을상수도'!$E$5:$K$171,3,FALSE)</f>
        <v>2002</v>
      </c>
      <c r="H44" s="49">
        <f>VLOOKUP($C44,'[1]논산시 마을상수도'!$E$5:$K$171,4,FALSE)</f>
        <v>40</v>
      </c>
      <c r="I44" s="49">
        <f>VLOOKUP($E44,'[2]마을_소규모 인접거리'!$D$8:$P$167,8,FALSE)</f>
        <v>2002</v>
      </c>
      <c r="J44" s="49"/>
      <c r="K44" s="49">
        <f>VLOOKUP($E44,'[2]마을_소규모 인접거리'!$D$8:$P$167,12,FALSE)</f>
        <v>2002</v>
      </c>
      <c r="L44" s="49">
        <f t="shared" si="9"/>
        <v>2002</v>
      </c>
      <c r="M44" s="49">
        <v>2002</v>
      </c>
      <c r="N44" s="49">
        <v>2020</v>
      </c>
      <c r="O44" s="49" t="str">
        <f t="shared" si="10"/>
        <v/>
      </c>
      <c r="P44" s="49"/>
      <c r="Q44" s="49" t="str">
        <f t="shared" si="11"/>
        <v/>
      </c>
      <c r="R44" s="49" t="str">
        <f t="shared" si="12"/>
        <v/>
      </c>
      <c r="S44" s="49" t="str">
        <f t="shared" si="13"/>
        <v/>
      </c>
      <c r="T44" s="49" t="str">
        <f t="shared" si="20"/>
        <v/>
      </c>
      <c r="U44" s="49" t="str">
        <f t="shared" si="21"/>
        <v/>
      </c>
      <c r="V44" s="49" t="str">
        <f t="shared" si="22"/>
        <v/>
      </c>
      <c r="W44" s="49" t="str">
        <f t="shared" si="23"/>
        <v/>
      </c>
      <c r="X44" s="49" t="str">
        <f t="shared" si="24"/>
        <v/>
      </c>
      <c r="Y44" s="49"/>
      <c r="Z44" s="49" t="s">
        <v>114</v>
      </c>
      <c r="AA44" s="49" t="str">
        <f t="shared" si="14"/>
        <v>F</v>
      </c>
      <c r="AB44" s="61"/>
      <c r="AC44" s="61"/>
      <c r="AD44" s="61" t="str">
        <f>IF(O44="개량",ROUND(VLOOKUP($F44,'개량사업비 산정기준'!$A$5:$I$23,2,FALSE)/1000,0),"")</f>
        <v/>
      </c>
      <c r="AE44" s="61"/>
      <c r="AF44" s="61" t="str">
        <f>IF(Q44="개량",ROUND(VLOOKUP($F44,'개량사업비 산정기준'!$A$5:$I$23,6,FALSE)/1000,0),"")</f>
        <v/>
      </c>
      <c r="AG44" s="61" t="str">
        <f>IF(R44="개량",ROUND(VLOOKUP($F44,'개량사업비 산정기준'!$A$5:$I$23,7,FALSE)/1000,0),"")</f>
        <v/>
      </c>
      <c r="AH44" s="61" t="str">
        <f>IF(S44="개량",ROUND(((AB44*'개량사업비 산정기준'!$B$34)+(AC44*'개량사업비 산정기준'!$C$34))/1000000,0),"")</f>
        <v/>
      </c>
      <c r="AI44" s="61"/>
      <c r="AJ44" s="61" t="str">
        <f>IF($AA44="D",ROUND('개량사업비 산정기준'!$F$56/1000,0),IF($AA44="E",ROUND('개량사업비 산정기준'!$F$56/1000,0),""))</f>
        <v/>
      </c>
      <c r="AK44" s="61">
        <f t="shared" si="15"/>
        <v>0</v>
      </c>
      <c r="AL44" s="61"/>
      <c r="AM44" s="61">
        <f t="shared" si="16"/>
        <v>0</v>
      </c>
      <c r="AN44" s="61">
        <f t="shared" si="17"/>
        <v>0</v>
      </c>
      <c r="AO44" s="61">
        <f t="shared" si="18"/>
        <v>0</v>
      </c>
      <c r="AP44" s="61">
        <f t="shared" si="19"/>
        <v>0</v>
      </c>
      <c r="AQ44" s="49"/>
    </row>
    <row r="45" spans="1:43" ht="20.100000000000001" customHeight="1">
      <c r="A45" s="49" t="s">
        <v>446</v>
      </c>
      <c r="B45" s="49">
        <v>39</v>
      </c>
      <c r="C45" s="56" t="s">
        <v>197</v>
      </c>
      <c r="D45" s="56" t="s">
        <v>192</v>
      </c>
      <c r="E45" s="56" t="s">
        <v>196</v>
      </c>
      <c r="F45" s="49">
        <f>VLOOKUP(C45,'[1]논산시 마을상수도'!$E$5:$K$171,6,FALSE)</f>
        <v>80</v>
      </c>
      <c r="G45" s="49">
        <f>VLOOKUP(C45,'[1]논산시 마을상수도'!$E$5:$K$171,3,FALSE)</f>
        <v>2002</v>
      </c>
      <c r="H45" s="49">
        <f>VLOOKUP($C45,'[1]논산시 마을상수도'!$E$5:$K$171,4,FALSE)</f>
        <v>60</v>
      </c>
      <c r="I45" s="49">
        <f>VLOOKUP($E45,'[2]마을_소규모 인접거리'!$D$8:$P$167,8,FALSE)</f>
        <v>2002</v>
      </c>
      <c r="J45" s="49"/>
      <c r="K45" s="49">
        <f>VLOOKUP($E45,'[2]마을_소규모 인접거리'!$D$8:$P$167,12,FALSE)</f>
        <v>2002</v>
      </c>
      <c r="L45" s="49">
        <f t="shared" si="9"/>
        <v>2002</v>
      </c>
      <c r="M45" s="49">
        <v>2002</v>
      </c>
      <c r="N45" s="49">
        <v>2020</v>
      </c>
      <c r="O45" s="49" t="str">
        <f t="shared" si="10"/>
        <v/>
      </c>
      <c r="P45" s="49"/>
      <c r="Q45" s="49" t="str">
        <f t="shared" si="11"/>
        <v/>
      </c>
      <c r="R45" s="49" t="str">
        <f t="shared" si="12"/>
        <v/>
      </c>
      <c r="S45" s="49" t="str">
        <f t="shared" si="13"/>
        <v/>
      </c>
      <c r="T45" s="49" t="str">
        <f t="shared" si="20"/>
        <v/>
      </c>
      <c r="U45" s="49" t="str">
        <f t="shared" si="21"/>
        <v/>
      </c>
      <c r="V45" s="49" t="str">
        <f t="shared" si="22"/>
        <v/>
      </c>
      <c r="W45" s="49" t="str">
        <f t="shared" si="23"/>
        <v/>
      </c>
      <c r="X45" s="49" t="str">
        <f t="shared" si="24"/>
        <v/>
      </c>
      <c r="Y45" s="49"/>
      <c r="Z45" s="49" t="s">
        <v>114</v>
      </c>
      <c r="AA45" s="49" t="str">
        <f t="shared" si="14"/>
        <v>F</v>
      </c>
      <c r="AB45" s="61"/>
      <c r="AC45" s="61"/>
      <c r="AD45" s="61" t="str">
        <f>IF(O45="개량",ROUND(VLOOKUP($F45,'개량사업비 산정기준'!$A$5:$I$23,2,FALSE)/1000,0),"")</f>
        <v/>
      </c>
      <c r="AE45" s="61"/>
      <c r="AF45" s="61" t="str">
        <f>IF(Q45="개량",ROUND(VLOOKUP($F45,'개량사업비 산정기준'!$A$5:$I$23,6,FALSE)/1000,0),"")</f>
        <v/>
      </c>
      <c r="AG45" s="61" t="str">
        <f>IF(R45="개량",ROUND(VLOOKUP($F45,'개량사업비 산정기준'!$A$5:$I$23,7,FALSE)/1000,0),"")</f>
        <v/>
      </c>
      <c r="AH45" s="61" t="str">
        <f>IF(S45="개량",ROUND(((AB45*'개량사업비 산정기준'!$B$34)+(AC45*'개량사업비 산정기준'!$C$34))/1000000,0),"")</f>
        <v/>
      </c>
      <c r="AI45" s="61"/>
      <c r="AJ45" s="61" t="str">
        <f>IF($AA45="D",ROUND('개량사업비 산정기준'!$F$56/1000,0),IF($AA45="E",ROUND('개량사업비 산정기준'!$F$56/1000,0),""))</f>
        <v/>
      </c>
      <c r="AK45" s="61">
        <f t="shared" si="15"/>
        <v>0</v>
      </c>
      <c r="AL45" s="61"/>
      <c r="AM45" s="61">
        <f t="shared" si="16"/>
        <v>0</v>
      </c>
      <c r="AN45" s="61">
        <f t="shared" si="17"/>
        <v>0</v>
      </c>
      <c r="AO45" s="61">
        <f t="shared" si="18"/>
        <v>0</v>
      </c>
      <c r="AP45" s="61">
        <f t="shared" si="19"/>
        <v>0</v>
      </c>
      <c r="AQ45" s="49"/>
    </row>
    <row r="46" spans="1:43" ht="20.100000000000001" customHeight="1">
      <c r="A46" s="49" t="s">
        <v>446</v>
      </c>
      <c r="B46" s="49">
        <v>40</v>
      </c>
      <c r="C46" s="56" t="s">
        <v>198</v>
      </c>
      <c r="D46" s="56" t="s">
        <v>192</v>
      </c>
      <c r="E46" s="56" t="s">
        <v>29</v>
      </c>
      <c r="F46" s="49">
        <f>VLOOKUP(C46,'[1]논산시 마을상수도'!$E$5:$K$171,6,FALSE)</f>
        <v>100</v>
      </c>
      <c r="G46" s="49">
        <f>VLOOKUP(C46,'[1]논산시 마을상수도'!$E$5:$K$171,3,FALSE)</f>
        <v>2003</v>
      </c>
      <c r="H46" s="49">
        <f>VLOOKUP($C46,'[1]논산시 마을상수도'!$E$5:$K$171,4,FALSE)</f>
        <v>69</v>
      </c>
      <c r="I46" s="49">
        <f>VLOOKUP($E46,'[2]마을_소규모 인접거리'!$D$8:$P$167,8,FALSE)</f>
        <v>2003</v>
      </c>
      <c r="J46" s="49"/>
      <c r="K46" s="49">
        <f>VLOOKUP($E46,'[2]마을_소규모 인접거리'!$D$8:$P$167,12,FALSE)</f>
        <v>2003</v>
      </c>
      <c r="L46" s="49">
        <f t="shared" si="9"/>
        <v>2003</v>
      </c>
      <c r="M46" s="49">
        <v>2003</v>
      </c>
      <c r="N46" s="49">
        <v>2020</v>
      </c>
      <c r="O46" s="49" t="str">
        <f t="shared" si="10"/>
        <v/>
      </c>
      <c r="P46" s="49"/>
      <c r="Q46" s="49" t="str">
        <f t="shared" si="11"/>
        <v/>
      </c>
      <c r="R46" s="49" t="str">
        <f t="shared" si="12"/>
        <v/>
      </c>
      <c r="S46" s="49" t="str">
        <f t="shared" si="13"/>
        <v/>
      </c>
      <c r="T46" s="49" t="str">
        <f t="shared" si="20"/>
        <v/>
      </c>
      <c r="U46" s="49" t="str">
        <f t="shared" si="21"/>
        <v/>
      </c>
      <c r="V46" s="49" t="str">
        <f t="shared" si="22"/>
        <v/>
      </c>
      <c r="W46" s="49" t="str">
        <f t="shared" si="23"/>
        <v/>
      </c>
      <c r="X46" s="49" t="str">
        <f t="shared" si="24"/>
        <v/>
      </c>
      <c r="Y46" s="49"/>
      <c r="Z46" s="49" t="s">
        <v>114</v>
      </c>
      <c r="AA46" s="49" t="str">
        <f t="shared" si="14"/>
        <v>F</v>
      </c>
      <c r="AB46" s="61"/>
      <c r="AC46" s="61"/>
      <c r="AD46" s="61" t="str">
        <f>IF(O46="개량",ROUND(VLOOKUP($F46,'개량사업비 산정기준'!$A$5:$I$23,2,FALSE)/1000,0),"")</f>
        <v/>
      </c>
      <c r="AE46" s="61"/>
      <c r="AF46" s="61" t="str">
        <f>IF(Q46="개량",ROUND(VLOOKUP($F46,'개량사업비 산정기준'!$A$5:$I$23,6,FALSE)/1000,0),"")</f>
        <v/>
      </c>
      <c r="AG46" s="61" t="str">
        <f>IF(R46="개량",ROUND(VLOOKUP($F46,'개량사업비 산정기준'!$A$5:$I$23,7,FALSE)/1000,0),"")</f>
        <v/>
      </c>
      <c r="AH46" s="61" t="str">
        <f>IF(S46="개량",ROUND(((AB46*'개량사업비 산정기준'!$B$34)+(AC46*'개량사업비 산정기준'!$C$34))/1000000,0),"")</f>
        <v/>
      </c>
      <c r="AI46" s="61"/>
      <c r="AJ46" s="61" t="str">
        <f>IF($AA46="D",ROUND('개량사업비 산정기준'!$F$56/1000,0),IF($AA46="E",ROUND('개량사업비 산정기준'!$F$56/1000,0),""))</f>
        <v/>
      </c>
      <c r="AK46" s="61">
        <f t="shared" si="15"/>
        <v>0</v>
      </c>
      <c r="AL46" s="61"/>
      <c r="AM46" s="61">
        <f t="shared" si="16"/>
        <v>0</v>
      </c>
      <c r="AN46" s="61">
        <f t="shared" si="17"/>
        <v>0</v>
      </c>
      <c r="AO46" s="61">
        <f t="shared" si="18"/>
        <v>0</v>
      </c>
      <c r="AP46" s="61">
        <f t="shared" si="19"/>
        <v>0</v>
      </c>
      <c r="AQ46" s="49"/>
    </row>
    <row r="47" spans="1:43" ht="20.100000000000001" customHeight="1">
      <c r="A47" s="49" t="s">
        <v>446</v>
      </c>
      <c r="B47" s="49">
        <v>41</v>
      </c>
      <c r="C47" s="56" t="s">
        <v>200</v>
      </c>
      <c r="D47" s="56" t="s">
        <v>192</v>
      </c>
      <c r="E47" s="56" t="s">
        <v>199</v>
      </c>
      <c r="F47" s="49">
        <f>VLOOKUP(C47,'[1]논산시 마을상수도'!$E$5:$K$171,6,FALSE)</f>
        <v>100</v>
      </c>
      <c r="G47" s="49">
        <f>VLOOKUP(C47,'[1]논산시 마을상수도'!$E$5:$K$171,3,FALSE)</f>
        <v>2003</v>
      </c>
      <c r="H47" s="49">
        <f>VLOOKUP($C47,'[1]논산시 마을상수도'!$E$5:$K$171,4,FALSE)</f>
        <v>52</v>
      </c>
      <c r="I47" s="49">
        <f>VLOOKUP($E47,'[2]마을_소규모 인접거리'!$D$8:$P$167,8,FALSE)</f>
        <v>2003</v>
      </c>
      <c r="J47" s="49"/>
      <c r="K47" s="49">
        <f>VLOOKUP($E47,'[2]마을_소규모 인접거리'!$D$8:$P$167,12,FALSE)</f>
        <v>2003</v>
      </c>
      <c r="L47" s="49">
        <f t="shared" si="9"/>
        <v>2003</v>
      </c>
      <c r="M47" s="49">
        <v>2003</v>
      </c>
      <c r="N47" s="49">
        <v>2020</v>
      </c>
      <c r="O47" s="49" t="str">
        <f t="shared" si="10"/>
        <v/>
      </c>
      <c r="P47" s="49"/>
      <c r="Q47" s="49" t="str">
        <f t="shared" si="11"/>
        <v/>
      </c>
      <c r="R47" s="49" t="str">
        <f t="shared" si="12"/>
        <v/>
      </c>
      <c r="S47" s="49" t="str">
        <f t="shared" si="13"/>
        <v/>
      </c>
      <c r="T47" s="49" t="str">
        <f t="shared" si="20"/>
        <v/>
      </c>
      <c r="U47" s="49" t="str">
        <f t="shared" si="21"/>
        <v/>
      </c>
      <c r="V47" s="49" t="str">
        <f t="shared" si="22"/>
        <v/>
      </c>
      <c r="W47" s="49" t="str">
        <f t="shared" si="23"/>
        <v/>
      </c>
      <c r="X47" s="49" t="str">
        <f t="shared" si="24"/>
        <v/>
      </c>
      <c r="Y47" s="49"/>
      <c r="Z47" s="49" t="s">
        <v>114</v>
      </c>
      <c r="AA47" s="49" t="str">
        <f t="shared" si="14"/>
        <v>F</v>
      </c>
      <c r="AB47" s="61"/>
      <c r="AC47" s="61"/>
      <c r="AD47" s="61" t="str">
        <f>IF(O47="개량",ROUND(VLOOKUP($F47,'개량사업비 산정기준'!$A$5:$I$23,2,FALSE)/1000,0),"")</f>
        <v/>
      </c>
      <c r="AE47" s="61"/>
      <c r="AF47" s="61" t="str">
        <f>IF(Q47="개량",ROUND(VLOOKUP($F47,'개량사업비 산정기준'!$A$5:$I$23,6,FALSE)/1000,0),"")</f>
        <v/>
      </c>
      <c r="AG47" s="61" t="str">
        <f>IF(R47="개량",ROUND(VLOOKUP($F47,'개량사업비 산정기준'!$A$5:$I$23,7,FALSE)/1000,0),"")</f>
        <v/>
      </c>
      <c r="AH47" s="61" t="str">
        <f>IF(S47="개량",ROUND(((AB47*'개량사업비 산정기준'!$B$34)+(AC47*'개량사업비 산정기준'!$C$34))/1000000,0),"")</f>
        <v/>
      </c>
      <c r="AI47" s="61"/>
      <c r="AJ47" s="61" t="str">
        <f>IF($AA47="D",ROUND('개량사업비 산정기준'!$F$56/1000,0),IF($AA47="E",ROUND('개량사업비 산정기준'!$F$56/1000,0),""))</f>
        <v/>
      </c>
      <c r="AK47" s="61">
        <f t="shared" si="15"/>
        <v>0</v>
      </c>
      <c r="AL47" s="61"/>
      <c r="AM47" s="61">
        <f t="shared" si="16"/>
        <v>0</v>
      </c>
      <c r="AN47" s="61">
        <f t="shared" si="17"/>
        <v>0</v>
      </c>
      <c r="AO47" s="61">
        <f t="shared" si="18"/>
        <v>0</v>
      </c>
      <c r="AP47" s="61">
        <f t="shared" si="19"/>
        <v>0</v>
      </c>
      <c r="AQ47" s="49"/>
    </row>
    <row r="48" spans="1:43" ht="20.100000000000001" customHeight="1">
      <c r="A48" s="49" t="s">
        <v>446</v>
      </c>
      <c r="B48" s="49">
        <v>42</v>
      </c>
      <c r="C48" s="56" t="s">
        <v>201</v>
      </c>
      <c r="D48" s="56" t="s">
        <v>192</v>
      </c>
      <c r="E48" s="56" t="s">
        <v>30</v>
      </c>
      <c r="F48" s="49">
        <f>VLOOKUP(C48,'[1]논산시 마을상수도'!$E$5:$K$171,6,FALSE)</f>
        <v>90</v>
      </c>
      <c r="G48" s="49">
        <f>VLOOKUP(C48,'[1]논산시 마을상수도'!$E$5:$K$171,3,FALSE)</f>
        <v>2004</v>
      </c>
      <c r="H48" s="49">
        <f>VLOOKUP($C48,'[1]논산시 마을상수도'!$E$5:$K$171,4,FALSE)</f>
        <v>64</v>
      </c>
      <c r="I48" s="49">
        <f>VLOOKUP($E48,'[2]마을_소규모 인접거리'!$D$8:$P$167,8,FALSE)</f>
        <v>2004</v>
      </c>
      <c r="J48" s="49"/>
      <c r="K48" s="49">
        <f>VLOOKUP($E48,'[2]마을_소규모 인접거리'!$D$8:$P$167,12,FALSE)</f>
        <v>2004</v>
      </c>
      <c r="L48" s="49">
        <f t="shared" si="9"/>
        <v>2004</v>
      </c>
      <c r="M48" s="49">
        <v>2004</v>
      </c>
      <c r="N48" s="64">
        <v>2025</v>
      </c>
      <c r="O48" s="49" t="str">
        <f t="shared" si="10"/>
        <v/>
      </c>
      <c r="P48" s="49"/>
      <c r="Q48" s="49" t="str">
        <f t="shared" si="11"/>
        <v/>
      </c>
      <c r="R48" s="49" t="str">
        <f t="shared" si="12"/>
        <v/>
      </c>
      <c r="S48" s="49" t="str">
        <f t="shared" si="13"/>
        <v/>
      </c>
      <c r="T48" s="49" t="str">
        <f t="shared" si="20"/>
        <v/>
      </c>
      <c r="U48" s="49" t="str">
        <f t="shared" si="21"/>
        <v/>
      </c>
      <c r="V48" s="49" t="str">
        <f t="shared" si="22"/>
        <v/>
      </c>
      <c r="W48" s="49" t="str">
        <f t="shared" si="23"/>
        <v/>
      </c>
      <c r="X48" s="49" t="str">
        <f t="shared" si="24"/>
        <v/>
      </c>
      <c r="Y48" s="49"/>
      <c r="Z48" s="49" t="s">
        <v>114</v>
      </c>
      <c r="AA48" s="49" t="str">
        <f t="shared" si="14"/>
        <v>E</v>
      </c>
      <c r="AB48" s="61"/>
      <c r="AC48" s="61"/>
      <c r="AD48" s="61" t="str">
        <f>IF(O48="개량",ROUND(VLOOKUP($F48,'개량사업비 산정기준'!$A$5:$I$23,2,FALSE)/1000,0),"")</f>
        <v/>
      </c>
      <c r="AE48" s="61"/>
      <c r="AF48" s="61" t="str">
        <f>IF(Q48="개량",ROUND(VLOOKUP($F48,'개량사업비 산정기준'!$A$5:$I$23,6,FALSE)/1000,0),"")</f>
        <v/>
      </c>
      <c r="AG48" s="61" t="str">
        <f>IF(R48="개량",ROUND(VLOOKUP($F48,'개량사업비 산정기준'!$A$5:$I$23,7,FALSE)/1000,0),"")</f>
        <v/>
      </c>
      <c r="AH48" s="61" t="str">
        <f>IF(S48="개량",ROUND(((AB48*'개량사업비 산정기준'!$B$34)+(AC48*'개량사업비 산정기준'!$C$34))/1000000,0),"")</f>
        <v/>
      </c>
      <c r="AI48" s="61"/>
      <c r="AJ48" s="61">
        <f>IF($AA48="D",ROUND('개량사업비 산정기준'!$F$56/1000,0),IF($AA48="E",ROUND('개량사업비 산정기준'!$F$56/1000,0),""))</f>
        <v>48</v>
      </c>
      <c r="AK48" s="61">
        <f t="shared" si="15"/>
        <v>48</v>
      </c>
      <c r="AL48" s="61"/>
      <c r="AM48" s="61">
        <f t="shared" si="16"/>
        <v>0</v>
      </c>
      <c r="AN48" s="61">
        <f t="shared" si="17"/>
        <v>0</v>
      </c>
      <c r="AO48" s="61">
        <f t="shared" si="18"/>
        <v>0</v>
      </c>
      <c r="AP48" s="61">
        <f t="shared" si="19"/>
        <v>0</v>
      </c>
      <c r="AQ48" s="49"/>
    </row>
    <row r="49" spans="1:43" ht="20.100000000000001" customHeight="1">
      <c r="A49" s="49" t="s">
        <v>446</v>
      </c>
      <c r="B49" s="49">
        <v>43</v>
      </c>
      <c r="C49" s="56" t="s">
        <v>202</v>
      </c>
      <c r="D49" s="56" t="s">
        <v>192</v>
      </c>
      <c r="E49" s="56" t="s">
        <v>31</v>
      </c>
      <c r="F49" s="49">
        <f>VLOOKUP(C49,'[1]논산시 마을상수도'!$E$5:$K$171,6,FALSE)</f>
        <v>90</v>
      </c>
      <c r="G49" s="49">
        <f>VLOOKUP(C49,'[1]논산시 마을상수도'!$E$5:$K$171,3,FALSE)</f>
        <v>2004</v>
      </c>
      <c r="H49" s="49">
        <f>VLOOKUP($C49,'[1]논산시 마을상수도'!$E$5:$K$171,4,FALSE)</f>
        <v>55</v>
      </c>
      <c r="I49" s="49">
        <f>VLOOKUP($E49,'[2]마을_소규모 인접거리'!$D$8:$P$167,8,FALSE)</f>
        <v>2004</v>
      </c>
      <c r="J49" s="49"/>
      <c r="K49" s="49">
        <f>VLOOKUP($E49,'[2]마을_소규모 인접거리'!$D$8:$P$167,12,FALSE)</f>
        <v>2004</v>
      </c>
      <c r="L49" s="49">
        <f t="shared" si="9"/>
        <v>2004</v>
      </c>
      <c r="M49" s="49">
        <v>2004</v>
      </c>
      <c r="N49" s="49">
        <v>2020</v>
      </c>
      <c r="O49" s="49" t="str">
        <f t="shared" si="10"/>
        <v/>
      </c>
      <c r="P49" s="49"/>
      <c r="Q49" s="49" t="str">
        <f t="shared" si="11"/>
        <v/>
      </c>
      <c r="R49" s="49" t="str">
        <f t="shared" si="12"/>
        <v/>
      </c>
      <c r="S49" s="49" t="str">
        <f t="shared" si="13"/>
        <v/>
      </c>
      <c r="T49" s="49" t="str">
        <f t="shared" si="20"/>
        <v/>
      </c>
      <c r="U49" s="49" t="str">
        <f t="shared" si="21"/>
        <v/>
      </c>
      <c r="V49" s="49" t="str">
        <f t="shared" si="22"/>
        <v/>
      </c>
      <c r="W49" s="49" t="str">
        <f t="shared" si="23"/>
        <v/>
      </c>
      <c r="X49" s="49" t="str">
        <f t="shared" si="24"/>
        <v/>
      </c>
      <c r="Y49" s="49"/>
      <c r="Z49" s="49" t="s">
        <v>114</v>
      </c>
      <c r="AA49" s="49" t="str">
        <f t="shared" si="14"/>
        <v>F</v>
      </c>
      <c r="AB49" s="61"/>
      <c r="AC49" s="61"/>
      <c r="AD49" s="61" t="str">
        <f>IF(O49="개량",ROUND(VLOOKUP($F49,'개량사업비 산정기준'!$A$5:$I$23,2,FALSE)/1000,0),"")</f>
        <v/>
      </c>
      <c r="AE49" s="61"/>
      <c r="AF49" s="61" t="str">
        <f>IF(Q49="개량",ROUND(VLOOKUP($F49,'개량사업비 산정기준'!$A$5:$I$23,6,FALSE)/1000,0),"")</f>
        <v/>
      </c>
      <c r="AG49" s="61" t="str">
        <f>IF(R49="개량",ROUND(VLOOKUP($F49,'개량사업비 산정기준'!$A$5:$I$23,7,FALSE)/1000,0),"")</f>
        <v/>
      </c>
      <c r="AH49" s="61" t="str">
        <f>IF(S49="개량",ROUND(((AB49*'개량사업비 산정기준'!$B$34)+(AC49*'개량사업비 산정기준'!$C$34))/1000000,0),"")</f>
        <v/>
      </c>
      <c r="AI49" s="61"/>
      <c r="AJ49" s="61" t="str">
        <f>IF($AA49="D",ROUND('개량사업비 산정기준'!$F$56/1000,0),IF($AA49="E",ROUND('개량사업비 산정기준'!$F$56/1000,0),""))</f>
        <v/>
      </c>
      <c r="AK49" s="61">
        <f t="shared" si="15"/>
        <v>0</v>
      </c>
      <c r="AL49" s="61"/>
      <c r="AM49" s="61">
        <f t="shared" si="16"/>
        <v>0</v>
      </c>
      <c r="AN49" s="61">
        <f t="shared" si="17"/>
        <v>0</v>
      </c>
      <c r="AO49" s="61">
        <f t="shared" si="18"/>
        <v>0</v>
      </c>
      <c r="AP49" s="61">
        <f t="shared" si="19"/>
        <v>0</v>
      </c>
      <c r="AQ49" s="49"/>
    </row>
    <row r="50" spans="1:43" ht="20.100000000000001" customHeight="1">
      <c r="A50" s="49" t="s">
        <v>446</v>
      </c>
      <c r="B50" s="49">
        <v>44</v>
      </c>
      <c r="C50" s="56" t="s">
        <v>204</v>
      </c>
      <c r="D50" s="56" t="s">
        <v>192</v>
      </c>
      <c r="E50" s="56" t="s">
        <v>203</v>
      </c>
      <c r="F50" s="49">
        <f>VLOOKUP(C50,'[1]논산시 마을상수도'!$E$5:$K$171,6,FALSE)</f>
        <v>30</v>
      </c>
      <c r="G50" s="49">
        <f>VLOOKUP(C50,'[1]논산시 마을상수도'!$E$5:$K$171,3,FALSE)</f>
        <v>2006</v>
      </c>
      <c r="H50" s="49">
        <f>VLOOKUP($C50,'[1]논산시 마을상수도'!$E$5:$K$171,4,FALSE)</f>
        <v>72</v>
      </c>
      <c r="I50" s="49">
        <v>2006</v>
      </c>
      <c r="J50" s="49"/>
      <c r="K50" s="49">
        <v>2006</v>
      </c>
      <c r="L50" s="49">
        <f t="shared" si="9"/>
        <v>2006</v>
      </c>
      <c r="M50" s="49">
        <v>2006</v>
      </c>
      <c r="N50" s="49">
        <v>2025</v>
      </c>
      <c r="O50" s="49" t="str">
        <f t="shared" si="10"/>
        <v/>
      </c>
      <c r="P50" s="49"/>
      <c r="Q50" s="49" t="str">
        <f t="shared" si="11"/>
        <v/>
      </c>
      <c r="R50" s="49" t="str">
        <f t="shared" si="12"/>
        <v/>
      </c>
      <c r="S50" s="49" t="str">
        <f t="shared" si="13"/>
        <v/>
      </c>
      <c r="T50" s="49" t="str">
        <f t="shared" si="20"/>
        <v/>
      </c>
      <c r="U50" s="49" t="str">
        <f t="shared" si="21"/>
        <v/>
      </c>
      <c r="V50" s="49" t="str">
        <f t="shared" si="22"/>
        <v/>
      </c>
      <c r="W50" s="49" t="str">
        <f t="shared" si="23"/>
        <v/>
      </c>
      <c r="X50" s="49" t="str">
        <f t="shared" si="24"/>
        <v/>
      </c>
      <c r="Y50" s="49">
        <v>2</v>
      </c>
      <c r="Z50" s="49" t="s">
        <v>114</v>
      </c>
      <c r="AA50" s="49" t="str">
        <f t="shared" si="14"/>
        <v>E</v>
      </c>
      <c r="AB50" s="61"/>
      <c r="AC50" s="61"/>
      <c r="AD50" s="61" t="str">
        <f>IF(O50="개량",ROUND(VLOOKUP($F50,'개량사업비 산정기준'!$A$5:$I$23,2,FALSE)/1000,0),"")</f>
        <v/>
      </c>
      <c r="AE50" s="61"/>
      <c r="AF50" s="61" t="str">
        <f>IF(Q50="개량",ROUND(VLOOKUP($F50,'개량사업비 산정기준'!$A$5:$I$23,6,FALSE)/1000,0),"")</f>
        <v/>
      </c>
      <c r="AG50" s="61" t="str">
        <f>IF(R50="개량",ROUND(VLOOKUP($F50,'개량사업비 산정기준'!$A$5:$I$23,7,FALSE)/1000,0),"")</f>
        <v/>
      </c>
      <c r="AH50" s="61" t="str">
        <f>IF(S50="개량",ROUND(((AB50*'개량사업비 산정기준'!$B$34)+(AC50*'개량사업비 산정기준'!$C$34))/1000000,0),"")</f>
        <v/>
      </c>
      <c r="AI50" s="61"/>
      <c r="AJ50" s="61">
        <f>IF($AA50="D",ROUND('개량사업비 산정기준'!$F$56/1000,0),IF($AA50="E",ROUND('개량사업비 산정기준'!$F$56/1000,0),""))</f>
        <v>48</v>
      </c>
      <c r="AK50" s="61">
        <f t="shared" si="15"/>
        <v>48</v>
      </c>
      <c r="AL50" s="61">
        <v>2</v>
      </c>
      <c r="AM50" s="61">
        <f t="shared" si="16"/>
        <v>0</v>
      </c>
      <c r="AN50" s="61">
        <f t="shared" si="17"/>
        <v>48</v>
      </c>
      <c r="AO50" s="61">
        <f t="shared" si="18"/>
        <v>0</v>
      </c>
      <c r="AP50" s="61">
        <f t="shared" si="19"/>
        <v>0</v>
      </c>
      <c r="AQ50" s="49"/>
    </row>
    <row r="51" spans="1:43" ht="20.100000000000001" customHeight="1">
      <c r="A51" s="49" t="s">
        <v>446</v>
      </c>
      <c r="B51" s="49">
        <v>45</v>
      </c>
      <c r="C51" s="56" t="s">
        <v>205</v>
      </c>
      <c r="D51" s="56" t="s">
        <v>192</v>
      </c>
      <c r="E51" s="56" t="s">
        <v>33</v>
      </c>
      <c r="F51" s="49">
        <f>VLOOKUP(C51,'[1]논산시 마을상수도'!$E$5:$K$171,6,FALSE)</f>
        <v>50</v>
      </c>
      <c r="G51" s="49">
        <f>VLOOKUP(C51,'[1]논산시 마을상수도'!$E$5:$K$171,3,FALSE)</f>
        <v>2008</v>
      </c>
      <c r="H51" s="49">
        <f>VLOOKUP($C51,'[1]논산시 마을상수도'!$E$5:$K$171,4,FALSE)</f>
        <v>33</v>
      </c>
      <c r="I51" s="49">
        <f>VLOOKUP($E51,'[2]마을_소규모 인접거리'!$D$8:$P$167,8,FALSE)</f>
        <v>2008</v>
      </c>
      <c r="J51" s="49"/>
      <c r="K51" s="49">
        <f>VLOOKUP($E51,'[2]마을_소규모 인접거리'!$D$8:$P$167,12,FALSE)</f>
        <v>2008</v>
      </c>
      <c r="L51" s="49">
        <f t="shared" si="9"/>
        <v>2008</v>
      </c>
      <c r="M51" s="49">
        <v>2008</v>
      </c>
      <c r="N51" s="64">
        <v>2025</v>
      </c>
      <c r="O51" s="49" t="str">
        <f t="shared" si="10"/>
        <v/>
      </c>
      <c r="P51" s="49"/>
      <c r="Q51" s="49" t="str">
        <f t="shared" si="11"/>
        <v/>
      </c>
      <c r="R51" s="49" t="str">
        <f t="shared" si="12"/>
        <v/>
      </c>
      <c r="S51" s="49" t="str">
        <f t="shared" si="13"/>
        <v/>
      </c>
      <c r="T51" s="49" t="str">
        <f t="shared" si="20"/>
        <v/>
      </c>
      <c r="U51" s="49" t="str">
        <f t="shared" si="21"/>
        <v/>
      </c>
      <c r="V51" s="49" t="str">
        <f t="shared" si="22"/>
        <v/>
      </c>
      <c r="W51" s="49" t="str">
        <f t="shared" si="23"/>
        <v/>
      </c>
      <c r="X51" s="49" t="str">
        <f t="shared" si="24"/>
        <v/>
      </c>
      <c r="Y51" s="49"/>
      <c r="Z51" s="49" t="s">
        <v>114</v>
      </c>
      <c r="AA51" s="49" t="str">
        <f t="shared" si="14"/>
        <v>E</v>
      </c>
      <c r="AB51" s="61"/>
      <c r="AC51" s="61"/>
      <c r="AD51" s="61" t="str">
        <f>IF(O51="개량",ROUND(VLOOKUP($F51,'개량사업비 산정기준'!$A$5:$I$23,2,FALSE)/1000,0),"")</f>
        <v/>
      </c>
      <c r="AE51" s="61"/>
      <c r="AF51" s="61" t="str">
        <f>IF(Q51="개량",ROUND(VLOOKUP($F51,'개량사업비 산정기준'!$A$5:$I$23,6,FALSE)/1000,0),"")</f>
        <v/>
      </c>
      <c r="AG51" s="61" t="str">
        <f>IF(R51="개량",ROUND(VLOOKUP($F51,'개량사업비 산정기준'!$A$5:$I$23,7,FALSE)/1000,0),"")</f>
        <v/>
      </c>
      <c r="AH51" s="61" t="str">
        <f>IF(S51="개량",ROUND(((AB51*'개량사업비 산정기준'!$B$34)+(AC51*'개량사업비 산정기준'!$C$34))/1000000,0),"")</f>
        <v/>
      </c>
      <c r="AI51" s="61"/>
      <c r="AJ51" s="61">
        <f>IF($AA51="D",ROUND('개량사업비 산정기준'!$F$56/1000,0),IF($AA51="E",ROUND('개량사업비 산정기준'!$F$56/1000,0),""))</f>
        <v>48</v>
      </c>
      <c r="AK51" s="61">
        <f t="shared" si="15"/>
        <v>48</v>
      </c>
      <c r="AL51" s="61"/>
      <c r="AM51" s="61">
        <f t="shared" si="16"/>
        <v>0</v>
      </c>
      <c r="AN51" s="61">
        <f t="shared" si="17"/>
        <v>0</v>
      </c>
      <c r="AO51" s="61">
        <f t="shared" si="18"/>
        <v>0</v>
      </c>
      <c r="AP51" s="61">
        <f t="shared" si="19"/>
        <v>0</v>
      </c>
      <c r="AQ51" s="49"/>
    </row>
    <row r="52" spans="1:43" ht="20.100000000000001" customHeight="1">
      <c r="A52" s="49" t="s">
        <v>446</v>
      </c>
      <c r="B52" s="49">
        <v>46</v>
      </c>
      <c r="C52" s="56" t="s">
        <v>207</v>
      </c>
      <c r="D52" s="56" t="s">
        <v>192</v>
      </c>
      <c r="E52" s="56" t="s">
        <v>206</v>
      </c>
      <c r="F52" s="49">
        <f>VLOOKUP(C52,'[1]논산시 마을상수도'!$E$5:$K$171,6,FALSE)</f>
        <v>100</v>
      </c>
      <c r="G52" s="49">
        <f>VLOOKUP(C52,'[1]논산시 마을상수도'!$E$5:$K$171,3,FALSE)</f>
        <v>2008</v>
      </c>
      <c r="H52" s="49">
        <f>VLOOKUP($C52,'[1]논산시 마을상수도'!$E$5:$K$171,4,FALSE)</f>
        <v>66</v>
      </c>
      <c r="I52" s="49">
        <v>2008</v>
      </c>
      <c r="J52" s="49"/>
      <c r="K52" s="49">
        <v>2008</v>
      </c>
      <c r="L52" s="49">
        <f t="shared" si="9"/>
        <v>2008</v>
      </c>
      <c r="M52" s="49">
        <v>2008</v>
      </c>
      <c r="N52" s="49">
        <v>2020</v>
      </c>
      <c r="O52" s="49" t="str">
        <f t="shared" si="10"/>
        <v/>
      </c>
      <c r="P52" s="49"/>
      <c r="Q52" s="49" t="str">
        <f t="shared" si="11"/>
        <v/>
      </c>
      <c r="R52" s="49" t="str">
        <f t="shared" si="12"/>
        <v/>
      </c>
      <c r="S52" s="49" t="str">
        <f t="shared" si="13"/>
        <v/>
      </c>
      <c r="T52" s="49" t="str">
        <f t="shared" si="20"/>
        <v/>
      </c>
      <c r="U52" s="49" t="str">
        <f t="shared" si="21"/>
        <v/>
      </c>
      <c r="V52" s="49" t="str">
        <f t="shared" si="22"/>
        <v/>
      </c>
      <c r="W52" s="49" t="str">
        <f t="shared" si="23"/>
        <v/>
      </c>
      <c r="X52" s="49" t="str">
        <f t="shared" si="24"/>
        <v/>
      </c>
      <c r="Y52" s="49"/>
      <c r="Z52" s="49" t="s">
        <v>114</v>
      </c>
      <c r="AA52" s="49" t="str">
        <f t="shared" si="14"/>
        <v>F</v>
      </c>
      <c r="AB52" s="61"/>
      <c r="AC52" s="61"/>
      <c r="AD52" s="61" t="str">
        <f>IF(O52="개량",ROUND(VLOOKUP($F52,'개량사업비 산정기준'!$A$5:$I$23,2,FALSE)/1000,0),"")</f>
        <v/>
      </c>
      <c r="AE52" s="61"/>
      <c r="AF52" s="61" t="str">
        <f>IF(Q52="개량",ROUND(VLOOKUP($F52,'개량사업비 산정기준'!$A$5:$I$23,6,FALSE)/1000,0),"")</f>
        <v/>
      </c>
      <c r="AG52" s="61" t="str">
        <f>IF(R52="개량",ROUND(VLOOKUP($F52,'개량사업비 산정기준'!$A$5:$I$23,7,FALSE)/1000,0),"")</f>
        <v/>
      </c>
      <c r="AH52" s="61" t="str">
        <f>IF(S52="개량",ROUND(((AB52*'개량사업비 산정기준'!$B$34)+(AC52*'개량사업비 산정기준'!$C$34))/1000000,0),"")</f>
        <v/>
      </c>
      <c r="AI52" s="61"/>
      <c r="AJ52" s="61" t="str">
        <f>IF($AA52="D",ROUND('개량사업비 산정기준'!$F$56/1000,0),IF($AA52="E",ROUND('개량사업비 산정기준'!$F$56/1000,0),""))</f>
        <v/>
      </c>
      <c r="AK52" s="61">
        <f t="shared" si="15"/>
        <v>0</v>
      </c>
      <c r="AL52" s="61"/>
      <c r="AM52" s="61">
        <f t="shared" si="16"/>
        <v>0</v>
      </c>
      <c r="AN52" s="61">
        <f t="shared" si="17"/>
        <v>0</v>
      </c>
      <c r="AO52" s="61">
        <f t="shared" si="18"/>
        <v>0</v>
      </c>
      <c r="AP52" s="61">
        <f t="shared" si="19"/>
        <v>0</v>
      </c>
      <c r="AQ52" s="49"/>
    </row>
    <row r="53" spans="1:43" ht="20.100000000000001" customHeight="1">
      <c r="A53" s="49" t="s">
        <v>446</v>
      </c>
      <c r="B53" s="49">
        <v>47</v>
      </c>
      <c r="C53" s="56" t="s">
        <v>209</v>
      </c>
      <c r="D53" s="56" t="s">
        <v>192</v>
      </c>
      <c r="E53" s="56" t="s">
        <v>208</v>
      </c>
      <c r="F53" s="49">
        <f>VLOOKUP(C53,'[1]논산시 마을상수도'!$E$5:$K$171,6,FALSE)</f>
        <v>100</v>
      </c>
      <c r="G53" s="49">
        <f>VLOOKUP(C53,'[1]논산시 마을상수도'!$E$5:$K$171,3,FALSE)</f>
        <v>2009</v>
      </c>
      <c r="H53" s="49">
        <f>VLOOKUP($C53,'[1]논산시 마을상수도'!$E$5:$K$171,4,FALSE)</f>
        <v>48</v>
      </c>
      <c r="I53" s="49">
        <f>VLOOKUP($E53,'[2]마을_소규모 인접거리'!$D$8:$P$167,8,FALSE)</f>
        <v>2009</v>
      </c>
      <c r="J53" s="49"/>
      <c r="K53" s="49">
        <f>VLOOKUP($E53,'[2]마을_소규모 인접거리'!$D$8:$P$167,12,FALSE)</f>
        <v>2009</v>
      </c>
      <c r="L53" s="49">
        <f t="shared" si="9"/>
        <v>2009</v>
      </c>
      <c r="M53" s="49">
        <v>2009</v>
      </c>
      <c r="N53" s="49">
        <v>2020</v>
      </c>
      <c r="O53" s="49" t="str">
        <f t="shared" si="10"/>
        <v/>
      </c>
      <c r="P53" s="49"/>
      <c r="Q53" s="49" t="str">
        <f t="shared" si="11"/>
        <v/>
      </c>
      <c r="R53" s="49" t="str">
        <f t="shared" si="12"/>
        <v/>
      </c>
      <c r="S53" s="49" t="str">
        <f t="shared" si="13"/>
        <v/>
      </c>
      <c r="T53" s="49" t="str">
        <f t="shared" si="20"/>
        <v/>
      </c>
      <c r="U53" s="49" t="str">
        <f t="shared" si="21"/>
        <v/>
      </c>
      <c r="V53" s="49" t="str">
        <f t="shared" si="22"/>
        <v/>
      </c>
      <c r="W53" s="49" t="str">
        <f t="shared" si="23"/>
        <v/>
      </c>
      <c r="X53" s="49" t="str">
        <f t="shared" si="24"/>
        <v/>
      </c>
      <c r="Y53" s="49"/>
      <c r="Z53" s="49" t="s">
        <v>114</v>
      </c>
      <c r="AA53" s="49" t="str">
        <f t="shared" si="14"/>
        <v>F</v>
      </c>
      <c r="AB53" s="61"/>
      <c r="AC53" s="61"/>
      <c r="AD53" s="61" t="str">
        <f>IF(O53="개량",ROUND(VLOOKUP($F53,'개량사업비 산정기준'!$A$5:$I$23,2,FALSE)/1000,0),"")</f>
        <v/>
      </c>
      <c r="AE53" s="61"/>
      <c r="AF53" s="61" t="str">
        <f>IF(Q53="개량",ROUND(VLOOKUP($F53,'개량사업비 산정기준'!$A$5:$I$23,6,FALSE)/1000,0),"")</f>
        <v/>
      </c>
      <c r="AG53" s="61" t="str">
        <f>IF(R53="개량",ROUND(VLOOKUP($F53,'개량사업비 산정기준'!$A$5:$I$23,7,FALSE)/1000,0),"")</f>
        <v/>
      </c>
      <c r="AH53" s="61" t="str">
        <f>IF(S53="개량",ROUND(((AB53*'개량사업비 산정기준'!$B$34)+(AC53*'개량사업비 산정기준'!$C$34))/1000000,0),"")</f>
        <v/>
      </c>
      <c r="AI53" s="61"/>
      <c r="AJ53" s="61" t="str">
        <f>IF($AA53="D",ROUND('개량사업비 산정기준'!$F$56/1000,0),IF($AA53="E",ROUND('개량사업비 산정기준'!$F$56/1000,0),""))</f>
        <v/>
      </c>
      <c r="AK53" s="61">
        <f t="shared" si="15"/>
        <v>0</v>
      </c>
      <c r="AL53" s="61"/>
      <c r="AM53" s="61">
        <f t="shared" si="16"/>
        <v>0</v>
      </c>
      <c r="AN53" s="61">
        <f t="shared" si="17"/>
        <v>0</v>
      </c>
      <c r="AO53" s="61">
        <f t="shared" si="18"/>
        <v>0</v>
      </c>
      <c r="AP53" s="61">
        <f t="shared" si="19"/>
        <v>0</v>
      </c>
      <c r="AQ53" s="49"/>
    </row>
    <row r="54" spans="1:43" ht="20.100000000000001" customHeight="1">
      <c r="A54" s="49" t="s">
        <v>446</v>
      </c>
      <c r="B54" s="49">
        <v>48</v>
      </c>
      <c r="C54" s="56" t="s">
        <v>211</v>
      </c>
      <c r="D54" s="56" t="s">
        <v>192</v>
      </c>
      <c r="E54" s="56" t="s">
        <v>210</v>
      </c>
      <c r="F54" s="49">
        <f>VLOOKUP(C54,'[1]논산시 마을상수도'!$E$5:$K$171,6,FALSE)</f>
        <v>60</v>
      </c>
      <c r="G54" s="49">
        <f>VLOOKUP(C54,'[1]논산시 마을상수도'!$E$5:$K$171,3,FALSE)</f>
        <v>2010</v>
      </c>
      <c r="H54" s="49">
        <f>VLOOKUP($C54,'[1]논산시 마을상수도'!$E$5:$K$171,4,FALSE)</f>
        <v>35</v>
      </c>
      <c r="I54" s="49" t="str">
        <f>VLOOKUP($E54,'[2]마을_소규모 인접거리'!$D$8:$P$167,8,FALSE)</f>
        <v>2010</v>
      </c>
      <c r="J54" s="49"/>
      <c r="K54" s="49" t="str">
        <f>VLOOKUP($E54,'[2]마을_소규모 인접거리'!$D$8:$P$167,12,FALSE)</f>
        <v>2010</v>
      </c>
      <c r="L54" s="49" t="str">
        <f t="shared" si="9"/>
        <v>2010</v>
      </c>
      <c r="M54" s="49">
        <v>2010</v>
      </c>
      <c r="N54" s="64">
        <v>2025</v>
      </c>
      <c r="O54" s="49" t="str">
        <f t="shared" si="10"/>
        <v/>
      </c>
      <c r="P54" s="49"/>
      <c r="Q54" s="49" t="str">
        <f t="shared" si="11"/>
        <v/>
      </c>
      <c r="R54" s="49" t="str">
        <f t="shared" si="12"/>
        <v/>
      </c>
      <c r="S54" s="49" t="str">
        <f t="shared" si="13"/>
        <v/>
      </c>
      <c r="T54" s="49" t="str">
        <f t="shared" si="20"/>
        <v/>
      </c>
      <c r="U54" s="49" t="str">
        <f t="shared" si="21"/>
        <v/>
      </c>
      <c r="V54" s="49" t="str">
        <f t="shared" si="22"/>
        <v/>
      </c>
      <c r="W54" s="49" t="str">
        <f t="shared" si="23"/>
        <v/>
      </c>
      <c r="X54" s="49" t="str">
        <f t="shared" si="24"/>
        <v/>
      </c>
      <c r="Y54" s="49"/>
      <c r="Z54" s="49" t="s">
        <v>114</v>
      </c>
      <c r="AA54" s="49" t="str">
        <f t="shared" si="14"/>
        <v>E</v>
      </c>
      <c r="AB54" s="61"/>
      <c r="AC54" s="61"/>
      <c r="AD54" s="61" t="str">
        <f>IF(O54="개량",ROUND(VLOOKUP($F54,'개량사업비 산정기준'!$A$5:$I$23,2,FALSE)/1000,0),"")</f>
        <v/>
      </c>
      <c r="AE54" s="61"/>
      <c r="AF54" s="61" t="str">
        <f>IF(Q54="개량",ROUND(VLOOKUP($F54,'개량사업비 산정기준'!$A$5:$I$23,6,FALSE)/1000,0),"")</f>
        <v/>
      </c>
      <c r="AG54" s="61" t="str">
        <f>IF(R54="개량",ROUND(VLOOKUP($F54,'개량사업비 산정기준'!$A$5:$I$23,7,FALSE)/1000,0),"")</f>
        <v/>
      </c>
      <c r="AH54" s="61" t="str">
        <f>IF(S54="개량",ROUND(((AB54*'개량사업비 산정기준'!$B$34)+(AC54*'개량사업비 산정기준'!$C$34))/1000000,0),"")</f>
        <v/>
      </c>
      <c r="AI54" s="61"/>
      <c r="AJ54" s="61">
        <f>IF($AA54="D",ROUND('개량사업비 산정기준'!$F$56/1000,0),IF($AA54="E",ROUND('개량사업비 산정기준'!$F$56/1000,0),""))</f>
        <v>48</v>
      </c>
      <c r="AK54" s="61">
        <f t="shared" si="15"/>
        <v>48</v>
      </c>
      <c r="AL54" s="61"/>
      <c r="AM54" s="61">
        <f t="shared" si="16"/>
        <v>0</v>
      </c>
      <c r="AN54" s="61">
        <f t="shared" si="17"/>
        <v>0</v>
      </c>
      <c r="AO54" s="61">
        <f t="shared" si="18"/>
        <v>0</v>
      </c>
      <c r="AP54" s="61">
        <f t="shared" si="19"/>
        <v>0</v>
      </c>
      <c r="AQ54" s="49"/>
    </row>
    <row r="55" spans="1:43" ht="20.100000000000001" customHeight="1">
      <c r="A55" s="49" t="s">
        <v>446</v>
      </c>
      <c r="B55" s="49">
        <v>49</v>
      </c>
      <c r="C55" s="56" t="s">
        <v>213</v>
      </c>
      <c r="D55" s="56" t="s">
        <v>192</v>
      </c>
      <c r="E55" s="56" t="s">
        <v>212</v>
      </c>
      <c r="F55" s="49">
        <f>VLOOKUP(C55,'[1]논산시 마을상수도'!$E$5:$K$171,6,FALSE)</f>
        <v>80</v>
      </c>
      <c r="G55" s="49">
        <f>VLOOKUP(C55,'[1]논산시 마을상수도'!$E$5:$K$171,3,FALSE)</f>
        <v>2012</v>
      </c>
      <c r="H55" s="49">
        <f>VLOOKUP($C55,'[1]논산시 마을상수도'!$E$5:$K$171,4,FALSE)</f>
        <v>48</v>
      </c>
      <c r="I55" s="49" t="str">
        <f>VLOOKUP($E55,'[2]마을_소규모 인접거리'!$D$8:$P$167,8,FALSE)</f>
        <v>2012</v>
      </c>
      <c r="J55" s="49"/>
      <c r="K55" s="49" t="str">
        <f>VLOOKUP($E55,'[2]마을_소규모 인접거리'!$D$8:$P$167,12,FALSE)</f>
        <v>2012</v>
      </c>
      <c r="L55" s="49" t="str">
        <f t="shared" si="9"/>
        <v>2012</v>
      </c>
      <c r="M55" s="49">
        <v>2012</v>
      </c>
      <c r="N55" s="49">
        <v>2025</v>
      </c>
      <c r="O55" s="49" t="str">
        <f t="shared" si="10"/>
        <v/>
      </c>
      <c r="P55" s="49"/>
      <c r="Q55" s="49" t="str">
        <f t="shared" si="11"/>
        <v/>
      </c>
      <c r="R55" s="49" t="str">
        <f t="shared" si="12"/>
        <v/>
      </c>
      <c r="S55" s="49" t="str">
        <f t="shared" si="13"/>
        <v/>
      </c>
      <c r="T55" s="49" t="str">
        <f t="shared" si="20"/>
        <v/>
      </c>
      <c r="U55" s="49" t="str">
        <f t="shared" si="21"/>
        <v/>
      </c>
      <c r="V55" s="49" t="str">
        <f t="shared" si="22"/>
        <v/>
      </c>
      <c r="W55" s="49" t="str">
        <f t="shared" si="23"/>
        <v/>
      </c>
      <c r="X55" s="49" t="str">
        <f t="shared" si="24"/>
        <v/>
      </c>
      <c r="Y55" s="49">
        <v>2</v>
      </c>
      <c r="Z55" s="49" t="s">
        <v>114</v>
      </c>
      <c r="AA55" s="49" t="str">
        <f t="shared" si="14"/>
        <v>E</v>
      </c>
      <c r="AB55" s="61"/>
      <c r="AC55" s="61"/>
      <c r="AD55" s="61" t="str">
        <f>IF(O55="개량",ROUND(VLOOKUP($F55,'개량사업비 산정기준'!$A$5:$I$23,2,FALSE)/1000,0),"")</f>
        <v/>
      </c>
      <c r="AE55" s="61"/>
      <c r="AF55" s="61" t="str">
        <f>IF(Q55="개량",ROUND(VLOOKUP($F55,'개량사업비 산정기준'!$A$5:$I$23,6,FALSE)/1000,0),"")</f>
        <v/>
      </c>
      <c r="AG55" s="61" t="str">
        <f>IF(R55="개량",ROUND(VLOOKUP($F55,'개량사업비 산정기준'!$A$5:$I$23,7,FALSE)/1000,0),"")</f>
        <v/>
      </c>
      <c r="AH55" s="61" t="str">
        <f>IF(S55="개량",ROUND(((AB55*'개량사업비 산정기준'!$B$34)+(AC55*'개량사업비 산정기준'!$C$34))/1000000,0),"")</f>
        <v/>
      </c>
      <c r="AI55" s="61"/>
      <c r="AJ55" s="61">
        <f>IF($AA55="D",ROUND('개량사업비 산정기준'!$F$56/1000,0),IF($AA55="E",ROUND('개량사업비 산정기준'!$F$56/1000,0),""))</f>
        <v>48</v>
      </c>
      <c r="AK55" s="61">
        <f t="shared" si="15"/>
        <v>48</v>
      </c>
      <c r="AL55" s="61">
        <v>2</v>
      </c>
      <c r="AM55" s="61">
        <f t="shared" si="16"/>
        <v>0</v>
      </c>
      <c r="AN55" s="61">
        <f t="shared" si="17"/>
        <v>48</v>
      </c>
      <c r="AO55" s="61">
        <f t="shared" si="18"/>
        <v>0</v>
      </c>
      <c r="AP55" s="61">
        <f t="shared" si="19"/>
        <v>0</v>
      </c>
      <c r="AQ55" s="49"/>
    </row>
    <row r="56" spans="1:43" ht="20.100000000000001" customHeight="1">
      <c r="A56" s="49" t="s">
        <v>446</v>
      </c>
      <c r="B56" s="49">
        <v>50</v>
      </c>
      <c r="C56" s="56" t="s">
        <v>215</v>
      </c>
      <c r="D56" s="56" t="s">
        <v>192</v>
      </c>
      <c r="E56" s="56" t="s">
        <v>214</v>
      </c>
      <c r="F56" s="49">
        <f>VLOOKUP(C56,'[1]논산시 마을상수도'!$E$5:$K$171,6,FALSE)</f>
        <v>60</v>
      </c>
      <c r="G56" s="49">
        <f>VLOOKUP(C56,'[1]논산시 마을상수도'!$E$5:$K$171,3,FALSE)</f>
        <v>2004</v>
      </c>
      <c r="H56" s="49">
        <f>VLOOKUP($C56,'[1]논산시 마을상수도'!$E$5:$K$171,4,FALSE)</f>
        <v>50</v>
      </c>
      <c r="I56" s="49">
        <v>2004</v>
      </c>
      <c r="J56" s="49"/>
      <c r="K56" s="49">
        <v>2004</v>
      </c>
      <c r="L56" s="49">
        <f t="shared" si="9"/>
        <v>2004</v>
      </c>
      <c r="M56" s="49">
        <v>2004</v>
      </c>
      <c r="N56" s="64">
        <v>2025</v>
      </c>
      <c r="O56" s="49" t="str">
        <f t="shared" si="10"/>
        <v/>
      </c>
      <c r="P56" s="49"/>
      <c r="Q56" s="49" t="str">
        <f t="shared" si="11"/>
        <v/>
      </c>
      <c r="R56" s="49" t="str">
        <f t="shared" si="12"/>
        <v/>
      </c>
      <c r="S56" s="49" t="str">
        <f t="shared" si="13"/>
        <v/>
      </c>
      <c r="T56" s="49" t="str">
        <f t="shared" si="20"/>
        <v/>
      </c>
      <c r="U56" s="49" t="str">
        <f t="shared" si="21"/>
        <v/>
      </c>
      <c r="V56" s="49" t="str">
        <f t="shared" si="22"/>
        <v/>
      </c>
      <c r="W56" s="49" t="str">
        <f t="shared" si="23"/>
        <v/>
      </c>
      <c r="X56" s="49" t="str">
        <f t="shared" si="24"/>
        <v/>
      </c>
      <c r="Y56" s="49"/>
      <c r="Z56" s="49" t="s">
        <v>114</v>
      </c>
      <c r="AA56" s="49" t="str">
        <f t="shared" si="14"/>
        <v>E</v>
      </c>
      <c r="AB56" s="61"/>
      <c r="AC56" s="61"/>
      <c r="AD56" s="61" t="str">
        <f>IF(O56="개량",ROUND(VLOOKUP($F56,'개량사업비 산정기준'!$A$5:$I$23,2,FALSE)/1000,0),"")</f>
        <v/>
      </c>
      <c r="AE56" s="61"/>
      <c r="AF56" s="61" t="str">
        <f>IF(Q56="개량",ROUND(VLOOKUP($F56,'개량사업비 산정기준'!$A$5:$I$23,6,FALSE)/1000,0),"")</f>
        <v/>
      </c>
      <c r="AG56" s="61" t="str">
        <f>IF(R56="개량",ROUND(VLOOKUP($F56,'개량사업비 산정기준'!$A$5:$I$23,7,FALSE)/1000,0),"")</f>
        <v/>
      </c>
      <c r="AH56" s="61" t="str">
        <f>IF(S56="개량",ROUND(((AB56*'개량사업비 산정기준'!$B$34)+(AC56*'개량사업비 산정기준'!$C$34))/1000000,0),"")</f>
        <v/>
      </c>
      <c r="AI56" s="61"/>
      <c r="AJ56" s="61">
        <f>IF($AA56="D",ROUND('개량사업비 산정기준'!$F$56/1000,0),IF($AA56="E",ROUND('개량사업비 산정기준'!$F$56/1000,0),""))</f>
        <v>48</v>
      </c>
      <c r="AK56" s="61">
        <f t="shared" si="15"/>
        <v>48</v>
      </c>
      <c r="AL56" s="61"/>
      <c r="AM56" s="61">
        <f t="shared" si="16"/>
        <v>0</v>
      </c>
      <c r="AN56" s="61">
        <f t="shared" si="17"/>
        <v>0</v>
      </c>
      <c r="AO56" s="61">
        <f t="shared" si="18"/>
        <v>0</v>
      </c>
      <c r="AP56" s="61">
        <f t="shared" si="19"/>
        <v>0</v>
      </c>
      <c r="AQ56" s="49"/>
    </row>
    <row r="57" spans="1:43" ht="20.100000000000001" customHeight="1">
      <c r="A57" s="49" t="s">
        <v>446</v>
      </c>
      <c r="B57" s="49">
        <v>51</v>
      </c>
      <c r="C57" s="56" t="s">
        <v>217</v>
      </c>
      <c r="D57" s="56" t="s">
        <v>216</v>
      </c>
      <c r="E57" s="56" t="s">
        <v>35</v>
      </c>
      <c r="F57" s="49">
        <f>VLOOKUP(C57,'[1]논산시 마을상수도'!$E$5:$K$171,6,FALSE)</f>
        <v>70</v>
      </c>
      <c r="G57" s="49">
        <f>VLOOKUP(C57,'[1]논산시 마을상수도'!$E$5:$K$171,3,FALSE)</f>
        <v>1999</v>
      </c>
      <c r="H57" s="49">
        <f>VLOOKUP($C57,'[1]논산시 마을상수도'!$E$5:$K$171,4,FALSE)</f>
        <v>51</v>
      </c>
      <c r="I57" s="49">
        <f>VLOOKUP($E57,'[2]마을_소규모 인접거리'!$D$8:$P$167,8,FALSE)</f>
        <v>1999</v>
      </c>
      <c r="J57" s="49"/>
      <c r="K57" s="49">
        <f>VLOOKUP($E57,'[2]마을_소규모 인접거리'!$D$8:$P$167,12,FALSE)</f>
        <v>1999</v>
      </c>
      <c r="L57" s="49">
        <f t="shared" si="9"/>
        <v>1999</v>
      </c>
      <c r="M57" s="49">
        <v>1999</v>
      </c>
      <c r="N57" s="49">
        <v>2025</v>
      </c>
      <c r="O57" s="49" t="str">
        <f t="shared" si="10"/>
        <v/>
      </c>
      <c r="P57" s="49"/>
      <c r="Q57" s="49" t="str">
        <f t="shared" si="11"/>
        <v/>
      </c>
      <c r="R57" s="49" t="str">
        <f t="shared" si="12"/>
        <v/>
      </c>
      <c r="S57" s="49" t="str">
        <f t="shared" si="13"/>
        <v/>
      </c>
      <c r="T57" s="49" t="str">
        <f t="shared" si="20"/>
        <v/>
      </c>
      <c r="U57" s="49" t="str">
        <f t="shared" si="21"/>
        <v/>
      </c>
      <c r="V57" s="49" t="str">
        <f t="shared" si="22"/>
        <v/>
      </c>
      <c r="W57" s="49" t="str">
        <f t="shared" si="23"/>
        <v/>
      </c>
      <c r="X57" s="49" t="str">
        <f t="shared" si="24"/>
        <v/>
      </c>
      <c r="Y57" s="49">
        <v>2</v>
      </c>
      <c r="Z57" s="49" t="s">
        <v>114</v>
      </c>
      <c r="AA57" s="49" t="str">
        <f t="shared" si="14"/>
        <v>E</v>
      </c>
      <c r="AB57" s="61"/>
      <c r="AC57" s="61"/>
      <c r="AD57" s="61" t="str">
        <f>IF(O57="개량",ROUND(VLOOKUP($F57,'개량사업비 산정기준'!$A$5:$I$23,2,FALSE)/1000,0),"")</f>
        <v/>
      </c>
      <c r="AE57" s="61"/>
      <c r="AF57" s="61" t="str">
        <f>IF(Q57="개량",ROUND(VLOOKUP($F57,'개량사업비 산정기준'!$A$5:$I$23,6,FALSE)/1000,0),"")</f>
        <v/>
      </c>
      <c r="AG57" s="61" t="str">
        <f>IF(R57="개량",ROUND(VLOOKUP($F57,'개량사업비 산정기준'!$A$5:$I$23,7,FALSE)/1000,0),"")</f>
        <v/>
      </c>
      <c r="AH57" s="61" t="str">
        <f>IF(S57="개량",ROUND(((AB57*'개량사업비 산정기준'!$B$34)+(AC57*'개량사업비 산정기준'!$C$34))/1000000,0),"")</f>
        <v/>
      </c>
      <c r="AI57" s="61"/>
      <c r="AJ57" s="61">
        <f>IF($AA57="D",ROUND('개량사업비 산정기준'!$F$56/1000,0),IF($AA57="E",ROUND('개량사업비 산정기준'!$F$56/1000,0),""))</f>
        <v>48</v>
      </c>
      <c r="AK57" s="61">
        <f t="shared" si="15"/>
        <v>48</v>
      </c>
      <c r="AL57" s="61">
        <v>2</v>
      </c>
      <c r="AM57" s="61">
        <f t="shared" si="16"/>
        <v>0</v>
      </c>
      <c r="AN57" s="61">
        <f t="shared" si="17"/>
        <v>48</v>
      </c>
      <c r="AO57" s="61">
        <f t="shared" si="18"/>
        <v>0</v>
      </c>
      <c r="AP57" s="61">
        <f t="shared" si="19"/>
        <v>0</v>
      </c>
      <c r="AQ57" s="49"/>
    </row>
    <row r="58" spans="1:43" ht="20.100000000000001" customHeight="1">
      <c r="A58" s="49" t="s">
        <v>446</v>
      </c>
      <c r="B58" s="49">
        <v>52</v>
      </c>
      <c r="C58" s="56" t="s">
        <v>218</v>
      </c>
      <c r="D58" s="56" t="s">
        <v>216</v>
      </c>
      <c r="E58" s="56" t="s">
        <v>36</v>
      </c>
      <c r="F58" s="49">
        <f>VLOOKUP(C58,'[1]논산시 마을상수도'!$E$5:$K$171,6,FALSE)</f>
        <v>110</v>
      </c>
      <c r="G58" s="49">
        <f>VLOOKUP(C58,'[1]논산시 마을상수도'!$E$5:$K$171,3,FALSE)</f>
        <v>2002</v>
      </c>
      <c r="H58" s="49">
        <f>VLOOKUP($C58,'[1]논산시 마을상수도'!$E$5:$K$171,4,FALSE)</f>
        <v>90</v>
      </c>
      <c r="I58" s="49">
        <f>VLOOKUP($E58,'[2]마을_소규모 인접거리'!$D$8:$P$167,8,FALSE)</f>
        <v>2002</v>
      </c>
      <c r="J58" s="49"/>
      <c r="K58" s="49">
        <f>VLOOKUP($E58,'[2]마을_소규모 인접거리'!$D$8:$P$167,12,FALSE)</f>
        <v>2002</v>
      </c>
      <c r="L58" s="49">
        <f t="shared" si="9"/>
        <v>2002</v>
      </c>
      <c r="M58" s="49">
        <v>2002</v>
      </c>
      <c r="N58" s="49">
        <v>2025</v>
      </c>
      <c r="O58" s="49" t="str">
        <f t="shared" si="10"/>
        <v/>
      </c>
      <c r="P58" s="49"/>
      <c r="Q58" s="49" t="str">
        <f t="shared" si="11"/>
        <v/>
      </c>
      <c r="R58" s="49" t="str">
        <f t="shared" si="12"/>
        <v/>
      </c>
      <c r="S58" s="49" t="str">
        <f t="shared" si="13"/>
        <v/>
      </c>
      <c r="T58" s="49" t="str">
        <f t="shared" si="20"/>
        <v/>
      </c>
      <c r="U58" s="49" t="str">
        <f t="shared" si="21"/>
        <v/>
      </c>
      <c r="V58" s="49" t="str">
        <f t="shared" si="22"/>
        <v/>
      </c>
      <c r="W58" s="49" t="str">
        <f t="shared" si="23"/>
        <v/>
      </c>
      <c r="X58" s="49" t="str">
        <f t="shared" si="24"/>
        <v/>
      </c>
      <c r="Y58" s="49">
        <v>2</v>
      </c>
      <c r="Z58" s="49" t="s">
        <v>114</v>
      </c>
      <c r="AA58" s="49" t="str">
        <f t="shared" si="14"/>
        <v>E</v>
      </c>
      <c r="AB58" s="61"/>
      <c r="AC58" s="61"/>
      <c r="AD58" s="61" t="str">
        <f>IF(O58="개량",ROUND(VLOOKUP($F58,'개량사업비 산정기준'!$A$5:$I$23,2,FALSE)/1000,0),"")</f>
        <v/>
      </c>
      <c r="AE58" s="61"/>
      <c r="AF58" s="61" t="str">
        <f>IF(Q58="개량",ROUND(VLOOKUP($F58,'개량사업비 산정기준'!$A$5:$I$23,6,FALSE)/1000,0),"")</f>
        <v/>
      </c>
      <c r="AG58" s="61" t="str">
        <f>IF(R58="개량",ROUND(VLOOKUP($F58,'개량사업비 산정기준'!$A$5:$I$23,7,FALSE)/1000,0),"")</f>
        <v/>
      </c>
      <c r="AH58" s="61" t="str">
        <f>IF(S58="개량",ROUND(((AB58*'개량사업비 산정기준'!$B$34)+(AC58*'개량사업비 산정기준'!$C$34))/1000000,0),"")</f>
        <v/>
      </c>
      <c r="AI58" s="61"/>
      <c r="AJ58" s="61">
        <f>IF($AA58="D",ROUND('개량사업비 산정기준'!$F$56/1000,0),IF($AA58="E",ROUND('개량사업비 산정기준'!$F$56/1000,0),""))</f>
        <v>48</v>
      </c>
      <c r="AK58" s="61">
        <f t="shared" si="15"/>
        <v>48</v>
      </c>
      <c r="AL58" s="61">
        <v>2</v>
      </c>
      <c r="AM58" s="61">
        <f t="shared" si="16"/>
        <v>0</v>
      </c>
      <c r="AN58" s="61">
        <f t="shared" si="17"/>
        <v>48</v>
      </c>
      <c r="AO58" s="61">
        <f t="shared" si="18"/>
        <v>0</v>
      </c>
      <c r="AP58" s="61">
        <f t="shared" si="19"/>
        <v>0</v>
      </c>
      <c r="AQ58" s="49"/>
    </row>
    <row r="59" spans="1:43" ht="20.100000000000001" customHeight="1">
      <c r="A59" s="49" t="s">
        <v>446</v>
      </c>
      <c r="B59" s="49">
        <v>53</v>
      </c>
      <c r="C59" s="56" t="s">
        <v>219</v>
      </c>
      <c r="D59" s="56" t="s">
        <v>216</v>
      </c>
      <c r="E59" s="56" t="s">
        <v>37</v>
      </c>
      <c r="F59" s="49">
        <f>VLOOKUP(C59,'[1]논산시 마을상수도'!$E$5:$K$171,6,FALSE)</f>
        <v>120</v>
      </c>
      <c r="G59" s="49">
        <f>VLOOKUP(C59,'[1]논산시 마을상수도'!$E$5:$K$171,3,FALSE)</f>
        <v>2004</v>
      </c>
      <c r="H59" s="49">
        <f>VLOOKUP($C59,'[1]논산시 마을상수도'!$E$5:$K$171,4,FALSE)</f>
        <v>99</v>
      </c>
      <c r="I59" s="49">
        <f>VLOOKUP($E59,'[2]마을_소규모 인접거리'!$D$8:$P$167,8,FALSE)</f>
        <v>2004</v>
      </c>
      <c r="J59" s="49"/>
      <c r="K59" s="49">
        <f>VLOOKUP($E59,'[2]마을_소규모 인접거리'!$D$8:$P$167,12,FALSE)</f>
        <v>2004</v>
      </c>
      <c r="L59" s="49">
        <f t="shared" si="9"/>
        <v>2004</v>
      </c>
      <c r="M59" s="49">
        <v>2004</v>
      </c>
      <c r="N59" s="49">
        <v>2025</v>
      </c>
      <c r="O59" s="49" t="str">
        <f t="shared" si="10"/>
        <v/>
      </c>
      <c r="P59" s="49"/>
      <c r="Q59" s="49" t="str">
        <f t="shared" si="11"/>
        <v/>
      </c>
      <c r="R59" s="49" t="str">
        <f t="shared" si="12"/>
        <v/>
      </c>
      <c r="S59" s="49" t="str">
        <f t="shared" si="13"/>
        <v/>
      </c>
      <c r="T59" s="49" t="str">
        <f t="shared" si="20"/>
        <v/>
      </c>
      <c r="U59" s="49" t="str">
        <f t="shared" si="21"/>
        <v/>
      </c>
      <c r="V59" s="49" t="str">
        <f t="shared" si="22"/>
        <v/>
      </c>
      <c r="W59" s="49" t="str">
        <f t="shared" si="23"/>
        <v/>
      </c>
      <c r="X59" s="49" t="str">
        <f t="shared" si="24"/>
        <v/>
      </c>
      <c r="Y59" s="49">
        <v>2</v>
      </c>
      <c r="Z59" s="49" t="s">
        <v>114</v>
      </c>
      <c r="AA59" s="49" t="str">
        <f t="shared" si="14"/>
        <v>E</v>
      </c>
      <c r="AB59" s="61"/>
      <c r="AC59" s="61"/>
      <c r="AD59" s="61" t="str">
        <f>IF(O59="개량",ROUND(VLOOKUP($F59,'개량사업비 산정기준'!$A$5:$I$23,2,FALSE)/1000,0),"")</f>
        <v/>
      </c>
      <c r="AE59" s="61"/>
      <c r="AF59" s="61" t="str">
        <f>IF(Q59="개량",ROUND(VLOOKUP($F59,'개량사업비 산정기준'!$A$5:$I$23,6,FALSE)/1000,0),"")</f>
        <v/>
      </c>
      <c r="AG59" s="61" t="str">
        <f>IF(R59="개량",ROUND(VLOOKUP($F59,'개량사업비 산정기준'!$A$5:$I$23,7,FALSE)/1000,0),"")</f>
        <v/>
      </c>
      <c r="AH59" s="61" t="str">
        <f>IF(S59="개량",ROUND(((AB59*'개량사업비 산정기준'!$B$34)+(AC59*'개량사업비 산정기준'!$C$34))/1000000,0),"")</f>
        <v/>
      </c>
      <c r="AI59" s="61"/>
      <c r="AJ59" s="61">
        <f>IF($AA59="D",ROUND('개량사업비 산정기준'!$F$56/1000,0),IF($AA59="E",ROUND('개량사업비 산정기준'!$F$56/1000,0),""))</f>
        <v>48</v>
      </c>
      <c r="AK59" s="61">
        <f t="shared" si="15"/>
        <v>48</v>
      </c>
      <c r="AL59" s="61">
        <v>2</v>
      </c>
      <c r="AM59" s="61">
        <f t="shared" si="16"/>
        <v>0</v>
      </c>
      <c r="AN59" s="61">
        <f t="shared" si="17"/>
        <v>48</v>
      </c>
      <c r="AO59" s="61">
        <f t="shared" si="18"/>
        <v>0</v>
      </c>
      <c r="AP59" s="61">
        <f t="shared" si="19"/>
        <v>0</v>
      </c>
      <c r="AQ59" s="49"/>
    </row>
    <row r="60" spans="1:43" ht="20.100000000000001" customHeight="1">
      <c r="A60" s="49" t="s">
        <v>446</v>
      </c>
      <c r="B60" s="49">
        <v>54</v>
      </c>
      <c r="C60" s="56" t="s">
        <v>221</v>
      </c>
      <c r="D60" s="56" t="s">
        <v>216</v>
      </c>
      <c r="E60" s="56" t="s">
        <v>220</v>
      </c>
      <c r="F60" s="49">
        <f>VLOOKUP(C60,'[1]논산시 마을상수도'!$E$5:$K$171,6,FALSE)</f>
        <v>50</v>
      </c>
      <c r="G60" s="49">
        <f>VLOOKUP(C60,'[1]논산시 마을상수도'!$E$5:$K$171,3,FALSE)</f>
        <v>2004</v>
      </c>
      <c r="H60" s="49">
        <f>VLOOKUP($C60,'[1]논산시 마을상수도'!$E$5:$K$171,4,FALSE)</f>
        <v>53</v>
      </c>
      <c r="I60" s="49">
        <f>VLOOKUP($E60,'[2]마을_소규모 인접거리'!$D$8:$P$167,8,FALSE)</f>
        <v>2004</v>
      </c>
      <c r="J60" s="49"/>
      <c r="K60" s="49">
        <f>VLOOKUP($E60,'[2]마을_소규모 인접거리'!$D$8:$P$167,12,FALSE)</f>
        <v>2004</v>
      </c>
      <c r="L60" s="49">
        <f t="shared" si="9"/>
        <v>2004</v>
      </c>
      <c r="M60" s="49">
        <v>2004</v>
      </c>
      <c r="N60" s="49">
        <v>2025</v>
      </c>
      <c r="O60" s="49" t="str">
        <f t="shared" si="10"/>
        <v/>
      </c>
      <c r="P60" s="49"/>
      <c r="Q60" s="49" t="str">
        <f t="shared" si="11"/>
        <v/>
      </c>
      <c r="R60" s="49" t="str">
        <f t="shared" si="12"/>
        <v/>
      </c>
      <c r="S60" s="49" t="str">
        <f t="shared" si="13"/>
        <v/>
      </c>
      <c r="T60" s="49" t="str">
        <f t="shared" si="20"/>
        <v/>
      </c>
      <c r="U60" s="49" t="str">
        <f t="shared" si="21"/>
        <v/>
      </c>
      <c r="V60" s="49" t="str">
        <f t="shared" si="22"/>
        <v/>
      </c>
      <c r="W60" s="49" t="str">
        <f t="shared" si="23"/>
        <v/>
      </c>
      <c r="X60" s="49" t="str">
        <f t="shared" si="24"/>
        <v/>
      </c>
      <c r="Y60" s="49">
        <v>2</v>
      </c>
      <c r="Z60" s="49" t="s">
        <v>114</v>
      </c>
      <c r="AA60" s="49" t="str">
        <f t="shared" si="14"/>
        <v>E</v>
      </c>
      <c r="AB60" s="61"/>
      <c r="AC60" s="61"/>
      <c r="AD60" s="61" t="str">
        <f>IF(O60="개량",ROUND(VLOOKUP($F60,'개량사업비 산정기준'!$A$5:$I$23,2,FALSE)/1000,0),"")</f>
        <v/>
      </c>
      <c r="AE60" s="61"/>
      <c r="AF60" s="61" t="str">
        <f>IF(Q60="개량",ROUND(VLOOKUP($F60,'개량사업비 산정기준'!$A$5:$I$23,6,FALSE)/1000,0),"")</f>
        <v/>
      </c>
      <c r="AG60" s="61" t="str">
        <f>IF(R60="개량",ROUND(VLOOKUP($F60,'개량사업비 산정기준'!$A$5:$I$23,7,FALSE)/1000,0),"")</f>
        <v/>
      </c>
      <c r="AH60" s="61" t="str">
        <f>IF(S60="개량",ROUND(((AB60*'개량사업비 산정기준'!$B$34)+(AC60*'개량사업비 산정기준'!$C$34))/1000000,0),"")</f>
        <v/>
      </c>
      <c r="AI60" s="61"/>
      <c r="AJ60" s="61">
        <f>IF($AA60="D",ROUND('개량사업비 산정기준'!$F$56/1000,0),IF($AA60="E",ROUND('개량사업비 산정기준'!$F$56/1000,0),""))</f>
        <v>48</v>
      </c>
      <c r="AK60" s="61">
        <f t="shared" si="15"/>
        <v>48</v>
      </c>
      <c r="AL60" s="61">
        <v>2</v>
      </c>
      <c r="AM60" s="61">
        <f t="shared" si="16"/>
        <v>0</v>
      </c>
      <c r="AN60" s="61">
        <f t="shared" si="17"/>
        <v>48</v>
      </c>
      <c r="AO60" s="61">
        <f t="shared" si="18"/>
        <v>0</v>
      </c>
      <c r="AP60" s="61">
        <f t="shared" si="19"/>
        <v>0</v>
      </c>
      <c r="AQ60" s="49"/>
    </row>
    <row r="61" spans="1:43" ht="20.100000000000001" customHeight="1">
      <c r="A61" s="49" t="s">
        <v>446</v>
      </c>
      <c r="B61" s="49">
        <v>55</v>
      </c>
      <c r="C61" s="56" t="s">
        <v>223</v>
      </c>
      <c r="D61" s="56" t="s">
        <v>216</v>
      </c>
      <c r="E61" s="56" t="s">
        <v>222</v>
      </c>
      <c r="F61" s="49">
        <f>VLOOKUP(C61,'[1]논산시 마을상수도'!$E$5:$K$171,6,FALSE)</f>
        <v>50</v>
      </c>
      <c r="G61" s="49">
        <f>VLOOKUP(C61,'[1]논산시 마을상수도'!$E$5:$K$171,3,FALSE)</f>
        <v>2004</v>
      </c>
      <c r="H61" s="49">
        <f>VLOOKUP($C61,'[1]논산시 마을상수도'!$E$5:$K$171,4,FALSE)</f>
        <v>45</v>
      </c>
      <c r="I61" s="49">
        <f>VLOOKUP($E61,'[2]마을_소규모 인접거리'!$D$8:$P$167,8,FALSE)</f>
        <v>2004</v>
      </c>
      <c r="J61" s="49"/>
      <c r="K61" s="49">
        <f>VLOOKUP($E61,'[2]마을_소규모 인접거리'!$D$8:$P$167,12,FALSE)</f>
        <v>2004</v>
      </c>
      <c r="L61" s="49">
        <f t="shared" si="9"/>
        <v>2004</v>
      </c>
      <c r="M61" s="49">
        <v>2004</v>
      </c>
      <c r="N61" s="49">
        <v>2025</v>
      </c>
      <c r="O61" s="49" t="str">
        <f t="shared" si="10"/>
        <v/>
      </c>
      <c r="P61" s="49"/>
      <c r="Q61" s="49" t="str">
        <f t="shared" si="11"/>
        <v/>
      </c>
      <c r="R61" s="49" t="str">
        <f t="shared" si="12"/>
        <v/>
      </c>
      <c r="S61" s="49" t="str">
        <f t="shared" si="13"/>
        <v/>
      </c>
      <c r="T61" s="49" t="str">
        <f t="shared" si="20"/>
        <v/>
      </c>
      <c r="U61" s="49" t="str">
        <f t="shared" si="21"/>
        <v/>
      </c>
      <c r="V61" s="49" t="str">
        <f t="shared" si="22"/>
        <v/>
      </c>
      <c r="W61" s="49" t="str">
        <f t="shared" si="23"/>
        <v/>
      </c>
      <c r="X61" s="49" t="str">
        <f t="shared" si="24"/>
        <v/>
      </c>
      <c r="Y61" s="49">
        <v>2</v>
      </c>
      <c r="Z61" s="49" t="s">
        <v>114</v>
      </c>
      <c r="AA61" s="49" t="str">
        <f t="shared" si="14"/>
        <v>E</v>
      </c>
      <c r="AB61" s="61"/>
      <c r="AC61" s="61"/>
      <c r="AD61" s="61" t="str">
        <f>IF(O61="개량",ROUND(VLOOKUP($F61,'개량사업비 산정기준'!$A$5:$I$23,2,FALSE)/1000,0),"")</f>
        <v/>
      </c>
      <c r="AE61" s="61"/>
      <c r="AF61" s="61" t="str">
        <f>IF(Q61="개량",ROUND(VLOOKUP($F61,'개량사업비 산정기준'!$A$5:$I$23,6,FALSE)/1000,0),"")</f>
        <v/>
      </c>
      <c r="AG61" s="61" t="str">
        <f>IF(R61="개량",ROUND(VLOOKUP($F61,'개량사업비 산정기준'!$A$5:$I$23,7,FALSE)/1000,0),"")</f>
        <v/>
      </c>
      <c r="AH61" s="61" t="str">
        <f>IF(S61="개량",ROUND(((AB61*'개량사업비 산정기준'!$B$34)+(AC61*'개량사업비 산정기준'!$C$34))/1000000,0),"")</f>
        <v/>
      </c>
      <c r="AI61" s="61"/>
      <c r="AJ61" s="61">
        <f>IF($AA61="D",ROUND('개량사업비 산정기준'!$F$56/1000,0),IF($AA61="E",ROUND('개량사업비 산정기준'!$F$56/1000,0),""))</f>
        <v>48</v>
      </c>
      <c r="AK61" s="61">
        <f t="shared" si="15"/>
        <v>48</v>
      </c>
      <c r="AL61" s="61">
        <v>2</v>
      </c>
      <c r="AM61" s="61">
        <f t="shared" si="16"/>
        <v>0</v>
      </c>
      <c r="AN61" s="61">
        <f t="shared" si="17"/>
        <v>48</v>
      </c>
      <c r="AO61" s="61">
        <f t="shared" si="18"/>
        <v>0</v>
      </c>
      <c r="AP61" s="61">
        <f t="shared" si="19"/>
        <v>0</v>
      </c>
      <c r="AQ61" s="49"/>
    </row>
    <row r="62" spans="1:43" ht="20.100000000000001" customHeight="1">
      <c r="A62" s="49" t="s">
        <v>446</v>
      </c>
      <c r="B62" s="49">
        <v>56</v>
      </c>
      <c r="C62" s="56" t="s">
        <v>225</v>
      </c>
      <c r="D62" s="56" t="s">
        <v>216</v>
      </c>
      <c r="E62" s="56" t="s">
        <v>224</v>
      </c>
      <c r="F62" s="49">
        <f>VLOOKUP(C62,'[1]논산시 마을상수도'!$E$5:$K$171,6,FALSE)</f>
        <v>40</v>
      </c>
      <c r="G62" s="49">
        <f>VLOOKUP(C62,'[1]논산시 마을상수도'!$E$5:$K$171,3,FALSE)</f>
        <v>2006</v>
      </c>
      <c r="H62" s="49">
        <f>VLOOKUP($C62,'[1]논산시 마을상수도'!$E$5:$K$171,4,FALSE)</f>
        <v>46</v>
      </c>
      <c r="I62" s="49">
        <f>VLOOKUP($E62,'[2]마을_소규모 인접거리'!$D$8:$P$167,8,FALSE)</f>
        <v>2006</v>
      </c>
      <c r="J62" s="49"/>
      <c r="K62" s="49">
        <f>VLOOKUP($E62,'[2]마을_소규모 인접거리'!$D$8:$P$167,12,FALSE)</f>
        <v>2006</v>
      </c>
      <c r="L62" s="49">
        <f t="shared" si="9"/>
        <v>2006</v>
      </c>
      <c r="M62" s="49">
        <v>2006</v>
      </c>
      <c r="N62" s="49">
        <v>2025</v>
      </c>
      <c r="O62" s="49" t="str">
        <f t="shared" si="10"/>
        <v/>
      </c>
      <c r="P62" s="49"/>
      <c r="Q62" s="49" t="str">
        <f t="shared" si="11"/>
        <v/>
      </c>
      <c r="R62" s="49" t="str">
        <f t="shared" si="12"/>
        <v/>
      </c>
      <c r="S62" s="49" t="str">
        <f t="shared" si="13"/>
        <v/>
      </c>
      <c r="T62" s="49" t="str">
        <f t="shared" si="20"/>
        <v/>
      </c>
      <c r="U62" s="49" t="str">
        <f t="shared" si="21"/>
        <v/>
      </c>
      <c r="V62" s="49" t="str">
        <f t="shared" si="22"/>
        <v/>
      </c>
      <c r="W62" s="49" t="str">
        <f t="shared" si="23"/>
        <v/>
      </c>
      <c r="X62" s="49" t="str">
        <f t="shared" si="24"/>
        <v/>
      </c>
      <c r="Y62" s="49">
        <v>2</v>
      </c>
      <c r="Z62" s="49" t="s">
        <v>114</v>
      </c>
      <c r="AA62" s="49" t="str">
        <f t="shared" si="14"/>
        <v>E</v>
      </c>
      <c r="AB62" s="61"/>
      <c r="AC62" s="61"/>
      <c r="AD62" s="61" t="str">
        <f>IF(O62="개량",ROUND(VLOOKUP($F62,'개량사업비 산정기준'!$A$5:$I$23,2,FALSE)/1000,0),"")</f>
        <v/>
      </c>
      <c r="AE62" s="61"/>
      <c r="AF62" s="61" t="str">
        <f>IF(Q62="개량",ROUND(VLOOKUP($F62,'개량사업비 산정기준'!$A$5:$I$23,6,FALSE)/1000,0),"")</f>
        <v/>
      </c>
      <c r="AG62" s="61" t="str">
        <f>IF(R62="개량",ROUND(VLOOKUP($F62,'개량사업비 산정기준'!$A$5:$I$23,7,FALSE)/1000,0),"")</f>
        <v/>
      </c>
      <c r="AH62" s="61" t="str">
        <f>IF(S62="개량",ROUND(((AB62*'개량사업비 산정기준'!$B$34)+(AC62*'개량사업비 산정기준'!$C$34))/1000000,0),"")</f>
        <v/>
      </c>
      <c r="AI62" s="61"/>
      <c r="AJ62" s="61">
        <f>IF($AA62="D",ROUND('개량사업비 산정기준'!$F$56/1000,0),IF($AA62="E",ROUND('개량사업비 산정기준'!$F$56/1000,0),""))</f>
        <v>48</v>
      </c>
      <c r="AK62" s="61">
        <f t="shared" si="15"/>
        <v>48</v>
      </c>
      <c r="AL62" s="61">
        <v>2</v>
      </c>
      <c r="AM62" s="61">
        <f t="shared" si="16"/>
        <v>0</v>
      </c>
      <c r="AN62" s="61">
        <f t="shared" si="17"/>
        <v>48</v>
      </c>
      <c r="AO62" s="61">
        <f t="shared" si="18"/>
        <v>0</v>
      </c>
      <c r="AP62" s="61">
        <f t="shared" si="19"/>
        <v>0</v>
      </c>
      <c r="AQ62" s="49"/>
    </row>
    <row r="63" spans="1:43" ht="20.100000000000001" customHeight="1">
      <c r="A63" s="49" t="s">
        <v>446</v>
      </c>
      <c r="B63" s="49">
        <v>57</v>
      </c>
      <c r="C63" s="56" t="s">
        <v>226</v>
      </c>
      <c r="D63" s="56" t="s">
        <v>216</v>
      </c>
      <c r="E63" s="56" t="s">
        <v>38</v>
      </c>
      <c r="F63" s="49">
        <f>VLOOKUP(C63,'[1]논산시 마을상수도'!$E$5:$K$171,6,FALSE)</f>
        <v>60</v>
      </c>
      <c r="G63" s="49">
        <f>VLOOKUP(C63,'[1]논산시 마을상수도'!$E$5:$K$171,3,FALSE)</f>
        <v>2008</v>
      </c>
      <c r="H63" s="49">
        <f>VLOOKUP($C63,'[1]논산시 마을상수도'!$E$5:$K$171,4,FALSE)</f>
        <v>38</v>
      </c>
      <c r="I63" s="49">
        <f>VLOOKUP($E63,'[2]마을_소규모 인접거리'!$D$8:$P$167,8,FALSE)</f>
        <v>2008</v>
      </c>
      <c r="J63" s="49"/>
      <c r="K63" s="49">
        <f>VLOOKUP($E63,'[2]마을_소규모 인접거리'!$D$8:$P$167,12,FALSE)</f>
        <v>2008</v>
      </c>
      <c r="L63" s="49">
        <f t="shared" si="9"/>
        <v>2008</v>
      </c>
      <c r="M63" s="49">
        <v>2008</v>
      </c>
      <c r="N63" s="49">
        <v>2025</v>
      </c>
      <c r="O63" s="49" t="str">
        <f t="shared" si="10"/>
        <v/>
      </c>
      <c r="P63" s="49"/>
      <c r="Q63" s="49" t="str">
        <f t="shared" si="11"/>
        <v/>
      </c>
      <c r="R63" s="49" t="str">
        <f t="shared" si="12"/>
        <v/>
      </c>
      <c r="S63" s="49" t="str">
        <f t="shared" si="13"/>
        <v/>
      </c>
      <c r="T63" s="49" t="str">
        <f t="shared" si="20"/>
        <v/>
      </c>
      <c r="U63" s="49" t="str">
        <f t="shared" si="21"/>
        <v/>
      </c>
      <c r="V63" s="49" t="str">
        <f t="shared" si="22"/>
        <v/>
      </c>
      <c r="W63" s="49" t="str">
        <f t="shared" si="23"/>
        <v/>
      </c>
      <c r="X63" s="49" t="str">
        <f t="shared" si="24"/>
        <v/>
      </c>
      <c r="Y63" s="49">
        <v>2</v>
      </c>
      <c r="Z63" s="49" t="s">
        <v>114</v>
      </c>
      <c r="AA63" s="49" t="str">
        <f t="shared" si="14"/>
        <v>E</v>
      </c>
      <c r="AB63" s="61"/>
      <c r="AC63" s="61"/>
      <c r="AD63" s="61" t="str">
        <f>IF(O63="개량",ROUND(VLOOKUP($F63,'개량사업비 산정기준'!$A$5:$I$23,2,FALSE)/1000,0),"")</f>
        <v/>
      </c>
      <c r="AE63" s="61"/>
      <c r="AF63" s="61" t="str">
        <f>IF(Q63="개량",ROUND(VLOOKUP($F63,'개량사업비 산정기준'!$A$5:$I$23,6,FALSE)/1000,0),"")</f>
        <v/>
      </c>
      <c r="AG63" s="61" t="str">
        <f>IF(R63="개량",ROUND(VLOOKUP($F63,'개량사업비 산정기준'!$A$5:$I$23,7,FALSE)/1000,0),"")</f>
        <v/>
      </c>
      <c r="AH63" s="61" t="str">
        <f>IF(S63="개량",ROUND(((AB63*'개량사업비 산정기준'!$B$34)+(AC63*'개량사업비 산정기준'!$C$34))/1000000,0),"")</f>
        <v/>
      </c>
      <c r="AI63" s="61"/>
      <c r="AJ63" s="61">
        <f>IF($AA63="D",ROUND('개량사업비 산정기준'!$F$56/1000,0),IF($AA63="E",ROUND('개량사업비 산정기준'!$F$56/1000,0),""))</f>
        <v>48</v>
      </c>
      <c r="AK63" s="61">
        <f t="shared" si="15"/>
        <v>48</v>
      </c>
      <c r="AL63" s="61">
        <v>2</v>
      </c>
      <c r="AM63" s="61">
        <f t="shared" si="16"/>
        <v>0</v>
      </c>
      <c r="AN63" s="61">
        <f t="shared" si="17"/>
        <v>48</v>
      </c>
      <c r="AO63" s="61">
        <f t="shared" si="18"/>
        <v>0</v>
      </c>
      <c r="AP63" s="61">
        <f t="shared" si="19"/>
        <v>0</v>
      </c>
      <c r="AQ63" s="49"/>
    </row>
    <row r="64" spans="1:43" ht="20.100000000000001" customHeight="1">
      <c r="A64" s="49" t="s">
        <v>446</v>
      </c>
      <c r="B64" s="49">
        <v>58</v>
      </c>
      <c r="C64" s="56" t="s">
        <v>227</v>
      </c>
      <c r="D64" s="56" t="s">
        <v>216</v>
      </c>
      <c r="E64" s="56" t="s">
        <v>206</v>
      </c>
      <c r="F64" s="49">
        <f>VLOOKUP(C64,'[1]논산시 마을상수도'!$E$5:$K$171,6,FALSE)</f>
        <v>50</v>
      </c>
      <c r="G64" s="49">
        <f>VLOOKUP(C64,'[1]논산시 마을상수도'!$E$5:$K$171,3,FALSE)</f>
        <v>2009</v>
      </c>
      <c r="H64" s="49">
        <f>VLOOKUP($C64,'[1]논산시 마을상수도'!$E$5:$K$171,4,FALSE)</f>
        <v>32</v>
      </c>
      <c r="I64" s="49">
        <v>2009</v>
      </c>
      <c r="J64" s="49"/>
      <c r="K64" s="49">
        <v>2009</v>
      </c>
      <c r="L64" s="49">
        <f t="shared" si="9"/>
        <v>2009</v>
      </c>
      <c r="M64" s="49">
        <v>2009</v>
      </c>
      <c r="N64" s="49">
        <v>2025</v>
      </c>
      <c r="O64" s="49" t="str">
        <f t="shared" si="10"/>
        <v/>
      </c>
      <c r="P64" s="49"/>
      <c r="Q64" s="49" t="str">
        <f t="shared" si="11"/>
        <v/>
      </c>
      <c r="R64" s="49" t="str">
        <f t="shared" si="12"/>
        <v/>
      </c>
      <c r="S64" s="49" t="str">
        <f t="shared" si="13"/>
        <v/>
      </c>
      <c r="T64" s="49" t="str">
        <f t="shared" si="20"/>
        <v/>
      </c>
      <c r="U64" s="49" t="str">
        <f t="shared" si="21"/>
        <v/>
      </c>
      <c r="V64" s="49" t="str">
        <f t="shared" si="22"/>
        <v/>
      </c>
      <c r="W64" s="49" t="str">
        <f t="shared" si="23"/>
        <v/>
      </c>
      <c r="X64" s="49" t="str">
        <f t="shared" si="24"/>
        <v/>
      </c>
      <c r="Y64" s="49">
        <v>2</v>
      </c>
      <c r="Z64" s="49" t="s">
        <v>114</v>
      </c>
      <c r="AA64" s="49" t="str">
        <f t="shared" si="14"/>
        <v>E</v>
      </c>
      <c r="AB64" s="61"/>
      <c r="AC64" s="61"/>
      <c r="AD64" s="61" t="str">
        <f>IF(O64="개량",ROUND(VLOOKUP($F64,'개량사업비 산정기준'!$A$5:$I$23,2,FALSE)/1000,0),"")</f>
        <v/>
      </c>
      <c r="AE64" s="61"/>
      <c r="AF64" s="61" t="str">
        <f>IF(Q64="개량",ROUND(VLOOKUP($F64,'개량사업비 산정기준'!$A$5:$I$23,6,FALSE)/1000,0),"")</f>
        <v/>
      </c>
      <c r="AG64" s="61" t="str">
        <f>IF(R64="개량",ROUND(VLOOKUP($F64,'개량사업비 산정기준'!$A$5:$I$23,7,FALSE)/1000,0),"")</f>
        <v/>
      </c>
      <c r="AH64" s="61" t="str">
        <f>IF(S64="개량",ROUND(((AB64*'개량사업비 산정기준'!$B$34)+(AC64*'개량사업비 산정기준'!$C$34))/1000000,0),"")</f>
        <v/>
      </c>
      <c r="AI64" s="61"/>
      <c r="AJ64" s="61">
        <f>IF($AA64="D",ROUND('개량사업비 산정기준'!$F$56/1000,0),IF($AA64="E",ROUND('개량사업비 산정기준'!$F$56/1000,0),""))</f>
        <v>48</v>
      </c>
      <c r="AK64" s="61">
        <f t="shared" si="15"/>
        <v>48</v>
      </c>
      <c r="AL64" s="61">
        <v>2</v>
      </c>
      <c r="AM64" s="61">
        <f t="shared" si="16"/>
        <v>0</v>
      </c>
      <c r="AN64" s="61">
        <f t="shared" si="17"/>
        <v>48</v>
      </c>
      <c r="AO64" s="61">
        <f t="shared" si="18"/>
        <v>0</v>
      </c>
      <c r="AP64" s="61">
        <f t="shared" si="19"/>
        <v>0</v>
      </c>
      <c r="AQ64" s="49"/>
    </row>
    <row r="65" spans="1:43" ht="20.100000000000001" customHeight="1">
      <c r="A65" s="49" t="s">
        <v>446</v>
      </c>
      <c r="B65" s="49">
        <v>59</v>
      </c>
      <c r="C65" s="56" t="s">
        <v>228</v>
      </c>
      <c r="D65" s="56" t="s">
        <v>216</v>
      </c>
      <c r="E65" s="56" t="s">
        <v>38</v>
      </c>
      <c r="F65" s="49">
        <f>VLOOKUP(C65,'[1]논산시 마을상수도'!$E$5:$K$171,6,FALSE)</f>
        <v>70</v>
      </c>
      <c r="G65" s="49">
        <f>VLOOKUP(C65,'[1]논산시 마을상수도'!$E$5:$K$171,3,FALSE)</f>
        <v>2009</v>
      </c>
      <c r="H65" s="49">
        <f>VLOOKUP($C65,'[1]논산시 마을상수도'!$E$5:$K$171,4,FALSE)</f>
        <v>40</v>
      </c>
      <c r="I65" s="49">
        <v>2009</v>
      </c>
      <c r="J65" s="49"/>
      <c r="K65" s="49">
        <v>2009</v>
      </c>
      <c r="L65" s="49">
        <v>2009</v>
      </c>
      <c r="M65" s="49">
        <v>2009</v>
      </c>
      <c r="N65" s="49">
        <v>2025</v>
      </c>
      <c r="O65" s="49" t="str">
        <f t="shared" si="10"/>
        <v/>
      </c>
      <c r="P65" s="49"/>
      <c r="Q65" s="49" t="str">
        <f t="shared" si="11"/>
        <v/>
      </c>
      <c r="R65" s="49" t="str">
        <f t="shared" si="12"/>
        <v/>
      </c>
      <c r="S65" s="49" t="str">
        <f t="shared" si="13"/>
        <v/>
      </c>
      <c r="T65" s="49" t="str">
        <f t="shared" si="20"/>
        <v/>
      </c>
      <c r="U65" s="49" t="str">
        <f t="shared" si="21"/>
        <v/>
      </c>
      <c r="V65" s="49" t="str">
        <f t="shared" si="22"/>
        <v/>
      </c>
      <c r="W65" s="49" t="str">
        <f t="shared" si="23"/>
        <v/>
      </c>
      <c r="X65" s="49" t="str">
        <f t="shared" si="24"/>
        <v/>
      </c>
      <c r="Y65" s="49">
        <v>2</v>
      </c>
      <c r="Z65" s="49" t="s">
        <v>114</v>
      </c>
      <c r="AA65" s="49" t="str">
        <f t="shared" si="14"/>
        <v>E</v>
      </c>
      <c r="AB65" s="61"/>
      <c r="AC65" s="61"/>
      <c r="AD65" s="61" t="str">
        <f>IF(O65="개량",ROUND(VLOOKUP($F65,'개량사업비 산정기준'!$A$5:$I$23,2,FALSE)/1000,0),"")</f>
        <v/>
      </c>
      <c r="AE65" s="61"/>
      <c r="AF65" s="61" t="str">
        <f>IF(Q65="개량",ROUND(VLOOKUP($F65,'개량사업비 산정기준'!$A$5:$I$23,6,FALSE)/1000,0),"")</f>
        <v/>
      </c>
      <c r="AG65" s="61" t="str">
        <f>IF(R65="개량",ROUND(VLOOKUP($F65,'개량사업비 산정기준'!$A$5:$I$23,7,FALSE)/1000,0),"")</f>
        <v/>
      </c>
      <c r="AH65" s="61" t="str">
        <f>IF(S65="개량",ROUND(((AB65*'개량사업비 산정기준'!$B$34)+(AC65*'개량사업비 산정기준'!$C$34))/1000000,0),"")</f>
        <v/>
      </c>
      <c r="AI65" s="61"/>
      <c r="AJ65" s="61">
        <f>IF($AA65="D",ROUND('개량사업비 산정기준'!$F$56/1000,0),IF($AA65="E",ROUND('개량사업비 산정기준'!$F$56/1000,0),""))</f>
        <v>48</v>
      </c>
      <c r="AK65" s="61">
        <f t="shared" si="15"/>
        <v>48</v>
      </c>
      <c r="AL65" s="61">
        <v>2</v>
      </c>
      <c r="AM65" s="61">
        <f t="shared" si="16"/>
        <v>0</v>
      </c>
      <c r="AN65" s="61">
        <f t="shared" si="17"/>
        <v>48</v>
      </c>
      <c r="AO65" s="61">
        <f t="shared" si="18"/>
        <v>0</v>
      </c>
      <c r="AP65" s="61">
        <f t="shared" si="19"/>
        <v>0</v>
      </c>
      <c r="AQ65" s="49"/>
    </row>
    <row r="66" spans="1:43" ht="20.100000000000001" customHeight="1">
      <c r="A66" s="49" t="s">
        <v>446</v>
      </c>
      <c r="B66" s="49">
        <v>60</v>
      </c>
      <c r="C66" s="56" t="s">
        <v>230</v>
      </c>
      <c r="D66" s="56" t="s">
        <v>216</v>
      </c>
      <c r="E66" s="56" t="s">
        <v>229</v>
      </c>
      <c r="F66" s="49">
        <f>VLOOKUP(C66,'[1]논산시 마을상수도'!$E$5:$K$171,6,FALSE)</f>
        <v>60</v>
      </c>
      <c r="G66" s="49">
        <f>VLOOKUP(C66,'[1]논산시 마을상수도'!$E$5:$K$171,3,FALSE)</f>
        <v>2010</v>
      </c>
      <c r="H66" s="49">
        <f>VLOOKUP($C66,'[1]논산시 마을상수도'!$E$5:$K$171,4,FALSE)</f>
        <v>37</v>
      </c>
      <c r="I66" s="49" t="str">
        <f>VLOOKUP($E66,'[2]마을_소규모 인접거리'!$D$8:$P$167,8,FALSE)</f>
        <v>2010</v>
      </c>
      <c r="J66" s="49"/>
      <c r="K66" s="49" t="str">
        <f>VLOOKUP($E66,'[2]마을_소규모 인접거리'!$D$8:$P$167,12,FALSE)</f>
        <v>2010</v>
      </c>
      <c r="L66" s="49" t="str">
        <f t="shared" si="9"/>
        <v>2010</v>
      </c>
      <c r="M66" s="49">
        <v>2010</v>
      </c>
      <c r="N66" s="49">
        <v>2025</v>
      </c>
      <c r="O66" s="49" t="str">
        <f t="shared" si="10"/>
        <v/>
      </c>
      <c r="P66" s="49"/>
      <c r="Q66" s="49" t="str">
        <f t="shared" si="11"/>
        <v/>
      </c>
      <c r="R66" s="49" t="str">
        <f t="shared" si="12"/>
        <v/>
      </c>
      <c r="S66" s="49" t="str">
        <f t="shared" si="13"/>
        <v/>
      </c>
      <c r="T66" s="49" t="str">
        <f t="shared" si="20"/>
        <v/>
      </c>
      <c r="U66" s="49" t="str">
        <f t="shared" si="21"/>
        <v/>
      </c>
      <c r="V66" s="49" t="str">
        <f t="shared" si="22"/>
        <v/>
      </c>
      <c r="W66" s="49" t="str">
        <f t="shared" si="23"/>
        <v/>
      </c>
      <c r="X66" s="49" t="str">
        <f t="shared" si="24"/>
        <v/>
      </c>
      <c r="Y66" s="49">
        <v>2</v>
      </c>
      <c r="Z66" s="49" t="s">
        <v>114</v>
      </c>
      <c r="AA66" s="49" t="str">
        <f t="shared" si="14"/>
        <v>E</v>
      </c>
      <c r="AB66" s="61"/>
      <c r="AC66" s="61"/>
      <c r="AD66" s="61" t="str">
        <f>IF(O66="개량",ROUND(VLOOKUP($F66,'개량사업비 산정기준'!$A$5:$I$23,2,FALSE)/1000,0),"")</f>
        <v/>
      </c>
      <c r="AE66" s="61"/>
      <c r="AF66" s="61" t="str">
        <f>IF(Q66="개량",ROUND(VLOOKUP($F66,'개량사업비 산정기준'!$A$5:$I$23,6,FALSE)/1000,0),"")</f>
        <v/>
      </c>
      <c r="AG66" s="61" t="str">
        <f>IF(R66="개량",ROUND(VLOOKUP($F66,'개량사업비 산정기준'!$A$5:$I$23,7,FALSE)/1000,0),"")</f>
        <v/>
      </c>
      <c r="AH66" s="61" t="str">
        <f>IF(S66="개량",ROUND(((AB66*'개량사업비 산정기준'!$B$34)+(AC66*'개량사업비 산정기준'!$C$34))/1000000,0),"")</f>
        <v/>
      </c>
      <c r="AI66" s="61"/>
      <c r="AJ66" s="61">
        <f>IF($AA66="D",ROUND('개량사업비 산정기준'!$F$56/1000,0),IF($AA66="E",ROUND('개량사업비 산정기준'!$F$56/1000,0),""))</f>
        <v>48</v>
      </c>
      <c r="AK66" s="61">
        <f t="shared" si="15"/>
        <v>48</v>
      </c>
      <c r="AL66" s="61">
        <v>2</v>
      </c>
      <c r="AM66" s="61">
        <f t="shared" si="16"/>
        <v>0</v>
      </c>
      <c r="AN66" s="61">
        <f t="shared" si="17"/>
        <v>48</v>
      </c>
      <c r="AO66" s="61">
        <f t="shared" si="18"/>
        <v>0</v>
      </c>
      <c r="AP66" s="61">
        <f t="shared" si="19"/>
        <v>0</v>
      </c>
      <c r="AQ66" s="49"/>
    </row>
    <row r="67" spans="1:43" ht="20.100000000000001" customHeight="1">
      <c r="A67" s="49" t="s">
        <v>446</v>
      </c>
      <c r="B67" s="49">
        <v>61</v>
      </c>
      <c r="C67" s="58" t="s">
        <v>232</v>
      </c>
      <c r="D67" s="58" t="s">
        <v>231</v>
      </c>
      <c r="E67" s="58" t="s">
        <v>40</v>
      </c>
      <c r="F67" s="49">
        <f>VLOOKUP(C67,'[1]논산시 마을상수도'!$E$5:$K$171,6,FALSE)</f>
        <v>100</v>
      </c>
      <c r="G67" s="49">
        <f>VLOOKUP(C67,'[1]논산시 마을상수도'!$E$5:$K$171,3,FALSE)</f>
        <v>1972</v>
      </c>
      <c r="H67" s="49">
        <f>VLOOKUP($C67,'[1]논산시 마을상수도'!$E$5:$K$171,4,FALSE)</f>
        <v>54</v>
      </c>
      <c r="I67" s="49" t="str">
        <f>VLOOKUP($E67,'[2]마을_소규모 인접거리'!$D$8:$P$167,8,FALSE)</f>
        <v>2004</v>
      </c>
      <c r="J67" s="49"/>
      <c r="K67" s="49">
        <f>VLOOKUP($E67,'[2]마을_소규모 인접거리'!$D$8:$P$167,12,FALSE)</f>
        <v>1972</v>
      </c>
      <c r="L67" s="49">
        <f t="shared" si="9"/>
        <v>1972</v>
      </c>
      <c r="M67" s="49">
        <v>2002</v>
      </c>
      <c r="N67" s="49">
        <v>2020</v>
      </c>
      <c r="O67" s="49" t="str">
        <f t="shared" si="10"/>
        <v/>
      </c>
      <c r="P67" s="49"/>
      <c r="Q67" s="49" t="str">
        <f t="shared" si="11"/>
        <v>개량</v>
      </c>
      <c r="R67" s="49" t="str">
        <f t="shared" si="12"/>
        <v>개량</v>
      </c>
      <c r="S67" s="49" t="str">
        <f t="shared" si="13"/>
        <v/>
      </c>
      <c r="T67" s="49" t="str">
        <f t="shared" si="20"/>
        <v/>
      </c>
      <c r="U67" s="49" t="str">
        <f t="shared" si="21"/>
        <v/>
      </c>
      <c r="V67" s="49">
        <f t="shared" si="22"/>
        <v>1</v>
      </c>
      <c r="W67" s="49">
        <f t="shared" si="23"/>
        <v>1</v>
      </c>
      <c r="X67" s="49" t="str">
        <f t="shared" si="24"/>
        <v/>
      </c>
      <c r="Y67" s="49">
        <v>1</v>
      </c>
      <c r="Z67" s="49" t="s">
        <v>114</v>
      </c>
      <c r="AA67" s="49" t="str">
        <f t="shared" si="14"/>
        <v>D</v>
      </c>
      <c r="AB67" s="61"/>
      <c r="AC67" s="61"/>
      <c r="AD67" s="61" t="str">
        <f>IF(O67="개량",ROUND(VLOOKUP($F67,'개량사업비 산정기준'!$A$5:$I$23,2,FALSE)/1000,0),"")</f>
        <v/>
      </c>
      <c r="AE67" s="61"/>
      <c r="AF67" s="61">
        <f>IF(Q67="개량",ROUND(VLOOKUP($F67,'개량사업비 산정기준'!$A$5:$I$23,6,FALSE)/1000,0),"")</f>
        <v>31</v>
      </c>
      <c r="AG67" s="61">
        <f>IF(R67="개량",ROUND(VLOOKUP($F67,'개량사업비 산정기준'!$A$5:$I$23,7,FALSE)/1000,0),"")</f>
        <v>22</v>
      </c>
      <c r="AH67" s="61" t="str">
        <f>IF(S67="개량",ROUND(((AB67*'개량사업비 산정기준'!$B$34)+(AC67*'개량사업비 산정기준'!$C$34))/1000000,0),"")</f>
        <v/>
      </c>
      <c r="AI67" s="61"/>
      <c r="AJ67" s="61">
        <f>IF($AA67="D",ROUND('개량사업비 산정기준'!$F$56/1000,0),IF($AA67="E",ROUND('개량사업비 산정기준'!$F$56/1000,0),""))</f>
        <v>48</v>
      </c>
      <c r="AK67" s="61">
        <f t="shared" si="15"/>
        <v>101</v>
      </c>
      <c r="AL67" s="61">
        <v>1</v>
      </c>
      <c r="AM67" s="61">
        <f t="shared" si="16"/>
        <v>101</v>
      </c>
      <c r="AN67" s="61">
        <f t="shared" si="17"/>
        <v>0</v>
      </c>
      <c r="AO67" s="61">
        <f t="shared" si="18"/>
        <v>0</v>
      </c>
      <c r="AP67" s="61">
        <f t="shared" si="19"/>
        <v>0</v>
      </c>
      <c r="AQ67" s="49"/>
    </row>
    <row r="68" spans="1:43" ht="20.100000000000001" customHeight="1">
      <c r="A68" s="49" t="s">
        <v>446</v>
      </c>
      <c r="B68" s="49">
        <v>62</v>
      </c>
      <c r="C68" s="58" t="s">
        <v>233</v>
      </c>
      <c r="D68" s="58" t="s">
        <v>231</v>
      </c>
      <c r="E68" s="58" t="s">
        <v>110</v>
      </c>
      <c r="F68" s="49">
        <f>VLOOKUP(C68,'[1]논산시 마을상수도'!$E$5:$K$171,6,FALSE)</f>
        <v>60</v>
      </c>
      <c r="G68" s="49">
        <f>VLOOKUP(C68,'[1]논산시 마을상수도'!$E$5:$K$171,3,FALSE)</f>
        <v>1980</v>
      </c>
      <c r="H68" s="49">
        <f>VLOOKUP($C68,'[1]논산시 마을상수도'!$E$5:$K$171,4,FALSE)</f>
        <v>52</v>
      </c>
      <c r="I68" s="49" t="str">
        <f>VLOOKUP($E68,'[2]마을_소규모 인접거리'!$D$8:$P$167,8,FALSE)</f>
        <v>1998</v>
      </c>
      <c r="J68" s="49"/>
      <c r="K68" s="49">
        <f>VLOOKUP($E68,'[2]마을_소규모 인접거리'!$D$8:$P$167,12,FALSE)</f>
        <v>1980</v>
      </c>
      <c r="L68" s="49">
        <f t="shared" si="9"/>
        <v>1980</v>
      </c>
      <c r="M68" s="49">
        <v>2005</v>
      </c>
      <c r="N68" s="49">
        <v>2020</v>
      </c>
      <c r="O68" s="49" t="str">
        <f t="shared" si="10"/>
        <v/>
      </c>
      <c r="P68" s="49"/>
      <c r="Q68" s="49" t="str">
        <f t="shared" si="11"/>
        <v>개량</v>
      </c>
      <c r="R68" s="49" t="str">
        <f t="shared" si="12"/>
        <v>개량</v>
      </c>
      <c r="S68" s="49" t="str">
        <f t="shared" si="13"/>
        <v/>
      </c>
      <c r="T68" s="49" t="str">
        <f t="shared" si="20"/>
        <v/>
      </c>
      <c r="U68" s="49" t="str">
        <f t="shared" si="21"/>
        <v/>
      </c>
      <c r="V68" s="49">
        <f t="shared" si="22"/>
        <v>1</v>
      </c>
      <c r="W68" s="49">
        <f t="shared" si="23"/>
        <v>1</v>
      </c>
      <c r="X68" s="49" t="str">
        <f t="shared" si="24"/>
        <v/>
      </c>
      <c r="Y68" s="49">
        <v>2</v>
      </c>
      <c r="Z68" s="49" t="s">
        <v>114</v>
      </c>
      <c r="AA68" s="49" t="str">
        <f t="shared" si="14"/>
        <v>D</v>
      </c>
      <c r="AB68" s="61"/>
      <c r="AC68" s="61"/>
      <c r="AD68" s="61" t="str">
        <f>IF(O68="개량",ROUND(VLOOKUP($F68,'개량사업비 산정기준'!$A$5:$I$23,2,FALSE)/1000,0),"")</f>
        <v/>
      </c>
      <c r="AE68" s="61"/>
      <c r="AF68" s="61">
        <f>IF(Q68="개량",ROUND(VLOOKUP($F68,'개량사업비 산정기준'!$A$5:$I$23,6,FALSE)/1000,0),"")</f>
        <v>23</v>
      </c>
      <c r="AG68" s="61">
        <f>IF(R68="개량",ROUND(VLOOKUP($F68,'개량사업비 산정기준'!$A$5:$I$23,7,FALSE)/1000,0),"")</f>
        <v>16</v>
      </c>
      <c r="AH68" s="61" t="str">
        <f>IF(S68="개량",ROUND(((AB68*'개량사업비 산정기준'!$B$34)+(AC68*'개량사업비 산정기준'!$C$34))/1000000,0),"")</f>
        <v/>
      </c>
      <c r="AI68" s="61"/>
      <c r="AJ68" s="61">
        <f>IF($AA68="D",ROUND('개량사업비 산정기준'!$F$56/1000,0),IF($AA68="E",ROUND('개량사업비 산정기준'!$F$56/1000,0),""))</f>
        <v>48</v>
      </c>
      <c r="AK68" s="61">
        <f t="shared" si="15"/>
        <v>87</v>
      </c>
      <c r="AL68" s="61">
        <v>1</v>
      </c>
      <c r="AM68" s="61">
        <f t="shared" si="16"/>
        <v>87</v>
      </c>
      <c r="AN68" s="61">
        <f t="shared" si="17"/>
        <v>0</v>
      </c>
      <c r="AO68" s="61">
        <f t="shared" si="18"/>
        <v>0</v>
      </c>
      <c r="AP68" s="61">
        <f t="shared" si="19"/>
        <v>0</v>
      </c>
      <c r="AQ68" s="49"/>
    </row>
    <row r="69" spans="1:43" ht="20.100000000000001" customHeight="1">
      <c r="A69" s="49" t="s">
        <v>446</v>
      </c>
      <c r="B69" s="49">
        <v>63</v>
      </c>
      <c r="C69" s="58" t="s">
        <v>234</v>
      </c>
      <c r="D69" s="58" t="s">
        <v>231</v>
      </c>
      <c r="E69" s="58" t="s">
        <v>111</v>
      </c>
      <c r="F69" s="49">
        <f>VLOOKUP(C69,'[1]논산시 마을상수도'!$E$5:$K$171,6,FALSE)</f>
        <v>50</v>
      </c>
      <c r="G69" s="49">
        <f>VLOOKUP(C69,'[1]논산시 마을상수도'!$E$5:$K$171,3,FALSE)</f>
        <v>1981</v>
      </c>
      <c r="H69" s="49">
        <f>VLOOKUP($C69,'[1]논산시 마을상수도'!$E$5:$K$171,4,FALSE)</f>
        <v>43</v>
      </c>
      <c r="I69" s="49">
        <f>VLOOKUP($E69,'[2]마을_소규모 인접거리'!$D$8:$P$167,8,FALSE)</f>
        <v>1981</v>
      </c>
      <c r="J69" s="49"/>
      <c r="K69" s="49">
        <f>VLOOKUP($E69,'[2]마을_소규모 인접거리'!$D$8:$P$167,12,FALSE)</f>
        <v>1981</v>
      </c>
      <c r="L69" s="49">
        <f t="shared" si="9"/>
        <v>1981</v>
      </c>
      <c r="M69" s="49">
        <v>2008</v>
      </c>
      <c r="N69" s="49">
        <v>2025</v>
      </c>
      <c r="O69" s="49" t="str">
        <f t="shared" si="10"/>
        <v>개량</v>
      </c>
      <c r="P69" s="49"/>
      <c r="Q69" s="49" t="str">
        <f t="shared" si="11"/>
        <v>개량</v>
      </c>
      <c r="R69" s="49" t="str">
        <f t="shared" si="12"/>
        <v>개량</v>
      </c>
      <c r="S69" s="49" t="str">
        <f t="shared" si="13"/>
        <v/>
      </c>
      <c r="T69" s="49">
        <f t="shared" si="20"/>
        <v>1</v>
      </c>
      <c r="U69" s="49" t="str">
        <f t="shared" si="21"/>
        <v/>
      </c>
      <c r="V69" s="49">
        <f t="shared" si="22"/>
        <v>1</v>
      </c>
      <c r="W69" s="49">
        <f t="shared" si="23"/>
        <v>1</v>
      </c>
      <c r="X69" s="49" t="str">
        <f t="shared" si="24"/>
        <v/>
      </c>
      <c r="Y69" s="49">
        <v>1</v>
      </c>
      <c r="Z69" s="49" t="s">
        <v>114</v>
      </c>
      <c r="AA69" s="49" t="str">
        <f t="shared" si="14"/>
        <v>D</v>
      </c>
      <c r="AB69" s="61"/>
      <c r="AC69" s="61"/>
      <c r="AD69" s="61">
        <f>IF(O69="개량",ROUND(VLOOKUP($F69,'개량사업비 산정기준'!$A$5:$I$23,2,FALSE)/1000,0),"")</f>
        <v>39</v>
      </c>
      <c r="AE69" s="61"/>
      <c r="AF69" s="61">
        <f>IF(Q69="개량",ROUND(VLOOKUP($F69,'개량사업비 산정기준'!$A$5:$I$23,6,FALSE)/1000,0),"")</f>
        <v>22</v>
      </c>
      <c r="AG69" s="61">
        <f>IF(R69="개량",ROUND(VLOOKUP($F69,'개량사업비 산정기준'!$A$5:$I$23,7,FALSE)/1000,0),"")</f>
        <v>15</v>
      </c>
      <c r="AH69" s="61" t="str">
        <f>IF(S69="개량",ROUND(((AB69*'개량사업비 산정기준'!$B$34)+(AC69*'개량사업비 산정기준'!$C$34))/1000000,0),"")</f>
        <v/>
      </c>
      <c r="AI69" s="61"/>
      <c r="AJ69" s="61">
        <f>IF($AA69="D",ROUND('개량사업비 산정기준'!$F$56/1000,0),IF($AA69="E",ROUND('개량사업비 산정기준'!$F$56/1000,0),""))</f>
        <v>48</v>
      </c>
      <c r="AK69" s="61">
        <f t="shared" si="15"/>
        <v>124</v>
      </c>
      <c r="AL69" s="61">
        <v>1</v>
      </c>
      <c r="AM69" s="61">
        <f t="shared" si="16"/>
        <v>124</v>
      </c>
      <c r="AN69" s="61">
        <f t="shared" si="17"/>
        <v>0</v>
      </c>
      <c r="AO69" s="61">
        <f t="shared" si="18"/>
        <v>0</v>
      </c>
      <c r="AP69" s="61">
        <f t="shared" si="19"/>
        <v>0</v>
      </c>
      <c r="AQ69" s="49"/>
    </row>
    <row r="70" spans="1:43" ht="20.100000000000001" customHeight="1">
      <c r="A70" s="49" t="s">
        <v>446</v>
      </c>
      <c r="B70" s="49">
        <v>64</v>
      </c>
      <c r="C70" s="58" t="s">
        <v>235</v>
      </c>
      <c r="D70" s="58" t="s">
        <v>231</v>
      </c>
      <c r="E70" s="58" t="s">
        <v>112</v>
      </c>
      <c r="F70" s="49">
        <f>VLOOKUP(C70,'[1]논산시 마을상수도'!$E$5:$K$171,6,FALSE)</f>
        <v>60</v>
      </c>
      <c r="G70" s="49">
        <f>VLOOKUP(C70,'[1]논산시 마을상수도'!$E$5:$K$171,3,FALSE)</f>
        <v>1983</v>
      </c>
      <c r="H70" s="49">
        <f>VLOOKUP($C70,'[1]논산시 마을상수도'!$E$5:$K$171,4,FALSE)</f>
        <v>45</v>
      </c>
      <c r="I70" s="49">
        <v>1983</v>
      </c>
      <c r="J70" s="49"/>
      <c r="K70" s="49">
        <v>1983</v>
      </c>
      <c r="L70" s="49">
        <f t="shared" si="9"/>
        <v>1983</v>
      </c>
      <c r="M70" s="49">
        <v>2009</v>
      </c>
      <c r="N70" s="49">
        <v>2025</v>
      </c>
      <c r="O70" s="49" t="str">
        <f t="shared" si="10"/>
        <v>개량</v>
      </c>
      <c r="P70" s="49"/>
      <c r="Q70" s="49" t="str">
        <f t="shared" si="11"/>
        <v>개량</v>
      </c>
      <c r="R70" s="49" t="str">
        <f t="shared" si="12"/>
        <v>개량</v>
      </c>
      <c r="S70" s="49" t="str">
        <f t="shared" si="13"/>
        <v/>
      </c>
      <c r="T70" s="49">
        <f t="shared" si="20"/>
        <v>1</v>
      </c>
      <c r="U70" s="49" t="str">
        <f t="shared" si="21"/>
        <v/>
      </c>
      <c r="V70" s="49">
        <f t="shared" si="22"/>
        <v>1</v>
      </c>
      <c r="W70" s="49">
        <f t="shared" si="23"/>
        <v>1</v>
      </c>
      <c r="X70" s="49" t="str">
        <f t="shared" si="24"/>
        <v/>
      </c>
      <c r="Y70" s="49">
        <v>1</v>
      </c>
      <c r="Z70" s="49" t="s">
        <v>114</v>
      </c>
      <c r="AA70" s="49" t="str">
        <f t="shared" si="14"/>
        <v>D</v>
      </c>
      <c r="AB70" s="61"/>
      <c r="AC70" s="61"/>
      <c r="AD70" s="61">
        <f>IF(O70="개량",ROUND(VLOOKUP($F70,'개량사업비 산정기준'!$A$5:$I$23,2,FALSE)/1000,0),"")</f>
        <v>43</v>
      </c>
      <c r="AE70" s="61"/>
      <c r="AF70" s="61">
        <f>IF(Q70="개량",ROUND(VLOOKUP($F70,'개량사업비 산정기준'!$A$5:$I$23,6,FALSE)/1000,0),"")</f>
        <v>23</v>
      </c>
      <c r="AG70" s="61">
        <f>IF(R70="개량",ROUND(VLOOKUP($F70,'개량사업비 산정기준'!$A$5:$I$23,7,FALSE)/1000,0),"")</f>
        <v>16</v>
      </c>
      <c r="AH70" s="61" t="str">
        <f>IF(S70="개량",ROUND(((AB70*'개량사업비 산정기준'!$B$34)+(AC70*'개량사업비 산정기준'!$C$34))/1000000,0),"")</f>
        <v/>
      </c>
      <c r="AI70" s="61"/>
      <c r="AJ70" s="61">
        <f>IF($AA70="D",ROUND('개량사업비 산정기준'!$F$56/1000,0),IF($AA70="E",ROUND('개량사업비 산정기준'!$F$56/1000,0),""))</f>
        <v>48</v>
      </c>
      <c r="AK70" s="61">
        <f t="shared" si="15"/>
        <v>130</v>
      </c>
      <c r="AL70" s="61">
        <v>1</v>
      </c>
      <c r="AM70" s="61">
        <f t="shared" si="16"/>
        <v>130</v>
      </c>
      <c r="AN70" s="61">
        <f t="shared" si="17"/>
        <v>0</v>
      </c>
      <c r="AO70" s="61">
        <f t="shared" si="18"/>
        <v>0</v>
      </c>
      <c r="AP70" s="61">
        <f t="shared" si="19"/>
        <v>0</v>
      </c>
      <c r="AQ70" s="49"/>
    </row>
    <row r="71" spans="1:43" ht="20.100000000000001" customHeight="1">
      <c r="A71" s="49" t="s">
        <v>446</v>
      </c>
      <c r="B71" s="49">
        <v>65</v>
      </c>
      <c r="C71" s="56" t="s">
        <v>237</v>
      </c>
      <c r="D71" s="56" t="s">
        <v>231</v>
      </c>
      <c r="E71" s="56" t="s">
        <v>236</v>
      </c>
      <c r="F71" s="49">
        <f>VLOOKUP(C71,'[1]논산시 마을상수도'!$E$5:$K$171,6,FALSE)</f>
        <v>30</v>
      </c>
      <c r="G71" s="49">
        <f>VLOOKUP(C71,'[1]논산시 마을상수도'!$E$5:$K$171,3,FALSE)</f>
        <v>1996</v>
      </c>
      <c r="H71" s="49">
        <f>VLOOKUP($C71,'[1]논산시 마을상수도'!$E$5:$K$171,4,FALSE)</f>
        <v>32</v>
      </c>
      <c r="I71" s="49">
        <f>VLOOKUP($E71,'[2]마을_소규모 인접거리'!$D$8:$P$167,8,FALSE)</f>
        <v>1996</v>
      </c>
      <c r="J71" s="49"/>
      <c r="K71" s="49">
        <f>VLOOKUP($E71,'[2]마을_소규모 인접거리'!$D$8:$P$167,12,FALSE)</f>
        <v>1996</v>
      </c>
      <c r="L71" s="49">
        <f t="shared" si="9"/>
        <v>1996</v>
      </c>
      <c r="M71" s="49">
        <v>1996</v>
      </c>
      <c r="N71" s="49">
        <v>2025</v>
      </c>
      <c r="O71" s="49" t="str">
        <f t="shared" si="10"/>
        <v/>
      </c>
      <c r="P71" s="49"/>
      <c r="Q71" s="49" t="str">
        <f t="shared" si="11"/>
        <v/>
      </c>
      <c r="R71" s="49" t="str">
        <f t="shared" si="12"/>
        <v/>
      </c>
      <c r="S71" s="49" t="str">
        <f t="shared" si="13"/>
        <v/>
      </c>
      <c r="T71" s="49" t="str">
        <f t="shared" si="20"/>
        <v/>
      </c>
      <c r="U71" s="49" t="str">
        <f t="shared" si="21"/>
        <v/>
      </c>
      <c r="V71" s="49" t="str">
        <f t="shared" si="22"/>
        <v/>
      </c>
      <c r="W71" s="49" t="str">
        <f t="shared" si="23"/>
        <v/>
      </c>
      <c r="X71" s="49" t="str">
        <f t="shared" si="24"/>
        <v/>
      </c>
      <c r="Y71" s="49">
        <v>2</v>
      </c>
      <c r="Z71" s="49" t="s">
        <v>114</v>
      </c>
      <c r="AA71" s="49" t="str">
        <f t="shared" si="14"/>
        <v>E</v>
      </c>
      <c r="AB71" s="61"/>
      <c r="AC71" s="61"/>
      <c r="AD71" s="61" t="str">
        <f>IF(O71="개량",ROUND(VLOOKUP($F71,'개량사업비 산정기준'!$A$5:$I$23,2,FALSE)/1000,0),"")</f>
        <v/>
      </c>
      <c r="AE71" s="61"/>
      <c r="AF71" s="61" t="str">
        <f>IF(Q71="개량",ROUND(VLOOKUP($F71,'개량사업비 산정기준'!$A$5:$I$23,6,FALSE)/1000,0),"")</f>
        <v/>
      </c>
      <c r="AG71" s="61" t="str">
        <f>IF(R71="개량",ROUND(VLOOKUP($F71,'개량사업비 산정기준'!$A$5:$I$23,7,FALSE)/1000,0),"")</f>
        <v/>
      </c>
      <c r="AH71" s="61" t="str">
        <f>IF(S71="개량",ROUND(((AB71*'개량사업비 산정기준'!$B$34)+(AC71*'개량사업비 산정기준'!$C$34))/1000000,0),"")</f>
        <v/>
      </c>
      <c r="AI71" s="61"/>
      <c r="AJ71" s="61">
        <f>IF($AA71="D",ROUND('개량사업비 산정기준'!$F$56/1000,0),IF($AA71="E",ROUND('개량사업비 산정기준'!$F$56/1000,0),""))</f>
        <v>48</v>
      </c>
      <c r="AK71" s="61">
        <f t="shared" si="15"/>
        <v>48</v>
      </c>
      <c r="AL71" s="61">
        <v>2</v>
      </c>
      <c r="AM71" s="61">
        <f t="shared" si="16"/>
        <v>0</v>
      </c>
      <c r="AN71" s="61">
        <f t="shared" si="17"/>
        <v>48</v>
      </c>
      <c r="AO71" s="61">
        <f t="shared" si="18"/>
        <v>0</v>
      </c>
      <c r="AP71" s="61">
        <f t="shared" si="19"/>
        <v>0</v>
      </c>
      <c r="AQ71" s="49"/>
    </row>
    <row r="72" spans="1:43" ht="20.100000000000001" customHeight="1">
      <c r="A72" s="49" t="s">
        <v>446</v>
      </c>
      <c r="B72" s="49">
        <v>66</v>
      </c>
      <c r="C72" s="56" t="s">
        <v>238</v>
      </c>
      <c r="D72" s="56" t="s">
        <v>231</v>
      </c>
      <c r="E72" s="56" t="s">
        <v>50</v>
      </c>
      <c r="F72" s="49">
        <f>VLOOKUP(C72,'[1]논산시 마을상수도'!$E$5:$K$171,6,FALSE)</f>
        <v>50</v>
      </c>
      <c r="G72" s="49">
        <f>VLOOKUP(C72,'[1]논산시 마을상수도'!$E$5:$K$171,3,FALSE)</f>
        <v>1998</v>
      </c>
      <c r="H72" s="49">
        <f>VLOOKUP($C72,'[1]논산시 마을상수도'!$E$5:$K$171,4,FALSE)</f>
        <v>42</v>
      </c>
      <c r="I72" s="49">
        <f>VLOOKUP($E72,'[2]마을_소규모 인접거리'!$D$8:$P$167,8,FALSE)</f>
        <v>1998</v>
      </c>
      <c r="J72" s="49"/>
      <c r="K72" s="49">
        <f>VLOOKUP($E72,'[2]마을_소규모 인접거리'!$D$8:$P$167,12,FALSE)</f>
        <v>1998</v>
      </c>
      <c r="L72" s="49">
        <f t="shared" ref="L72:L135" si="25">K72</f>
        <v>1998</v>
      </c>
      <c r="M72" s="49">
        <v>1998</v>
      </c>
      <c r="N72" s="49">
        <v>2020</v>
      </c>
      <c r="O72" s="49" t="str">
        <f t="shared" ref="O72:O135" si="26">IF(($N72-5)-I72&gt;=25,"개량","")</f>
        <v/>
      </c>
      <c r="P72" s="49"/>
      <c r="Q72" s="49" t="str">
        <f t="shared" ref="Q72:Q135" si="27">IF(($N72-5)-K72&gt;=25,"개량","")</f>
        <v/>
      </c>
      <c r="R72" s="49" t="str">
        <f t="shared" ref="R72:R135" si="28">IF(($N72-5)-L72&gt;=25,"개량","")</f>
        <v/>
      </c>
      <c r="S72" s="49" t="str">
        <f t="shared" ref="S72:S135" si="29">IF(($N72-5)-M72&gt;=25,"개량","")</f>
        <v/>
      </c>
      <c r="T72" s="49" t="str">
        <f t="shared" si="20"/>
        <v/>
      </c>
      <c r="U72" s="49" t="str">
        <f t="shared" si="21"/>
        <v/>
      </c>
      <c r="V72" s="49" t="str">
        <f t="shared" si="22"/>
        <v/>
      </c>
      <c r="W72" s="49" t="str">
        <f t="shared" si="23"/>
        <v/>
      </c>
      <c r="X72" s="49" t="str">
        <f t="shared" si="24"/>
        <v/>
      </c>
      <c r="Y72" s="49"/>
      <c r="Z72" s="49" t="s">
        <v>114</v>
      </c>
      <c r="AA72" s="49" t="str">
        <f t="shared" ref="AA72:AA135" si="30">IF(O72="개량","D",IF(P72="개량","D",IF(Q72="개량","D",IF(R72="개량","D",IF(S72="개량","D",IF(N72=2025,"E","F"))))))</f>
        <v>F</v>
      </c>
      <c r="AB72" s="61"/>
      <c r="AC72" s="61"/>
      <c r="AD72" s="61" t="str">
        <f>IF(O72="개량",ROUND(VLOOKUP($F72,'개량사업비 산정기준'!$A$5:$I$23,2,FALSE)/1000,0),"")</f>
        <v/>
      </c>
      <c r="AE72" s="61"/>
      <c r="AF72" s="61" t="str">
        <f>IF(Q72="개량",ROUND(VLOOKUP($F72,'개량사업비 산정기준'!$A$5:$I$23,6,FALSE)/1000,0),"")</f>
        <v/>
      </c>
      <c r="AG72" s="61" t="str">
        <f>IF(R72="개량",ROUND(VLOOKUP($F72,'개량사업비 산정기준'!$A$5:$I$23,7,FALSE)/1000,0),"")</f>
        <v/>
      </c>
      <c r="AH72" s="61" t="str">
        <f>IF(S72="개량",ROUND(((AB72*'개량사업비 산정기준'!$B$34)+(AC72*'개량사업비 산정기준'!$C$34))/1000000,0),"")</f>
        <v/>
      </c>
      <c r="AI72" s="61"/>
      <c r="AJ72" s="61" t="str">
        <f>IF($AA72="D",ROUND('개량사업비 산정기준'!$F$56/1000,0),IF($AA72="E",ROUND('개량사업비 산정기준'!$F$56/1000,0),""))</f>
        <v/>
      </c>
      <c r="AK72" s="61">
        <f t="shared" ref="AK72:AK135" si="31">SUM(AD72:AJ72)</f>
        <v>0</v>
      </c>
      <c r="AL72" s="61"/>
      <c r="AM72" s="61">
        <f t="shared" ref="AM72:AM135" si="32">IF($AL72=1,$AK72,0)</f>
        <v>0</v>
      </c>
      <c r="AN72" s="61">
        <f t="shared" ref="AN72:AN135" si="33">IF($AL72=2,$AK72,0)</f>
        <v>0</v>
      </c>
      <c r="AO72" s="61">
        <f t="shared" ref="AO72:AO135" si="34">IF($AL72=3,$AK72,0)</f>
        <v>0</v>
      </c>
      <c r="AP72" s="61">
        <f t="shared" ref="AP72:AP135" si="35">IF($AL72=4,$AK72,0)</f>
        <v>0</v>
      </c>
      <c r="AQ72" s="49"/>
    </row>
    <row r="73" spans="1:43" ht="20.100000000000001" customHeight="1">
      <c r="A73" s="49" t="s">
        <v>446</v>
      </c>
      <c r="B73" s="49">
        <v>67</v>
      </c>
      <c r="C73" s="56" t="s">
        <v>239</v>
      </c>
      <c r="D73" s="56" t="s">
        <v>231</v>
      </c>
      <c r="E73" s="56" t="s">
        <v>51</v>
      </c>
      <c r="F73" s="49">
        <f>VLOOKUP(C73,'[1]논산시 마을상수도'!$E$5:$K$171,6,FALSE)</f>
        <v>120</v>
      </c>
      <c r="G73" s="49">
        <f>VLOOKUP(C73,'[1]논산시 마을상수도'!$E$5:$K$171,3,FALSE)</f>
        <v>1998</v>
      </c>
      <c r="H73" s="49">
        <f>VLOOKUP($C73,'[1]논산시 마을상수도'!$E$5:$K$171,4,FALSE)</f>
        <v>71</v>
      </c>
      <c r="I73" s="49">
        <f>VLOOKUP($E73,'[2]마을_소규모 인접거리'!$D$8:$P$167,8,FALSE)</f>
        <v>1998</v>
      </c>
      <c r="J73" s="49"/>
      <c r="K73" s="49">
        <f>VLOOKUP($E73,'[2]마을_소규모 인접거리'!$D$8:$P$167,12,FALSE)</f>
        <v>1998</v>
      </c>
      <c r="L73" s="49">
        <f t="shared" si="25"/>
        <v>1998</v>
      </c>
      <c r="M73" s="49">
        <v>1998</v>
      </c>
      <c r="N73" s="49">
        <v>2025</v>
      </c>
      <c r="O73" s="49" t="str">
        <f t="shared" si="26"/>
        <v/>
      </c>
      <c r="P73" s="49"/>
      <c r="Q73" s="49" t="str">
        <f t="shared" si="27"/>
        <v/>
      </c>
      <c r="R73" s="49" t="str">
        <f t="shared" si="28"/>
        <v/>
      </c>
      <c r="S73" s="49" t="str">
        <f t="shared" si="29"/>
        <v/>
      </c>
      <c r="T73" s="49" t="str">
        <f t="shared" si="20"/>
        <v/>
      </c>
      <c r="U73" s="49" t="str">
        <f t="shared" si="21"/>
        <v/>
      </c>
      <c r="V73" s="49" t="str">
        <f t="shared" si="22"/>
        <v/>
      </c>
      <c r="W73" s="49" t="str">
        <f t="shared" si="23"/>
        <v/>
      </c>
      <c r="X73" s="49" t="str">
        <f t="shared" si="24"/>
        <v/>
      </c>
      <c r="Y73" s="49">
        <v>2</v>
      </c>
      <c r="Z73" s="49" t="s">
        <v>114</v>
      </c>
      <c r="AA73" s="49" t="str">
        <f t="shared" si="30"/>
        <v>E</v>
      </c>
      <c r="AB73" s="61"/>
      <c r="AC73" s="61"/>
      <c r="AD73" s="61" t="str">
        <f>IF(O73="개량",ROUND(VLOOKUP($F73,'개량사업비 산정기준'!$A$5:$I$23,2,FALSE)/1000,0),"")</f>
        <v/>
      </c>
      <c r="AE73" s="61"/>
      <c r="AF73" s="61" t="str">
        <f>IF(Q73="개량",ROUND(VLOOKUP($F73,'개량사업비 산정기준'!$A$5:$I$23,6,FALSE)/1000,0),"")</f>
        <v/>
      </c>
      <c r="AG73" s="61" t="str">
        <f>IF(R73="개량",ROUND(VLOOKUP($F73,'개량사업비 산정기준'!$A$5:$I$23,7,FALSE)/1000,0),"")</f>
        <v/>
      </c>
      <c r="AH73" s="61" t="str">
        <f>IF(S73="개량",ROUND(((AB73*'개량사업비 산정기준'!$B$34)+(AC73*'개량사업비 산정기준'!$C$34))/1000000,0),"")</f>
        <v/>
      </c>
      <c r="AI73" s="61"/>
      <c r="AJ73" s="61">
        <f>IF($AA73="D",ROUND('개량사업비 산정기준'!$F$56/1000,0),IF($AA73="E",ROUND('개량사업비 산정기준'!$F$56/1000,0),""))</f>
        <v>48</v>
      </c>
      <c r="AK73" s="61">
        <f t="shared" si="31"/>
        <v>48</v>
      </c>
      <c r="AL73" s="61">
        <v>2</v>
      </c>
      <c r="AM73" s="61">
        <f t="shared" si="32"/>
        <v>0</v>
      </c>
      <c r="AN73" s="61">
        <f t="shared" si="33"/>
        <v>48</v>
      </c>
      <c r="AO73" s="61">
        <f t="shared" si="34"/>
        <v>0</v>
      </c>
      <c r="AP73" s="61">
        <f t="shared" si="35"/>
        <v>0</v>
      </c>
      <c r="AQ73" s="49"/>
    </row>
    <row r="74" spans="1:43" ht="20.100000000000001" customHeight="1">
      <c r="A74" s="49" t="s">
        <v>446</v>
      </c>
      <c r="B74" s="49">
        <v>68</v>
      </c>
      <c r="C74" s="56" t="s">
        <v>240</v>
      </c>
      <c r="D74" s="56" t="s">
        <v>231</v>
      </c>
      <c r="E74" s="56" t="s">
        <v>52</v>
      </c>
      <c r="F74" s="49">
        <f>VLOOKUP(C74,'[1]논산시 마을상수도'!$E$5:$K$171,6,FALSE)</f>
        <v>110</v>
      </c>
      <c r="G74" s="49">
        <f>VLOOKUP(C74,'[1]논산시 마을상수도'!$E$5:$K$171,3,FALSE)</f>
        <v>1999</v>
      </c>
      <c r="H74" s="49">
        <f>VLOOKUP($C74,'[1]논산시 마을상수도'!$E$5:$K$171,4,FALSE)</f>
        <v>74</v>
      </c>
      <c r="I74" s="49" t="str">
        <f>VLOOKUP($E74,'[2]마을_소규모 인접거리'!$D$8:$P$167,8,FALSE)</f>
        <v>2006</v>
      </c>
      <c r="J74" s="49"/>
      <c r="K74" s="49">
        <f>VLOOKUP($E74,'[2]마을_소규모 인접거리'!$D$8:$P$167,12,FALSE)</f>
        <v>1999</v>
      </c>
      <c r="L74" s="49">
        <f t="shared" si="25"/>
        <v>1999</v>
      </c>
      <c r="M74" s="49">
        <v>1999</v>
      </c>
      <c r="N74" s="49">
        <v>2020</v>
      </c>
      <c r="O74" s="49" t="str">
        <f t="shared" si="26"/>
        <v/>
      </c>
      <c r="P74" s="49"/>
      <c r="Q74" s="49" t="str">
        <f t="shared" si="27"/>
        <v/>
      </c>
      <c r="R74" s="49" t="str">
        <f t="shared" si="28"/>
        <v/>
      </c>
      <c r="S74" s="49" t="str">
        <f t="shared" si="29"/>
        <v/>
      </c>
      <c r="T74" s="49" t="str">
        <f t="shared" si="20"/>
        <v/>
      </c>
      <c r="U74" s="49" t="str">
        <f t="shared" si="21"/>
        <v/>
      </c>
      <c r="V74" s="49" t="str">
        <f t="shared" si="22"/>
        <v/>
      </c>
      <c r="W74" s="49" t="str">
        <f t="shared" si="23"/>
        <v/>
      </c>
      <c r="X74" s="49" t="str">
        <f t="shared" si="24"/>
        <v/>
      </c>
      <c r="Y74" s="49"/>
      <c r="Z74" s="49" t="s">
        <v>114</v>
      </c>
      <c r="AA74" s="49" t="str">
        <f t="shared" si="30"/>
        <v>F</v>
      </c>
      <c r="AB74" s="61"/>
      <c r="AC74" s="61"/>
      <c r="AD74" s="61" t="str">
        <f>IF(O74="개량",ROUND(VLOOKUP($F74,'개량사업비 산정기준'!$A$5:$I$23,2,FALSE)/1000,0),"")</f>
        <v/>
      </c>
      <c r="AE74" s="61"/>
      <c r="AF74" s="61" t="str">
        <f>IF(Q74="개량",ROUND(VLOOKUP($F74,'개량사업비 산정기준'!$A$5:$I$23,6,FALSE)/1000,0),"")</f>
        <v/>
      </c>
      <c r="AG74" s="61" t="str">
        <f>IF(R74="개량",ROUND(VLOOKUP($F74,'개량사업비 산정기준'!$A$5:$I$23,7,FALSE)/1000,0),"")</f>
        <v/>
      </c>
      <c r="AH74" s="61" t="str">
        <f>IF(S74="개량",ROUND(((AB74*'개량사업비 산정기준'!$B$34)+(AC74*'개량사업비 산정기준'!$C$34))/1000000,0),"")</f>
        <v/>
      </c>
      <c r="AI74" s="61"/>
      <c r="AJ74" s="61" t="str">
        <f>IF($AA74="D",ROUND('개량사업비 산정기준'!$F$56/1000,0),IF($AA74="E",ROUND('개량사업비 산정기준'!$F$56/1000,0),""))</f>
        <v/>
      </c>
      <c r="AK74" s="61">
        <f t="shared" si="31"/>
        <v>0</v>
      </c>
      <c r="AL74" s="61"/>
      <c r="AM74" s="61">
        <f t="shared" si="32"/>
        <v>0</v>
      </c>
      <c r="AN74" s="61">
        <f t="shared" si="33"/>
        <v>0</v>
      </c>
      <c r="AO74" s="61">
        <f t="shared" si="34"/>
        <v>0</v>
      </c>
      <c r="AP74" s="61">
        <f t="shared" si="35"/>
        <v>0</v>
      </c>
      <c r="AQ74" s="49"/>
    </row>
    <row r="75" spans="1:43" ht="20.100000000000001" customHeight="1">
      <c r="A75" s="49" t="s">
        <v>446</v>
      </c>
      <c r="B75" s="49">
        <v>69</v>
      </c>
      <c r="C75" s="56" t="s">
        <v>241</v>
      </c>
      <c r="D75" s="56" t="s">
        <v>231</v>
      </c>
      <c r="E75" s="56" t="s">
        <v>53</v>
      </c>
      <c r="F75" s="49">
        <f>VLOOKUP(C75,'[1]논산시 마을상수도'!$E$5:$K$171,6,FALSE)</f>
        <v>60</v>
      </c>
      <c r="G75" s="49">
        <f>VLOOKUP(C75,'[1]논산시 마을상수도'!$E$5:$K$171,3,FALSE)</f>
        <v>2001</v>
      </c>
      <c r="H75" s="49">
        <f>VLOOKUP($C75,'[1]논산시 마을상수도'!$E$5:$K$171,4,FALSE)</f>
        <v>54</v>
      </c>
      <c r="I75" s="49">
        <f>VLOOKUP($E75,'[2]마을_소규모 인접거리'!$D$8:$P$167,8,FALSE)</f>
        <v>2001</v>
      </c>
      <c r="J75" s="49"/>
      <c r="K75" s="49">
        <f>VLOOKUP($E75,'[2]마을_소규모 인접거리'!$D$8:$P$167,12,FALSE)</f>
        <v>2001</v>
      </c>
      <c r="L75" s="49">
        <f t="shared" si="25"/>
        <v>2001</v>
      </c>
      <c r="M75" s="49">
        <v>2001</v>
      </c>
      <c r="N75" s="49">
        <v>2020</v>
      </c>
      <c r="O75" s="49" t="str">
        <f t="shared" si="26"/>
        <v/>
      </c>
      <c r="P75" s="49"/>
      <c r="Q75" s="49" t="str">
        <f t="shared" si="27"/>
        <v/>
      </c>
      <c r="R75" s="49" t="str">
        <f t="shared" si="28"/>
        <v/>
      </c>
      <c r="S75" s="49" t="str">
        <f t="shared" si="29"/>
        <v/>
      </c>
      <c r="T75" s="49" t="str">
        <f t="shared" si="20"/>
        <v/>
      </c>
      <c r="U75" s="49" t="str">
        <f t="shared" si="21"/>
        <v/>
      </c>
      <c r="V75" s="49" t="str">
        <f t="shared" si="22"/>
        <v/>
      </c>
      <c r="W75" s="49" t="str">
        <f t="shared" si="23"/>
        <v/>
      </c>
      <c r="X75" s="49" t="str">
        <f t="shared" si="24"/>
        <v/>
      </c>
      <c r="Y75" s="49"/>
      <c r="Z75" s="49" t="s">
        <v>114</v>
      </c>
      <c r="AA75" s="49" t="str">
        <f t="shared" si="30"/>
        <v>F</v>
      </c>
      <c r="AB75" s="61"/>
      <c r="AC75" s="61"/>
      <c r="AD75" s="61" t="str">
        <f>IF(O75="개량",ROUND(VLOOKUP($F75,'개량사업비 산정기준'!$A$5:$I$23,2,FALSE)/1000,0),"")</f>
        <v/>
      </c>
      <c r="AE75" s="61"/>
      <c r="AF75" s="61" t="str">
        <f>IF(Q75="개량",ROUND(VLOOKUP($F75,'개량사업비 산정기준'!$A$5:$I$23,6,FALSE)/1000,0),"")</f>
        <v/>
      </c>
      <c r="AG75" s="61" t="str">
        <f>IF(R75="개량",ROUND(VLOOKUP($F75,'개량사업비 산정기준'!$A$5:$I$23,7,FALSE)/1000,0),"")</f>
        <v/>
      </c>
      <c r="AH75" s="61" t="str">
        <f>IF(S75="개량",ROUND(((AB75*'개량사업비 산정기준'!$B$34)+(AC75*'개량사업비 산정기준'!$C$34))/1000000,0),"")</f>
        <v/>
      </c>
      <c r="AI75" s="61"/>
      <c r="AJ75" s="61" t="str">
        <f>IF($AA75="D",ROUND('개량사업비 산정기준'!$F$56/1000,0),IF($AA75="E",ROUND('개량사업비 산정기준'!$F$56/1000,0),""))</f>
        <v/>
      </c>
      <c r="AK75" s="61">
        <f t="shared" si="31"/>
        <v>0</v>
      </c>
      <c r="AL75" s="61"/>
      <c r="AM75" s="61">
        <f t="shared" si="32"/>
        <v>0</v>
      </c>
      <c r="AN75" s="61">
        <f t="shared" si="33"/>
        <v>0</v>
      </c>
      <c r="AO75" s="61">
        <f t="shared" si="34"/>
        <v>0</v>
      </c>
      <c r="AP75" s="61">
        <f t="shared" si="35"/>
        <v>0</v>
      </c>
      <c r="AQ75" s="49"/>
    </row>
    <row r="76" spans="1:43" ht="20.100000000000001" customHeight="1">
      <c r="A76" s="49" t="s">
        <v>446</v>
      </c>
      <c r="B76" s="49">
        <v>70</v>
      </c>
      <c r="C76" s="56" t="s">
        <v>242</v>
      </c>
      <c r="D76" s="56" t="s">
        <v>231</v>
      </c>
      <c r="E76" s="56" t="s">
        <v>452</v>
      </c>
      <c r="F76" s="49">
        <f>VLOOKUP(C76,'[1]논산시 마을상수도'!$E$5:$K$171,6,FALSE)</f>
        <v>100</v>
      </c>
      <c r="G76" s="49">
        <f>VLOOKUP(C76,'[1]논산시 마을상수도'!$E$5:$K$171,3,FALSE)</f>
        <v>2001</v>
      </c>
      <c r="H76" s="49">
        <f>VLOOKUP($C76,'[1]논산시 마을상수도'!$E$5:$K$171,4,FALSE)</f>
        <v>65</v>
      </c>
      <c r="I76" s="49">
        <v>2001</v>
      </c>
      <c r="J76" s="49"/>
      <c r="K76" s="49">
        <v>2001</v>
      </c>
      <c r="L76" s="49">
        <f t="shared" si="25"/>
        <v>2001</v>
      </c>
      <c r="M76" s="49">
        <v>2001</v>
      </c>
      <c r="N76" s="49">
        <v>2025</v>
      </c>
      <c r="O76" s="49" t="str">
        <f t="shared" si="26"/>
        <v/>
      </c>
      <c r="P76" s="49"/>
      <c r="Q76" s="49" t="str">
        <f t="shared" si="27"/>
        <v/>
      </c>
      <c r="R76" s="49" t="str">
        <f t="shared" si="28"/>
        <v/>
      </c>
      <c r="S76" s="49" t="str">
        <f t="shared" si="29"/>
        <v/>
      </c>
      <c r="T76" s="49" t="str">
        <f t="shared" si="20"/>
        <v/>
      </c>
      <c r="U76" s="49" t="str">
        <f t="shared" si="21"/>
        <v/>
      </c>
      <c r="V76" s="49" t="str">
        <f t="shared" si="22"/>
        <v/>
      </c>
      <c r="W76" s="49" t="str">
        <f t="shared" si="23"/>
        <v/>
      </c>
      <c r="X76" s="49" t="str">
        <f t="shared" si="24"/>
        <v/>
      </c>
      <c r="Y76" s="49">
        <v>2</v>
      </c>
      <c r="Z76" s="49" t="s">
        <v>114</v>
      </c>
      <c r="AA76" s="49" t="str">
        <f t="shared" si="30"/>
        <v>E</v>
      </c>
      <c r="AB76" s="61"/>
      <c r="AC76" s="61"/>
      <c r="AD76" s="61" t="str">
        <f>IF(O76="개량",ROUND(VLOOKUP($F76,'개량사업비 산정기준'!$A$5:$I$23,2,FALSE)/1000,0),"")</f>
        <v/>
      </c>
      <c r="AE76" s="61"/>
      <c r="AF76" s="61" t="str">
        <f>IF(Q76="개량",ROUND(VLOOKUP($F76,'개량사업비 산정기준'!$A$5:$I$23,6,FALSE)/1000,0),"")</f>
        <v/>
      </c>
      <c r="AG76" s="61" t="str">
        <f>IF(R76="개량",ROUND(VLOOKUP($F76,'개량사업비 산정기준'!$A$5:$I$23,7,FALSE)/1000,0),"")</f>
        <v/>
      </c>
      <c r="AH76" s="61" t="str">
        <f>IF(S76="개량",ROUND(((AB76*'개량사업비 산정기준'!$B$34)+(AC76*'개량사업비 산정기준'!$C$34))/1000000,0),"")</f>
        <v/>
      </c>
      <c r="AI76" s="61"/>
      <c r="AJ76" s="61">
        <f>IF($AA76="D",ROUND('개량사업비 산정기준'!$F$56/1000,0),IF($AA76="E",ROUND('개량사업비 산정기준'!$F$56/1000,0),""))</f>
        <v>48</v>
      </c>
      <c r="AK76" s="61">
        <f t="shared" si="31"/>
        <v>48</v>
      </c>
      <c r="AL76" s="61">
        <v>2</v>
      </c>
      <c r="AM76" s="61">
        <f t="shared" si="32"/>
        <v>0</v>
      </c>
      <c r="AN76" s="61">
        <f t="shared" si="33"/>
        <v>48</v>
      </c>
      <c r="AO76" s="61">
        <f t="shared" si="34"/>
        <v>0</v>
      </c>
      <c r="AP76" s="61">
        <f t="shared" si="35"/>
        <v>0</v>
      </c>
      <c r="AQ76" s="49"/>
    </row>
    <row r="77" spans="1:43" ht="20.100000000000001" customHeight="1">
      <c r="A77" s="49" t="s">
        <v>446</v>
      </c>
      <c r="B77" s="49">
        <v>71</v>
      </c>
      <c r="C77" s="56" t="s">
        <v>243</v>
      </c>
      <c r="D77" s="56" t="s">
        <v>231</v>
      </c>
      <c r="E77" s="56" t="s">
        <v>54</v>
      </c>
      <c r="F77" s="49">
        <f>VLOOKUP(C77,'[1]논산시 마을상수도'!$E$5:$K$171,6,FALSE)</f>
        <v>90</v>
      </c>
      <c r="G77" s="49">
        <f>VLOOKUP(C77,'[1]논산시 마을상수도'!$E$5:$K$171,3,FALSE)</f>
        <v>2002</v>
      </c>
      <c r="H77" s="49">
        <f>VLOOKUP($C77,'[1]논산시 마을상수도'!$E$5:$K$171,4,FALSE)</f>
        <v>50</v>
      </c>
      <c r="I77" s="49">
        <f>VLOOKUP($E77,'[2]마을_소규모 인접거리'!$D$8:$P$167,8,FALSE)</f>
        <v>2002</v>
      </c>
      <c r="J77" s="49"/>
      <c r="K77" s="49">
        <f>VLOOKUP($E77,'[2]마을_소규모 인접거리'!$D$8:$P$167,12,FALSE)</f>
        <v>2002</v>
      </c>
      <c r="L77" s="49">
        <f t="shared" si="25"/>
        <v>2002</v>
      </c>
      <c r="M77" s="49">
        <v>2002</v>
      </c>
      <c r="N77" s="49">
        <v>2025</v>
      </c>
      <c r="O77" s="49" t="str">
        <f t="shared" si="26"/>
        <v/>
      </c>
      <c r="P77" s="49"/>
      <c r="Q77" s="49" t="str">
        <f t="shared" si="27"/>
        <v/>
      </c>
      <c r="R77" s="49" t="str">
        <f t="shared" si="28"/>
        <v/>
      </c>
      <c r="S77" s="49" t="str">
        <f t="shared" si="29"/>
        <v/>
      </c>
      <c r="T77" s="49" t="str">
        <f t="shared" si="20"/>
        <v/>
      </c>
      <c r="U77" s="49" t="str">
        <f t="shared" si="21"/>
        <v/>
      </c>
      <c r="V77" s="49" t="str">
        <f t="shared" si="22"/>
        <v/>
      </c>
      <c r="W77" s="49" t="str">
        <f t="shared" si="23"/>
        <v/>
      </c>
      <c r="X77" s="49" t="str">
        <f t="shared" si="24"/>
        <v/>
      </c>
      <c r="Y77" s="49">
        <v>2</v>
      </c>
      <c r="Z77" s="49" t="s">
        <v>114</v>
      </c>
      <c r="AA77" s="49" t="str">
        <f t="shared" si="30"/>
        <v>E</v>
      </c>
      <c r="AB77" s="61"/>
      <c r="AC77" s="61"/>
      <c r="AD77" s="61" t="str">
        <f>IF(O77="개량",ROUND(VLOOKUP($F77,'개량사업비 산정기준'!$A$5:$I$23,2,FALSE)/1000,0),"")</f>
        <v/>
      </c>
      <c r="AE77" s="61"/>
      <c r="AF77" s="61" t="str">
        <f>IF(Q77="개량",ROUND(VLOOKUP($F77,'개량사업비 산정기준'!$A$5:$I$23,6,FALSE)/1000,0),"")</f>
        <v/>
      </c>
      <c r="AG77" s="61" t="str">
        <f>IF(R77="개량",ROUND(VLOOKUP($F77,'개량사업비 산정기준'!$A$5:$I$23,7,FALSE)/1000,0),"")</f>
        <v/>
      </c>
      <c r="AH77" s="61" t="str">
        <f>IF(S77="개량",ROUND(((AB77*'개량사업비 산정기준'!$B$34)+(AC77*'개량사업비 산정기준'!$C$34))/1000000,0),"")</f>
        <v/>
      </c>
      <c r="AI77" s="61"/>
      <c r="AJ77" s="61">
        <f>IF($AA77="D",ROUND('개량사업비 산정기준'!$F$56/1000,0),IF($AA77="E",ROUND('개량사업비 산정기준'!$F$56/1000,0),""))</f>
        <v>48</v>
      </c>
      <c r="AK77" s="61">
        <f t="shared" si="31"/>
        <v>48</v>
      </c>
      <c r="AL77" s="61">
        <v>2</v>
      </c>
      <c r="AM77" s="61">
        <f t="shared" si="32"/>
        <v>0</v>
      </c>
      <c r="AN77" s="61">
        <f t="shared" si="33"/>
        <v>48</v>
      </c>
      <c r="AO77" s="61">
        <f t="shared" si="34"/>
        <v>0</v>
      </c>
      <c r="AP77" s="61">
        <f t="shared" si="35"/>
        <v>0</v>
      </c>
      <c r="AQ77" s="49"/>
    </row>
    <row r="78" spans="1:43" ht="20.100000000000001" customHeight="1">
      <c r="A78" s="49" t="s">
        <v>446</v>
      </c>
      <c r="B78" s="49">
        <v>72</v>
      </c>
      <c r="C78" s="56" t="s">
        <v>244</v>
      </c>
      <c r="D78" s="56" t="s">
        <v>231</v>
      </c>
      <c r="E78" s="56" t="s">
        <v>55</v>
      </c>
      <c r="F78" s="49">
        <f>VLOOKUP(C78,'[1]논산시 마을상수도'!$E$5:$K$171,6,FALSE)</f>
        <v>110</v>
      </c>
      <c r="G78" s="49">
        <f>VLOOKUP(C78,'[1]논산시 마을상수도'!$E$5:$K$171,3,FALSE)</f>
        <v>2003</v>
      </c>
      <c r="H78" s="49">
        <f>VLOOKUP($C78,'[1]논산시 마을상수도'!$E$5:$K$171,4,FALSE)</f>
        <v>70</v>
      </c>
      <c r="I78" s="49">
        <f>VLOOKUP($E78,'[2]마을_소규모 인접거리'!$D$8:$P$167,8,FALSE)</f>
        <v>2003</v>
      </c>
      <c r="J78" s="49"/>
      <c r="K78" s="49">
        <f>VLOOKUP($E78,'[2]마을_소규모 인접거리'!$D$8:$P$167,12,FALSE)</f>
        <v>2003</v>
      </c>
      <c r="L78" s="49">
        <f t="shared" si="25"/>
        <v>2003</v>
      </c>
      <c r="M78" s="49">
        <v>2003</v>
      </c>
      <c r="N78" s="49">
        <v>2020</v>
      </c>
      <c r="O78" s="49" t="str">
        <f t="shared" si="26"/>
        <v/>
      </c>
      <c r="P78" s="49"/>
      <c r="Q78" s="49" t="str">
        <f t="shared" si="27"/>
        <v/>
      </c>
      <c r="R78" s="49" t="str">
        <f t="shared" si="28"/>
        <v/>
      </c>
      <c r="S78" s="49" t="str">
        <f t="shared" si="29"/>
        <v/>
      </c>
      <c r="T78" s="49" t="str">
        <f t="shared" si="20"/>
        <v/>
      </c>
      <c r="U78" s="49" t="str">
        <f t="shared" si="21"/>
        <v/>
      </c>
      <c r="V78" s="49" t="str">
        <f t="shared" si="22"/>
        <v/>
      </c>
      <c r="W78" s="49" t="str">
        <f t="shared" si="23"/>
        <v/>
      </c>
      <c r="X78" s="49" t="str">
        <f t="shared" si="24"/>
        <v/>
      </c>
      <c r="Y78" s="49"/>
      <c r="Z78" s="49" t="s">
        <v>114</v>
      </c>
      <c r="AA78" s="49" t="str">
        <f t="shared" si="30"/>
        <v>F</v>
      </c>
      <c r="AB78" s="61"/>
      <c r="AC78" s="61"/>
      <c r="AD78" s="61" t="str">
        <f>IF(O78="개량",ROUND(VLOOKUP($F78,'개량사업비 산정기준'!$A$5:$I$23,2,FALSE)/1000,0),"")</f>
        <v/>
      </c>
      <c r="AE78" s="61"/>
      <c r="AF78" s="61" t="str">
        <f>IF(Q78="개량",ROUND(VLOOKUP($F78,'개량사업비 산정기준'!$A$5:$I$23,6,FALSE)/1000,0),"")</f>
        <v/>
      </c>
      <c r="AG78" s="61" t="str">
        <f>IF(R78="개량",ROUND(VLOOKUP($F78,'개량사업비 산정기준'!$A$5:$I$23,7,FALSE)/1000,0),"")</f>
        <v/>
      </c>
      <c r="AH78" s="61" t="str">
        <f>IF(S78="개량",ROUND(((AB78*'개량사업비 산정기준'!$B$34)+(AC78*'개량사업비 산정기준'!$C$34))/1000000,0),"")</f>
        <v/>
      </c>
      <c r="AI78" s="61"/>
      <c r="AJ78" s="61" t="str">
        <f>IF($AA78="D",ROUND('개량사업비 산정기준'!$F$56/1000,0),IF($AA78="E",ROUND('개량사업비 산정기준'!$F$56/1000,0),""))</f>
        <v/>
      </c>
      <c r="AK78" s="61">
        <f t="shared" si="31"/>
        <v>0</v>
      </c>
      <c r="AL78" s="61"/>
      <c r="AM78" s="61">
        <f t="shared" si="32"/>
        <v>0</v>
      </c>
      <c r="AN78" s="61">
        <f t="shared" si="33"/>
        <v>0</v>
      </c>
      <c r="AO78" s="61">
        <f t="shared" si="34"/>
        <v>0</v>
      </c>
      <c r="AP78" s="61">
        <f t="shared" si="35"/>
        <v>0</v>
      </c>
      <c r="AQ78" s="49"/>
    </row>
    <row r="79" spans="1:43" ht="20.100000000000001" customHeight="1">
      <c r="A79" s="49" t="s">
        <v>446</v>
      </c>
      <c r="B79" s="49">
        <v>73</v>
      </c>
      <c r="C79" s="56" t="s">
        <v>245</v>
      </c>
      <c r="D79" s="56" t="s">
        <v>231</v>
      </c>
      <c r="E79" s="56" t="s">
        <v>56</v>
      </c>
      <c r="F79" s="49">
        <f>VLOOKUP(C79,'[1]논산시 마을상수도'!$E$5:$K$171,6,FALSE)</f>
        <v>80</v>
      </c>
      <c r="G79" s="49">
        <f>VLOOKUP(C79,'[1]논산시 마을상수도'!$E$5:$K$171,3,FALSE)</f>
        <v>2003</v>
      </c>
      <c r="H79" s="49">
        <f>VLOOKUP($C79,'[1]논산시 마을상수도'!$E$5:$K$171,4,FALSE)</f>
        <v>53</v>
      </c>
      <c r="I79" s="49">
        <f>VLOOKUP($E79,'[2]마을_소규모 인접거리'!$D$8:$P$167,8,FALSE)</f>
        <v>2003</v>
      </c>
      <c r="J79" s="49"/>
      <c r="K79" s="49">
        <f>VLOOKUP($E79,'[2]마을_소규모 인접거리'!$D$8:$P$167,12,FALSE)</f>
        <v>2003</v>
      </c>
      <c r="L79" s="49">
        <f t="shared" si="25"/>
        <v>2003</v>
      </c>
      <c r="M79" s="49">
        <v>2003</v>
      </c>
      <c r="N79" s="49">
        <v>2020</v>
      </c>
      <c r="O79" s="49" t="str">
        <f t="shared" si="26"/>
        <v/>
      </c>
      <c r="P79" s="49"/>
      <c r="Q79" s="49" t="str">
        <f t="shared" si="27"/>
        <v/>
      </c>
      <c r="R79" s="49" t="str">
        <f t="shared" si="28"/>
        <v/>
      </c>
      <c r="S79" s="49" t="str">
        <f t="shared" si="29"/>
        <v/>
      </c>
      <c r="T79" s="49" t="str">
        <f t="shared" si="20"/>
        <v/>
      </c>
      <c r="U79" s="49" t="str">
        <f t="shared" si="21"/>
        <v/>
      </c>
      <c r="V79" s="49" t="str">
        <f t="shared" si="22"/>
        <v/>
      </c>
      <c r="W79" s="49" t="str">
        <f t="shared" si="23"/>
        <v/>
      </c>
      <c r="X79" s="49" t="str">
        <f t="shared" si="24"/>
        <v/>
      </c>
      <c r="Y79" s="49"/>
      <c r="Z79" s="49" t="s">
        <v>114</v>
      </c>
      <c r="AA79" s="49" t="str">
        <f t="shared" si="30"/>
        <v>F</v>
      </c>
      <c r="AB79" s="61"/>
      <c r="AC79" s="61"/>
      <c r="AD79" s="61" t="str">
        <f>IF(O79="개량",ROUND(VLOOKUP($F79,'개량사업비 산정기준'!$A$5:$I$23,2,FALSE)/1000,0),"")</f>
        <v/>
      </c>
      <c r="AE79" s="61"/>
      <c r="AF79" s="61" t="str">
        <f>IF(Q79="개량",ROUND(VLOOKUP($F79,'개량사업비 산정기준'!$A$5:$I$23,6,FALSE)/1000,0),"")</f>
        <v/>
      </c>
      <c r="AG79" s="61" t="str">
        <f>IF(R79="개량",ROUND(VLOOKUP($F79,'개량사업비 산정기준'!$A$5:$I$23,7,FALSE)/1000,0),"")</f>
        <v/>
      </c>
      <c r="AH79" s="61" t="str">
        <f>IF(S79="개량",ROUND(((AB79*'개량사업비 산정기준'!$B$34)+(AC79*'개량사업비 산정기준'!$C$34))/1000000,0),"")</f>
        <v/>
      </c>
      <c r="AI79" s="61"/>
      <c r="AJ79" s="61" t="str">
        <f>IF($AA79="D",ROUND('개량사업비 산정기준'!$F$56/1000,0),IF($AA79="E",ROUND('개량사업비 산정기준'!$F$56/1000,0),""))</f>
        <v/>
      </c>
      <c r="AK79" s="61">
        <f t="shared" si="31"/>
        <v>0</v>
      </c>
      <c r="AL79" s="61"/>
      <c r="AM79" s="61">
        <f t="shared" si="32"/>
        <v>0</v>
      </c>
      <c r="AN79" s="61">
        <f t="shared" si="33"/>
        <v>0</v>
      </c>
      <c r="AO79" s="61">
        <f t="shared" si="34"/>
        <v>0</v>
      </c>
      <c r="AP79" s="61">
        <f t="shared" si="35"/>
        <v>0</v>
      </c>
      <c r="AQ79" s="49"/>
    </row>
    <row r="80" spans="1:43" ht="20.100000000000001" customHeight="1">
      <c r="A80" s="49" t="s">
        <v>446</v>
      </c>
      <c r="B80" s="49">
        <v>74</v>
      </c>
      <c r="C80" s="56" t="s">
        <v>246</v>
      </c>
      <c r="D80" s="56" t="s">
        <v>231</v>
      </c>
      <c r="E80" s="56" t="s">
        <v>57</v>
      </c>
      <c r="F80" s="49">
        <f>VLOOKUP(C80,'[1]논산시 마을상수도'!$E$5:$K$171,6,FALSE)</f>
        <v>110</v>
      </c>
      <c r="G80" s="49">
        <f>VLOOKUP(C80,'[1]논산시 마을상수도'!$E$5:$K$171,3,FALSE)</f>
        <v>2004</v>
      </c>
      <c r="H80" s="49">
        <f>VLOOKUP($C80,'[1]논산시 마을상수도'!$E$5:$K$171,4,FALSE)</f>
        <v>74</v>
      </c>
      <c r="I80" s="49">
        <f>VLOOKUP($E80,'[2]마을_소규모 인접거리'!$D$8:$P$167,8,FALSE)</f>
        <v>2004</v>
      </c>
      <c r="J80" s="49"/>
      <c r="K80" s="49">
        <f>VLOOKUP($E80,'[2]마을_소규모 인접거리'!$D$8:$P$167,12,FALSE)</f>
        <v>2004</v>
      </c>
      <c r="L80" s="49">
        <f t="shared" si="25"/>
        <v>2004</v>
      </c>
      <c r="M80" s="49">
        <v>2004</v>
      </c>
      <c r="N80" s="49">
        <v>2025</v>
      </c>
      <c r="O80" s="49" t="str">
        <f t="shared" si="26"/>
        <v/>
      </c>
      <c r="P80" s="49"/>
      <c r="Q80" s="49" t="str">
        <f t="shared" si="27"/>
        <v/>
      </c>
      <c r="R80" s="49" t="str">
        <f t="shared" si="28"/>
        <v/>
      </c>
      <c r="S80" s="49" t="str">
        <f t="shared" si="29"/>
        <v/>
      </c>
      <c r="T80" s="49" t="str">
        <f t="shared" si="20"/>
        <v/>
      </c>
      <c r="U80" s="49" t="str">
        <f t="shared" si="21"/>
        <v/>
      </c>
      <c r="V80" s="49" t="str">
        <f t="shared" si="22"/>
        <v/>
      </c>
      <c r="W80" s="49" t="str">
        <f t="shared" si="23"/>
        <v/>
      </c>
      <c r="X80" s="49" t="str">
        <f t="shared" si="24"/>
        <v/>
      </c>
      <c r="Y80" s="49">
        <v>2</v>
      </c>
      <c r="Z80" s="49" t="s">
        <v>114</v>
      </c>
      <c r="AA80" s="49" t="str">
        <f t="shared" si="30"/>
        <v>E</v>
      </c>
      <c r="AB80" s="61"/>
      <c r="AC80" s="61"/>
      <c r="AD80" s="61" t="str">
        <f>IF(O80="개량",ROUND(VLOOKUP($F80,'개량사업비 산정기준'!$A$5:$I$23,2,FALSE)/1000,0),"")</f>
        <v/>
      </c>
      <c r="AE80" s="61"/>
      <c r="AF80" s="61" t="str">
        <f>IF(Q80="개량",ROUND(VLOOKUP($F80,'개량사업비 산정기준'!$A$5:$I$23,6,FALSE)/1000,0),"")</f>
        <v/>
      </c>
      <c r="AG80" s="61" t="str">
        <f>IF(R80="개량",ROUND(VLOOKUP($F80,'개량사업비 산정기준'!$A$5:$I$23,7,FALSE)/1000,0),"")</f>
        <v/>
      </c>
      <c r="AH80" s="61" t="str">
        <f>IF(S80="개량",ROUND(((AB80*'개량사업비 산정기준'!$B$34)+(AC80*'개량사업비 산정기준'!$C$34))/1000000,0),"")</f>
        <v/>
      </c>
      <c r="AI80" s="61"/>
      <c r="AJ80" s="61">
        <f>IF($AA80="D",ROUND('개량사업비 산정기준'!$F$56/1000,0),IF($AA80="E",ROUND('개량사업비 산정기준'!$F$56/1000,0),""))</f>
        <v>48</v>
      </c>
      <c r="AK80" s="61">
        <f t="shared" si="31"/>
        <v>48</v>
      </c>
      <c r="AL80" s="61">
        <v>2</v>
      </c>
      <c r="AM80" s="61">
        <f t="shared" si="32"/>
        <v>0</v>
      </c>
      <c r="AN80" s="61">
        <f t="shared" si="33"/>
        <v>48</v>
      </c>
      <c r="AO80" s="61">
        <f t="shared" si="34"/>
        <v>0</v>
      </c>
      <c r="AP80" s="61">
        <f t="shared" si="35"/>
        <v>0</v>
      </c>
      <c r="AQ80" s="49"/>
    </row>
    <row r="81" spans="1:43" ht="20.100000000000001" customHeight="1">
      <c r="A81" s="49" t="s">
        <v>446</v>
      </c>
      <c r="B81" s="49">
        <v>75</v>
      </c>
      <c r="C81" s="56" t="s">
        <v>247</v>
      </c>
      <c r="D81" s="56" t="s">
        <v>231</v>
      </c>
      <c r="E81" s="56" t="s">
        <v>58</v>
      </c>
      <c r="F81" s="49">
        <f>VLOOKUP(C81,'[1]논산시 마을상수도'!$E$5:$K$171,6,FALSE)</f>
        <v>100</v>
      </c>
      <c r="G81" s="49">
        <f>VLOOKUP(C81,'[1]논산시 마을상수도'!$E$5:$K$171,3,FALSE)</f>
        <v>2004</v>
      </c>
      <c r="H81" s="49">
        <f>VLOOKUP($C81,'[1]논산시 마을상수도'!$E$5:$K$171,4,FALSE)</f>
        <v>87</v>
      </c>
      <c r="I81" s="49">
        <f>VLOOKUP($E81,'[2]마을_소규모 인접거리'!$D$8:$P$167,8,FALSE)</f>
        <v>2004</v>
      </c>
      <c r="J81" s="49"/>
      <c r="K81" s="49">
        <f>VLOOKUP($E81,'[2]마을_소규모 인접거리'!$D$8:$P$167,12,FALSE)</f>
        <v>2004</v>
      </c>
      <c r="L81" s="49">
        <f t="shared" si="25"/>
        <v>2004</v>
      </c>
      <c r="M81" s="49">
        <v>2004</v>
      </c>
      <c r="N81" s="49">
        <v>2025</v>
      </c>
      <c r="O81" s="49" t="str">
        <f t="shared" si="26"/>
        <v/>
      </c>
      <c r="P81" s="49"/>
      <c r="Q81" s="49" t="str">
        <f t="shared" si="27"/>
        <v/>
      </c>
      <c r="R81" s="49" t="str">
        <f t="shared" si="28"/>
        <v/>
      </c>
      <c r="S81" s="49" t="str">
        <f t="shared" si="29"/>
        <v/>
      </c>
      <c r="T81" s="49" t="str">
        <f t="shared" si="20"/>
        <v/>
      </c>
      <c r="U81" s="49" t="str">
        <f t="shared" si="21"/>
        <v/>
      </c>
      <c r="V81" s="49" t="str">
        <f t="shared" si="22"/>
        <v/>
      </c>
      <c r="W81" s="49" t="str">
        <f t="shared" si="23"/>
        <v/>
      </c>
      <c r="X81" s="49" t="str">
        <f t="shared" si="24"/>
        <v/>
      </c>
      <c r="Y81" s="49">
        <v>2</v>
      </c>
      <c r="Z81" s="49" t="s">
        <v>114</v>
      </c>
      <c r="AA81" s="49" t="str">
        <f t="shared" si="30"/>
        <v>E</v>
      </c>
      <c r="AB81" s="61"/>
      <c r="AC81" s="61"/>
      <c r="AD81" s="61" t="str">
        <f>IF(O81="개량",ROUND(VLOOKUP($F81,'개량사업비 산정기준'!$A$5:$I$23,2,FALSE)/1000,0),"")</f>
        <v/>
      </c>
      <c r="AE81" s="61"/>
      <c r="AF81" s="61" t="str">
        <f>IF(Q81="개량",ROUND(VLOOKUP($F81,'개량사업비 산정기준'!$A$5:$I$23,6,FALSE)/1000,0),"")</f>
        <v/>
      </c>
      <c r="AG81" s="61" t="str">
        <f>IF(R81="개량",ROUND(VLOOKUP($F81,'개량사업비 산정기준'!$A$5:$I$23,7,FALSE)/1000,0),"")</f>
        <v/>
      </c>
      <c r="AH81" s="61" t="str">
        <f>IF(S81="개량",ROUND(((AB81*'개량사업비 산정기준'!$B$34)+(AC81*'개량사업비 산정기준'!$C$34))/1000000,0),"")</f>
        <v/>
      </c>
      <c r="AI81" s="61"/>
      <c r="AJ81" s="61">
        <f>IF($AA81="D",ROUND('개량사업비 산정기준'!$F$56/1000,0),IF($AA81="E",ROUND('개량사업비 산정기준'!$F$56/1000,0),""))</f>
        <v>48</v>
      </c>
      <c r="AK81" s="61">
        <f t="shared" si="31"/>
        <v>48</v>
      </c>
      <c r="AL81" s="61">
        <v>2</v>
      </c>
      <c r="AM81" s="61">
        <f t="shared" si="32"/>
        <v>0</v>
      </c>
      <c r="AN81" s="61">
        <f t="shared" si="33"/>
        <v>48</v>
      </c>
      <c r="AO81" s="61">
        <f t="shared" si="34"/>
        <v>0</v>
      </c>
      <c r="AP81" s="61">
        <f t="shared" si="35"/>
        <v>0</v>
      </c>
      <c r="AQ81" s="49"/>
    </row>
    <row r="82" spans="1:43" ht="20.100000000000001" customHeight="1">
      <c r="A82" s="49" t="s">
        <v>446</v>
      </c>
      <c r="B82" s="49">
        <v>76</v>
      </c>
      <c r="C82" s="56" t="s">
        <v>248</v>
      </c>
      <c r="D82" s="56" t="s">
        <v>231</v>
      </c>
      <c r="E82" s="56" t="s">
        <v>59</v>
      </c>
      <c r="F82" s="49">
        <f>VLOOKUP(C82,'[1]논산시 마을상수도'!$E$5:$K$171,6,FALSE)</f>
        <v>120</v>
      </c>
      <c r="G82" s="49">
        <f>VLOOKUP(C82,'[1]논산시 마을상수도'!$E$5:$K$171,3,FALSE)</f>
        <v>2005</v>
      </c>
      <c r="H82" s="49">
        <f>VLOOKUP($C82,'[1]논산시 마을상수도'!$E$5:$K$171,4,FALSE)</f>
        <v>57</v>
      </c>
      <c r="I82" s="49" t="str">
        <f>VLOOKUP($E82,'[2]마을_소규모 인접거리'!$D$8:$P$167,8,FALSE)</f>
        <v>2008</v>
      </c>
      <c r="J82" s="49"/>
      <c r="K82" s="49">
        <f>VLOOKUP($E82,'[2]마을_소규모 인접거리'!$D$8:$P$167,12,FALSE)</f>
        <v>2005</v>
      </c>
      <c r="L82" s="49">
        <f t="shared" si="25"/>
        <v>2005</v>
      </c>
      <c r="M82" s="49">
        <v>2005</v>
      </c>
      <c r="N82" s="49">
        <v>2020</v>
      </c>
      <c r="O82" s="49" t="str">
        <f t="shared" si="26"/>
        <v/>
      </c>
      <c r="P82" s="49"/>
      <c r="Q82" s="49" t="str">
        <f t="shared" si="27"/>
        <v/>
      </c>
      <c r="R82" s="49" t="str">
        <f t="shared" si="28"/>
        <v/>
      </c>
      <c r="S82" s="49" t="str">
        <f t="shared" si="29"/>
        <v/>
      </c>
      <c r="T82" s="49" t="str">
        <f t="shared" si="20"/>
        <v/>
      </c>
      <c r="U82" s="49" t="str">
        <f t="shared" si="21"/>
        <v/>
      </c>
      <c r="V82" s="49" t="str">
        <f t="shared" si="22"/>
        <v/>
      </c>
      <c r="W82" s="49" t="str">
        <f t="shared" si="23"/>
        <v/>
      </c>
      <c r="X82" s="49" t="str">
        <f t="shared" si="24"/>
        <v/>
      </c>
      <c r="Y82" s="49"/>
      <c r="Z82" s="49" t="s">
        <v>114</v>
      </c>
      <c r="AA82" s="49" t="str">
        <f t="shared" si="30"/>
        <v>F</v>
      </c>
      <c r="AB82" s="61"/>
      <c r="AC82" s="61"/>
      <c r="AD82" s="61" t="str">
        <f>IF(O82="개량",ROUND(VLOOKUP($F82,'개량사업비 산정기준'!$A$5:$I$23,2,FALSE)/1000,0),"")</f>
        <v/>
      </c>
      <c r="AE82" s="61"/>
      <c r="AF82" s="61" t="str">
        <f>IF(Q82="개량",ROUND(VLOOKUP($F82,'개량사업비 산정기준'!$A$5:$I$23,6,FALSE)/1000,0),"")</f>
        <v/>
      </c>
      <c r="AG82" s="61" t="str">
        <f>IF(R82="개량",ROUND(VLOOKUP($F82,'개량사업비 산정기준'!$A$5:$I$23,7,FALSE)/1000,0),"")</f>
        <v/>
      </c>
      <c r="AH82" s="61" t="str">
        <f>IF(S82="개량",ROUND(((AB82*'개량사업비 산정기준'!$B$34)+(AC82*'개량사업비 산정기준'!$C$34))/1000000,0),"")</f>
        <v/>
      </c>
      <c r="AI82" s="61"/>
      <c r="AJ82" s="61" t="str">
        <f>IF($AA82="D",ROUND('개량사업비 산정기준'!$F$56/1000,0),IF($AA82="E",ROUND('개량사업비 산정기준'!$F$56/1000,0),""))</f>
        <v/>
      </c>
      <c r="AK82" s="61">
        <f t="shared" si="31"/>
        <v>0</v>
      </c>
      <c r="AL82" s="61"/>
      <c r="AM82" s="61">
        <f t="shared" si="32"/>
        <v>0</v>
      </c>
      <c r="AN82" s="61">
        <f t="shared" si="33"/>
        <v>0</v>
      </c>
      <c r="AO82" s="61">
        <f t="shared" si="34"/>
        <v>0</v>
      </c>
      <c r="AP82" s="61">
        <f t="shared" si="35"/>
        <v>0</v>
      </c>
      <c r="AQ82" s="49"/>
    </row>
    <row r="83" spans="1:43" ht="20.100000000000001" customHeight="1">
      <c r="A83" s="49" t="s">
        <v>446</v>
      </c>
      <c r="B83" s="49">
        <v>77</v>
      </c>
      <c r="C83" s="56" t="s">
        <v>250</v>
      </c>
      <c r="D83" s="56" t="s">
        <v>231</v>
      </c>
      <c r="E83" s="56" t="s">
        <v>249</v>
      </c>
      <c r="F83" s="49">
        <f>VLOOKUP(C83,'[1]논산시 마을상수도'!$E$5:$K$171,6,FALSE)</f>
        <v>60</v>
      </c>
      <c r="G83" s="49">
        <f>VLOOKUP(C83,'[1]논산시 마을상수도'!$E$5:$K$171,3,FALSE)</f>
        <v>2007</v>
      </c>
      <c r="H83" s="49">
        <f>VLOOKUP($C83,'[1]논산시 마을상수도'!$E$5:$K$171,4,FALSE)</f>
        <v>27</v>
      </c>
      <c r="I83" s="49">
        <f>VLOOKUP($E83,'[2]마을_소규모 인접거리'!$D$8:$P$167,8,FALSE)</f>
        <v>2007</v>
      </c>
      <c r="J83" s="49"/>
      <c r="K83" s="49">
        <f>VLOOKUP($E83,'[2]마을_소규모 인접거리'!$D$8:$P$167,12,FALSE)</f>
        <v>2007</v>
      </c>
      <c r="L83" s="49">
        <f t="shared" si="25"/>
        <v>2007</v>
      </c>
      <c r="M83" s="49">
        <v>2007</v>
      </c>
      <c r="N83" s="49">
        <v>2020</v>
      </c>
      <c r="O83" s="49" t="str">
        <f t="shared" si="26"/>
        <v/>
      </c>
      <c r="P83" s="49"/>
      <c r="Q83" s="49" t="str">
        <f t="shared" si="27"/>
        <v/>
      </c>
      <c r="R83" s="49" t="str">
        <f t="shared" si="28"/>
        <v/>
      </c>
      <c r="S83" s="49" t="str">
        <f t="shared" si="29"/>
        <v/>
      </c>
      <c r="T83" s="49" t="str">
        <f t="shared" si="20"/>
        <v/>
      </c>
      <c r="U83" s="49" t="str">
        <f t="shared" si="21"/>
        <v/>
      </c>
      <c r="V83" s="49" t="str">
        <f t="shared" si="22"/>
        <v/>
      </c>
      <c r="W83" s="49" t="str">
        <f t="shared" si="23"/>
        <v/>
      </c>
      <c r="X83" s="49" t="str">
        <f t="shared" si="24"/>
        <v/>
      </c>
      <c r="Y83" s="49"/>
      <c r="Z83" s="49" t="s">
        <v>114</v>
      </c>
      <c r="AA83" s="49" t="str">
        <f t="shared" si="30"/>
        <v>F</v>
      </c>
      <c r="AB83" s="61"/>
      <c r="AC83" s="61"/>
      <c r="AD83" s="61" t="str">
        <f>IF(O83="개량",ROUND(VLOOKUP($F83,'개량사업비 산정기준'!$A$5:$I$23,2,FALSE)/1000,0),"")</f>
        <v/>
      </c>
      <c r="AE83" s="61"/>
      <c r="AF83" s="61" t="str">
        <f>IF(Q83="개량",ROUND(VLOOKUP($F83,'개량사업비 산정기준'!$A$5:$I$23,6,FALSE)/1000,0),"")</f>
        <v/>
      </c>
      <c r="AG83" s="61" t="str">
        <f>IF(R83="개량",ROUND(VLOOKUP($F83,'개량사업비 산정기준'!$A$5:$I$23,7,FALSE)/1000,0),"")</f>
        <v/>
      </c>
      <c r="AH83" s="61" t="str">
        <f>IF(S83="개량",ROUND(((AB83*'개량사업비 산정기준'!$B$34)+(AC83*'개량사업비 산정기준'!$C$34))/1000000,0),"")</f>
        <v/>
      </c>
      <c r="AI83" s="61"/>
      <c r="AJ83" s="61" t="str">
        <f>IF($AA83="D",ROUND('개량사업비 산정기준'!$F$56/1000,0),IF($AA83="E",ROUND('개량사업비 산정기준'!$F$56/1000,0),""))</f>
        <v/>
      </c>
      <c r="AK83" s="61">
        <f t="shared" si="31"/>
        <v>0</v>
      </c>
      <c r="AL83" s="61"/>
      <c r="AM83" s="61">
        <f t="shared" si="32"/>
        <v>0</v>
      </c>
      <c r="AN83" s="61">
        <f t="shared" si="33"/>
        <v>0</v>
      </c>
      <c r="AO83" s="61">
        <f t="shared" si="34"/>
        <v>0</v>
      </c>
      <c r="AP83" s="61">
        <f t="shared" si="35"/>
        <v>0</v>
      </c>
      <c r="AQ83" s="49"/>
    </row>
    <row r="84" spans="1:43" ht="20.100000000000001" customHeight="1">
      <c r="A84" s="49" t="s">
        <v>446</v>
      </c>
      <c r="B84" s="49">
        <v>78</v>
      </c>
      <c r="C84" s="56" t="s">
        <v>253</v>
      </c>
      <c r="D84" s="56" t="s">
        <v>251</v>
      </c>
      <c r="E84" s="59" t="s">
        <v>252</v>
      </c>
      <c r="F84" s="49">
        <f>VLOOKUP(C84,'[1]논산시 마을상수도'!$E$5:$K$171,6,FALSE)</f>
        <v>80</v>
      </c>
      <c r="G84" s="49">
        <f>VLOOKUP(C84,'[1]논산시 마을상수도'!$E$5:$K$171,3,FALSE)</f>
        <v>2003</v>
      </c>
      <c r="H84" s="49">
        <f>VLOOKUP($C84,'[1]논산시 마을상수도'!$E$5:$K$171,4,FALSE)</f>
        <v>50</v>
      </c>
      <c r="I84" s="49" t="str">
        <f>VLOOKUP($E84,'[2]마을_소규모 인접거리'!$D$8:$P$167,8,FALSE)</f>
        <v>2009</v>
      </c>
      <c r="J84" s="49"/>
      <c r="K84" s="49">
        <f>VLOOKUP($E84,'[2]마을_소규모 인접거리'!$D$8:$P$167,12,FALSE)</f>
        <v>2003</v>
      </c>
      <c r="L84" s="49">
        <f t="shared" si="25"/>
        <v>2003</v>
      </c>
      <c r="M84" s="49">
        <v>2003</v>
      </c>
      <c r="N84" s="49">
        <v>2025</v>
      </c>
      <c r="O84" s="49" t="str">
        <f t="shared" si="26"/>
        <v/>
      </c>
      <c r="P84" s="49"/>
      <c r="Q84" s="49" t="str">
        <f t="shared" si="27"/>
        <v/>
      </c>
      <c r="R84" s="49" t="str">
        <f t="shared" si="28"/>
        <v/>
      </c>
      <c r="S84" s="49" t="str">
        <f t="shared" si="29"/>
        <v/>
      </c>
      <c r="T84" s="49" t="str">
        <f t="shared" si="20"/>
        <v/>
      </c>
      <c r="U84" s="49" t="str">
        <f t="shared" si="21"/>
        <v/>
      </c>
      <c r="V84" s="49" t="str">
        <f t="shared" si="22"/>
        <v/>
      </c>
      <c r="W84" s="49" t="str">
        <f t="shared" si="23"/>
        <v/>
      </c>
      <c r="X84" s="49" t="str">
        <f t="shared" si="24"/>
        <v/>
      </c>
      <c r="Y84" s="49">
        <v>2</v>
      </c>
      <c r="Z84" s="49" t="s">
        <v>114</v>
      </c>
      <c r="AA84" s="49" t="str">
        <f t="shared" si="30"/>
        <v>E</v>
      </c>
      <c r="AB84" s="61"/>
      <c r="AC84" s="61"/>
      <c r="AD84" s="61" t="str">
        <f>IF(O84="개량",ROUND(VLOOKUP($F84,'개량사업비 산정기준'!$A$5:$I$23,2,FALSE)/1000,0),"")</f>
        <v/>
      </c>
      <c r="AE84" s="61"/>
      <c r="AF84" s="61" t="str">
        <f>IF(Q84="개량",ROUND(VLOOKUP($F84,'개량사업비 산정기준'!$A$5:$I$23,6,FALSE)/1000,0),"")</f>
        <v/>
      </c>
      <c r="AG84" s="61" t="str">
        <f>IF(R84="개량",ROUND(VLOOKUP($F84,'개량사업비 산정기준'!$A$5:$I$23,7,FALSE)/1000,0),"")</f>
        <v/>
      </c>
      <c r="AH84" s="61" t="str">
        <f>IF(S84="개량",ROUND(((AB84*'개량사업비 산정기준'!$B$34)+(AC84*'개량사업비 산정기준'!$C$34))/1000000,0),"")</f>
        <v/>
      </c>
      <c r="AI84" s="61"/>
      <c r="AJ84" s="61">
        <f>IF($AA84="D",ROUND('개량사업비 산정기준'!$F$56/1000,0),IF($AA84="E",ROUND('개량사업비 산정기준'!$F$56/1000,0),""))</f>
        <v>48</v>
      </c>
      <c r="AK84" s="61">
        <f t="shared" si="31"/>
        <v>48</v>
      </c>
      <c r="AL84" s="61">
        <v>2</v>
      </c>
      <c r="AM84" s="61">
        <f t="shared" si="32"/>
        <v>0</v>
      </c>
      <c r="AN84" s="61">
        <f t="shared" si="33"/>
        <v>48</v>
      </c>
      <c r="AO84" s="61">
        <f t="shared" si="34"/>
        <v>0</v>
      </c>
      <c r="AP84" s="61">
        <f t="shared" si="35"/>
        <v>0</v>
      </c>
      <c r="AQ84" s="49"/>
    </row>
    <row r="85" spans="1:43" ht="20.100000000000001" customHeight="1">
      <c r="A85" s="49" t="s">
        <v>446</v>
      </c>
      <c r="B85" s="49">
        <v>79</v>
      </c>
      <c r="C85" s="56" t="s">
        <v>255</v>
      </c>
      <c r="D85" s="56" t="s">
        <v>251</v>
      </c>
      <c r="E85" s="59" t="s">
        <v>254</v>
      </c>
      <c r="F85" s="49">
        <f>VLOOKUP(C85,'[1]논산시 마을상수도'!$E$5:$K$171,6,FALSE)</f>
        <v>110</v>
      </c>
      <c r="G85" s="49">
        <f>VLOOKUP(C85,'[1]논산시 마을상수도'!$E$5:$K$171,3,FALSE)</f>
        <v>2004</v>
      </c>
      <c r="H85" s="49">
        <f>VLOOKUP($C85,'[1]논산시 마을상수도'!$E$5:$K$171,4,FALSE)</f>
        <v>69</v>
      </c>
      <c r="I85" s="49">
        <f>VLOOKUP($E85,'[2]마을_소규모 인접거리'!$D$8:$P$167,8,FALSE)</f>
        <v>2004</v>
      </c>
      <c r="J85" s="49"/>
      <c r="K85" s="49">
        <f>VLOOKUP($E85,'[2]마을_소규모 인접거리'!$D$8:$P$167,12,FALSE)</f>
        <v>2004</v>
      </c>
      <c r="L85" s="49">
        <f t="shared" si="25"/>
        <v>2004</v>
      </c>
      <c r="M85" s="49">
        <v>2004</v>
      </c>
      <c r="N85" s="49">
        <v>2025</v>
      </c>
      <c r="O85" s="49" t="str">
        <f t="shared" si="26"/>
        <v/>
      </c>
      <c r="P85" s="49"/>
      <c r="Q85" s="49" t="str">
        <f t="shared" si="27"/>
        <v/>
      </c>
      <c r="R85" s="49" t="str">
        <f t="shared" si="28"/>
        <v/>
      </c>
      <c r="S85" s="49" t="str">
        <f t="shared" si="29"/>
        <v/>
      </c>
      <c r="T85" s="49" t="str">
        <f t="shared" si="20"/>
        <v/>
      </c>
      <c r="U85" s="49" t="str">
        <f t="shared" si="21"/>
        <v/>
      </c>
      <c r="V85" s="49" t="str">
        <f t="shared" si="22"/>
        <v/>
      </c>
      <c r="W85" s="49" t="str">
        <f t="shared" si="23"/>
        <v/>
      </c>
      <c r="X85" s="49" t="str">
        <f t="shared" si="24"/>
        <v/>
      </c>
      <c r="Y85" s="49">
        <v>2</v>
      </c>
      <c r="Z85" s="49" t="s">
        <v>114</v>
      </c>
      <c r="AA85" s="49" t="str">
        <f t="shared" si="30"/>
        <v>E</v>
      </c>
      <c r="AB85" s="61"/>
      <c r="AC85" s="61"/>
      <c r="AD85" s="61" t="str">
        <f>IF(O85="개량",ROUND(VLOOKUP($F85,'개량사업비 산정기준'!$A$5:$I$23,2,FALSE)/1000,0),"")</f>
        <v/>
      </c>
      <c r="AE85" s="61"/>
      <c r="AF85" s="61" t="str">
        <f>IF(Q85="개량",ROUND(VLOOKUP($F85,'개량사업비 산정기준'!$A$5:$I$23,6,FALSE)/1000,0),"")</f>
        <v/>
      </c>
      <c r="AG85" s="61" t="str">
        <f>IF(R85="개량",ROUND(VLOOKUP($F85,'개량사업비 산정기준'!$A$5:$I$23,7,FALSE)/1000,0),"")</f>
        <v/>
      </c>
      <c r="AH85" s="61" t="str">
        <f>IF(S85="개량",ROUND(((AB85*'개량사업비 산정기준'!$B$34)+(AC85*'개량사업비 산정기준'!$C$34))/1000000,0),"")</f>
        <v/>
      </c>
      <c r="AI85" s="61"/>
      <c r="AJ85" s="61">
        <f>IF($AA85="D",ROUND('개량사업비 산정기준'!$F$56/1000,0),IF($AA85="E",ROUND('개량사업비 산정기준'!$F$56/1000,0),""))</f>
        <v>48</v>
      </c>
      <c r="AK85" s="61">
        <f t="shared" si="31"/>
        <v>48</v>
      </c>
      <c r="AL85" s="61">
        <v>2</v>
      </c>
      <c r="AM85" s="61">
        <f t="shared" si="32"/>
        <v>0</v>
      </c>
      <c r="AN85" s="61">
        <f t="shared" si="33"/>
        <v>48</v>
      </c>
      <c r="AO85" s="61">
        <f t="shared" si="34"/>
        <v>0</v>
      </c>
      <c r="AP85" s="61">
        <f t="shared" si="35"/>
        <v>0</v>
      </c>
      <c r="AQ85" s="49"/>
    </row>
    <row r="86" spans="1:43" ht="20.100000000000001" customHeight="1">
      <c r="A86" s="49" t="s">
        <v>446</v>
      </c>
      <c r="B86" s="49">
        <v>80</v>
      </c>
      <c r="C86" s="56" t="s">
        <v>257</v>
      </c>
      <c r="D86" s="56" t="s">
        <v>251</v>
      </c>
      <c r="E86" s="59" t="s">
        <v>256</v>
      </c>
      <c r="F86" s="49">
        <f>VLOOKUP(C86,'[1]논산시 마을상수도'!$E$5:$K$171,6,FALSE)</f>
        <v>50</v>
      </c>
      <c r="G86" s="49">
        <f>VLOOKUP(C86,'[1]논산시 마을상수도'!$E$5:$K$171,3,FALSE)</f>
        <v>2006</v>
      </c>
      <c r="H86" s="49">
        <f>VLOOKUP($C86,'[1]논산시 마을상수도'!$E$5:$K$171,4,FALSE)</f>
        <v>38</v>
      </c>
      <c r="I86" s="49">
        <f>VLOOKUP($E86,'[2]마을_소규모 인접거리'!$D$8:$P$167,8,FALSE)</f>
        <v>2006</v>
      </c>
      <c r="J86" s="49"/>
      <c r="K86" s="49">
        <f>VLOOKUP($E86,'[2]마을_소규모 인접거리'!$D$8:$P$167,12,FALSE)</f>
        <v>2006</v>
      </c>
      <c r="L86" s="49">
        <f t="shared" si="25"/>
        <v>2006</v>
      </c>
      <c r="M86" s="49">
        <v>2006</v>
      </c>
      <c r="N86" s="49">
        <v>2025</v>
      </c>
      <c r="O86" s="49" t="str">
        <f t="shared" si="26"/>
        <v/>
      </c>
      <c r="P86" s="49"/>
      <c r="Q86" s="49" t="str">
        <f t="shared" si="27"/>
        <v/>
      </c>
      <c r="R86" s="49" t="str">
        <f t="shared" si="28"/>
        <v/>
      </c>
      <c r="S86" s="49" t="str">
        <f t="shared" si="29"/>
        <v/>
      </c>
      <c r="T86" s="49" t="str">
        <f t="shared" si="20"/>
        <v/>
      </c>
      <c r="U86" s="49" t="str">
        <f t="shared" si="21"/>
        <v/>
      </c>
      <c r="V86" s="49" t="str">
        <f t="shared" si="22"/>
        <v/>
      </c>
      <c r="W86" s="49" t="str">
        <f t="shared" si="23"/>
        <v/>
      </c>
      <c r="X86" s="49" t="str">
        <f t="shared" si="24"/>
        <v/>
      </c>
      <c r="Y86" s="49">
        <v>2</v>
      </c>
      <c r="Z86" s="49" t="s">
        <v>114</v>
      </c>
      <c r="AA86" s="49" t="str">
        <f t="shared" si="30"/>
        <v>E</v>
      </c>
      <c r="AB86" s="61"/>
      <c r="AC86" s="61"/>
      <c r="AD86" s="61" t="str">
        <f>IF(O86="개량",ROUND(VLOOKUP($F86,'개량사업비 산정기준'!$A$5:$I$23,2,FALSE)/1000,0),"")</f>
        <v/>
      </c>
      <c r="AE86" s="61"/>
      <c r="AF86" s="61" t="str">
        <f>IF(Q86="개량",ROUND(VLOOKUP($F86,'개량사업비 산정기준'!$A$5:$I$23,6,FALSE)/1000,0),"")</f>
        <v/>
      </c>
      <c r="AG86" s="61" t="str">
        <f>IF(R86="개량",ROUND(VLOOKUP($F86,'개량사업비 산정기준'!$A$5:$I$23,7,FALSE)/1000,0),"")</f>
        <v/>
      </c>
      <c r="AH86" s="61" t="str">
        <f>IF(S86="개량",ROUND(((AB86*'개량사업비 산정기준'!$B$34)+(AC86*'개량사업비 산정기준'!$C$34))/1000000,0),"")</f>
        <v/>
      </c>
      <c r="AI86" s="61"/>
      <c r="AJ86" s="61">
        <f>IF($AA86="D",ROUND('개량사업비 산정기준'!$F$56/1000,0),IF($AA86="E",ROUND('개량사업비 산정기준'!$F$56/1000,0),""))</f>
        <v>48</v>
      </c>
      <c r="AK86" s="61">
        <f t="shared" si="31"/>
        <v>48</v>
      </c>
      <c r="AL86" s="61">
        <v>2</v>
      </c>
      <c r="AM86" s="61">
        <f t="shared" si="32"/>
        <v>0</v>
      </c>
      <c r="AN86" s="61">
        <f t="shared" si="33"/>
        <v>48</v>
      </c>
      <c r="AO86" s="61">
        <f t="shared" si="34"/>
        <v>0</v>
      </c>
      <c r="AP86" s="61">
        <f t="shared" si="35"/>
        <v>0</v>
      </c>
      <c r="AQ86" s="49"/>
    </row>
    <row r="87" spans="1:43" ht="20.100000000000001" customHeight="1">
      <c r="A87" s="49" t="s">
        <v>446</v>
      </c>
      <c r="B87" s="49">
        <v>81</v>
      </c>
      <c r="C87" s="56" t="s">
        <v>258</v>
      </c>
      <c r="D87" s="56" t="s">
        <v>251</v>
      </c>
      <c r="E87" s="59" t="s">
        <v>61</v>
      </c>
      <c r="F87" s="49">
        <f>VLOOKUP(C87,'[1]논산시 마을상수도'!$E$5:$K$171,6,FALSE)</f>
        <v>100</v>
      </c>
      <c r="G87" s="49">
        <f>VLOOKUP(C87,'[1]논산시 마을상수도'!$E$5:$K$171,3,FALSE)</f>
        <v>2009</v>
      </c>
      <c r="H87" s="49">
        <f>VLOOKUP($C87,'[1]논산시 마을상수도'!$E$5:$K$171,4,FALSE)</f>
        <v>50</v>
      </c>
      <c r="I87" s="49">
        <f>VLOOKUP($E87,'[2]마을_소규모 인접거리'!$D$8:$P$167,8,FALSE)</f>
        <v>2009</v>
      </c>
      <c r="J87" s="49"/>
      <c r="K87" s="49">
        <f>VLOOKUP($E87,'[2]마을_소규모 인접거리'!$D$8:$P$167,12,FALSE)</f>
        <v>2009</v>
      </c>
      <c r="L87" s="49">
        <f t="shared" si="25"/>
        <v>2009</v>
      </c>
      <c r="M87" s="49">
        <v>2009</v>
      </c>
      <c r="N87" s="49">
        <v>2025</v>
      </c>
      <c r="O87" s="49" t="str">
        <f t="shared" si="26"/>
        <v/>
      </c>
      <c r="P87" s="49"/>
      <c r="Q87" s="49" t="str">
        <f t="shared" si="27"/>
        <v/>
      </c>
      <c r="R87" s="49" t="str">
        <f t="shared" si="28"/>
        <v/>
      </c>
      <c r="S87" s="49" t="str">
        <f t="shared" si="29"/>
        <v/>
      </c>
      <c r="T87" s="49" t="str">
        <f t="shared" si="20"/>
        <v/>
      </c>
      <c r="U87" s="49" t="str">
        <f t="shared" si="21"/>
        <v/>
      </c>
      <c r="V87" s="49" t="str">
        <f t="shared" si="22"/>
        <v/>
      </c>
      <c r="W87" s="49" t="str">
        <f t="shared" si="23"/>
        <v/>
      </c>
      <c r="X87" s="49" t="str">
        <f t="shared" si="24"/>
        <v/>
      </c>
      <c r="Y87" s="49">
        <v>2</v>
      </c>
      <c r="Z87" s="49" t="s">
        <v>114</v>
      </c>
      <c r="AA87" s="49" t="str">
        <f t="shared" si="30"/>
        <v>E</v>
      </c>
      <c r="AB87" s="61"/>
      <c r="AC87" s="61"/>
      <c r="AD87" s="61" t="str">
        <f>IF(O87="개량",ROUND(VLOOKUP($F87,'개량사업비 산정기준'!$A$5:$I$23,2,FALSE)/1000,0),"")</f>
        <v/>
      </c>
      <c r="AE87" s="61"/>
      <c r="AF87" s="61" t="str">
        <f>IF(Q87="개량",ROUND(VLOOKUP($F87,'개량사업비 산정기준'!$A$5:$I$23,6,FALSE)/1000,0),"")</f>
        <v/>
      </c>
      <c r="AG87" s="61" t="str">
        <f>IF(R87="개량",ROUND(VLOOKUP($F87,'개량사업비 산정기준'!$A$5:$I$23,7,FALSE)/1000,0),"")</f>
        <v/>
      </c>
      <c r="AH87" s="61" t="str">
        <f>IF(S87="개량",ROUND(((AB87*'개량사업비 산정기준'!$B$34)+(AC87*'개량사업비 산정기준'!$C$34))/1000000,0),"")</f>
        <v/>
      </c>
      <c r="AI87" s="61"/>
      <c r="AJ87" s="61">
        <f>IF($AA87="D",ROUND('개량사업비 산정기준'!$F$56/1000,0),IF($AA87="E",ROUND('개량사업비 산정기준'!$F$56/1000,0),""))</f>
        <v>48</v>
      </c>
      <c r="AK87" s="61">
        <f t="shared" si="31"/>
        <v>48</v>
      </c>
      <c r="AL87" s="61">
        <v>2</v>
      </c>
      <c r="AM87" s="61">
        <f t="shared" si="32"/>
        <v>0</v>
      </c>
      <c r="AN87" s="61">
        <f t="shared" si="33"/>
        <v>48</v>
      </c>
      <c r="AO87" s="61">
        <f t="shared" si="34"/>
        <v>0</v>
      </c>
      <c r="AP87" s="61">
        <f t="shared" si="35"/>
        <v>0</v>
      </c>
      <c r="AQ87" s="49"/>
    </row>
    <row r="88" spans="1:43" ht="20.100000000000001" customHeight="1">
      <c r="A88" s="49" t="s">
        <v>446</v>
      </c>
      <c r="B88" s="49">
        <v>82</v>
      </c>
      <c r="C88" s="56" t="s">
        <v>259</v>
      </c>
      <c r="D88" s="56" t="s">
        <v>251</v>
      </c>
      <c r="E88" s="59" t="s">
        <v>62</v>
      </c>
      <c r="F88" s="49">
        <f>VLOOKUP(C88,'[1]논산시 마을상수도'!$E$5:$K$171,6,FALSE)</f>
        <v>110</v>
      </c>
      <c r="G88" s="49">
        <f>VLOOKUP(C88,'[1]논산시 마을상수도'!$E$5:$K$171,3,FALSE)</f>
        <v>2009</v>
      </c>
      <c r="H88" s="49">
        <f>VLOOKUP($C88,'[1]논산시 마을상수도'!$E$5:$K$171,4,FALSE)</f>
        <v>54</v>
      </c>
      <c r="I88" s="49">
        <f>VLOOKUP($E88,'[2]마을_소규모 인접거리'!$D$8:$P$167,8,FALSE)</f>
        <v>2009</v>
      </c>
      <c r="J88" s="49"/>
      <c r="K88" s="49">
        <f>VLOOKUP($E88,'[2]마을_소규모 인접거리'!$D$8:$P$167,12,FALSE)</f>
        <v>2009</v>
      </c>
      <c r="L88" s="49">
        <f t="shared" si="25"/>
        <v>2009</v>
      </c>
      <c r="M88" s="49">
        <v>2009</v>
      </c>
      <c r="N88" s="49">
        <v>2025</v>
      </c>
      <c r="O88" s="49" t="str">
        <f t="shared" si="26"/>
        <v/>
      </c>
      <c r="P88" s="49"/>
      <c r="Q88" s="49" t="str">
        <f t="shared" si="27"/>
        <v/>
      </c>
      <c r="R88" s="49" t="str">
        <f t="shared" si="28"/>
        <v/>
      </c>
      <c r="S88" s="49" t="str">
        <f t="shared" si="29"/>
        <v/>
      </c>
      <c r="T88" s="49" t="str">
        <f t="shared" si="20"/>
        <v/>
      </c>
      <c r="U88" s="49" t="str">
        <f t="shared" si="21"/>
        <v/>
      </c>
      <c r="V88" s="49" t="str">
        <f t="shared" si="22"/>
        <v/>
      </c>
      <c r="W88" s="49" t="str">
        <f t="shared" si="23"/>
        <v/>
      </c>
      <c r="X88" s="49" t="str">
        <f t="shared" si="24"/>
        <v/>
      </c>
      <c r="Y88" s="49">
        <v>2</v>
      </c>
      <c r="Z88" s="49" t="s">
        <v>114</v>
      </c>
      <c r="AA88" s="49" t="str">
        <f t="shared" si="30"/>
        <v>E</v>
      </c>
      <c r="AB88" s="61"/>
      <c r="AC88" s="61"/>
      <c r="AD88" s="61" t="str">
        <f>IF(O88="개량",ROUND(VLOOKUP($F88,'개량사업비 산정기준'!$A$5:$I$23,2,FALSE)/1000,0),"")</f>
        <v/>
      </c>
      <c r="AE88" s="61"/>
      <c r="AF88" s="61" t="str">
        <f>IF(Q88="개량",ROUND(VLOOKUP($F88,'개량사업비 산정기준'!$A$5:$I$23,6,FALSE)/1000,0),"")</f>
        <v/>
      </c>
      <c r="AG88" s="61" t="str">
        <f>IF(R88="개량",ROUND(VLOOKUP($F88,'개량사업비 산정기준'!$A$5:$I$23,7,FALSE)/1000,0),"")</f>
        <v/>
      </c>
      <c r="AH88" s="61" t="str">
        <f>IF(S88="개량",ROUND(((AB88*'개량사업비 산정기준'!$B$34)+(AC88*'개량사업비 산정기준'!$C$34))/1000000,0),"")</f>
        <v/>
      </c>
      <c r="AI88" s="61"/>
      <c r="AJ88" s="61">
        <f>IF($AA88="D",ROUND('개량사업비 산정기준'!$F$56/1000,0),IF($AA88="E",ROUND('개량사업비 산정기준'!$F$56/1000,0),""))</f>
        <v>48</v>
      </c>
      <c r="AK88" s="61">
        <f t="shared" si="31"/>
        <v>48</v>
      </c>
      <c r="AL88" s="61">
        <v>2</v>
      </c>
      <c r="AM88" s="61">
        <f t="shared" si="32"/>
        <v>0</v>
      </c>
      <c r="AN88" s="61">
        <f t="shared" si="33"/>
        <v>48</v>
      </c>
      <c r="AO88" s="61">
        <f t="shared" si="34"/>
        <v>0</v>
      </c>
      <c r="AP88" s="61">
        <f t="shared" si="35"/>
        <v>0</v>
      </c>
      <c r="AQ88" s="49"/>
    </row>
    <row r="89" spans="1:43" ht="20.100000000000001" customHeight="1">
      <c r="A89" s="49" t="s">
        <v>446</v>
      </c>
      <c r="B89" s="49">
        <v>83</v>
      </c>
      <c r="C89" s="56" t="s">
        <v>261</v>
      </c>
      <c r="D89" s="56" t="s">
        <v>251</v>
      </c>
      <c r="E89" s="59" t="s">
        <v>260</v>
      </c>
      <c r="F89" s="49">
        <f>VLOOKUP(C89,'[1]논산시 마을상수도'!$E$5:$K$171,6,FALSE)</f>
        <v>60</v>
      </c>
      <c r="G89" s="49">
        <f>VLOOKUP(C89,'[1]논산시 마을상수도'!$E$5:$K$171,3,FALSE)</f>
        <v>2012</v>
      </c>
      <c r="H89" s="49">
        <f>VLOOKUP($C89,'[1]논산시 마을상수도'!$E$5:$K$171,4,FALSE)</f>
        <v>46</v>
      </c>
      <c r="I89" s="49" t="str">
        <f>VLOOKUP($E89,'[2]마을_소규모 인접거리'!$D$8:$P$167,8,FALSE)</f>
        <v>2012</v>
      </c>
      <c r="J89" s="49"/>
      <c r="K89" s="49" t="str">
        <f>VLOOKUP($E89,'[2]마을_소규모 인접거리'!$D$8:$P$167,12,FALSE)</f>
        <v>2012</v>
      </c>
      <c r="L89" s="49" t="str">
        <f t="shared" si="25"/>
        <v>2012</v>
      </c>
      <c r="M89" s="49">
        <v>2012</v>
      </c>
      <c r="N89" s="49">
        <v>2025</v>
      </c>
      <c r="O89" s="49" t="str">
        <f t="shared" si="26"/>
        <v/>
      </c>
      <c r="P89" s="49"/>
      <c r="Q89" s="49" t="str">
        <f t="shared" si="27"/>
        <v/>
      </c>
      <c r="R89" s="49" t="str">
        <f t="shared" si="28"/>
        <v/>
      </c>
      <c r="S89" s="49" t="str">
        <f t="shared" si="29"/>
        <v/>
      </c>
      <c r="T89" s="49" t="str">
        <f t="shared" si="20"/>
        <v/>
      </c>
      <c r="U89" s="49" t="str">
        <f t="shared" si="21"/>
        <v/>
      </c>
      <c r="V89" s="49" t="str">
        <f t="shared" si="22"/>
        <v/>
      </c>
      <c r="W89" s="49" t="str">
        <f t="shared" si="23"/>
        <v/>
      </c>
      <c r="X89" s="49" t="str">
        <f t="shared" si="24"/>
        <v/>
      </c>
      <c r="Y89" s="49">
        <v>2</v>
      </c>
      <c r="Z89" s="49" t="s">
        <v>114</v>
      </c>
      <c r="AA89" s="49" t="str">
        <f t="shared" si="30"/>
        <v>E</v>
      </c>
      <c r="AB89" s="61"/>
      <c r="AC89" s="61"/>
      <c r="AD89" s="61" t="str">
        <f>IF(O89="개량",ROUND(VLOOKUP($F89,'개량사업비 산정기준'!$A$5:$I$23,2,FALSE)/1000,0),"")</f>
        <v/>
      </c>
      <c r="AE89" s="61"/>
      <c r="AF89" s="61" t="str">
        <f>IF(Q89="개량",ROUND(VLOOKUP($F89,'개량사업비 산정기준'!$A$5:$I$23,6,FALSE)/1000,0),"")</f>
        <v/>
      </c>
      <c r="AG89" s="61" t="str">
        <f>IF(R89="개량",ROUND(VLOOKUP($F89,'개량사업비 산정기준'!$A$5:$I$23,7,FALSE)/1000,0),"")</f>
        <v/>
      </c>
      <c r="AH89" s="61" t="str">
        <f>IF(S89="개량",ROUND(((AB89*'개량사업비 산정기준'!$B$34)+(AC89*'개량사업비 산정기준'!$C$34))/1000000,0),"")</f>
        <v/>
      </c>
      <c r="AI89" s="61"/>
      <c r="AJ89" s="61">
        <f>IF($AA89="D",ROUND('개량사업비 산정기준'!$F$56/1000,0),IF($AA89="E",ROUND('개량사업비 산정기준'!$F$56/1000,0),""))</f>
        <v>48</v>
      </c>
      <c r="AK89" s="61">
        <f t="shared" si="31"/>
        <v>48</v>
      </c>
      <c r="AL89" s="61">
        <v>2</v>
      </c>
      <c r="AM89" s="61">
        <f t="shared" si="32"/>
        <v>0</v>
      </c>
      <c r="AN89" s="61">
        <f t="shared" si="33"/>
        <v>48</v>
      </c>
      <c r="AO89" s="61">
        <f t="shared" si="34"/>
        <v>0</v>
      </c>
      <c r="AP89" s="61">
        <f t="shared" si="35"/>
        <v>0</v>
      </c>
      <c r="AQ89" s="49"/>
    </row>
    <row r="90" spans="1:43" ht="20.100000000000001" customHeight="1">
      <c r="A90" s="49" t="s">
        <v>446</v>
      </c>
      <c r="B90" s="49">
        <v>84</v>
      </c>
      <c r="C90" s="56" t="s">
        <v>263</v>
      </c>
      <c r="D90" s="56" t="s">
        <v>251</v>
      </c>
      <c r="E90" s="59" t="s">
        <v>262</v>
      </c>
      <c r="F90" s="49">
        <f>VLOOKUP(C90,'[1]논산시 마을상수도'!$E$5:$K$171,6,FALSE)</f>
        <v>60</v>
      </c>
      <c r="G90" s="49">
        <f>VLOOKUP(C90,'[1]논산시 마을상수도'!$E$5:$K$171,3,FALSE)</f>
        <v>2013</v>
      </c>
      <c r="H90" s="49">
        <f>VLOOKUP($C90,'[1]논산시 마을상수도'!$E$5:$K$171,4,FALSE)</f>
        <v>55</v>
      </c>
      <c r="I90" s="49">
        <v>2013</v>
      </c>
      <c r="J90" s="49"/>
      <c r="K90" s="49">
        <v>2013</v>
      </c>
      <c r="L90" s="49">
        <f t="shared" si="25"/>
        <v>2013</v>
      </c>
      <c r="M90" s="49">
        <v>2013</v>
      </c>
      <c r="N90" s="49">
        <v>2025</v>
      </c>
      <c r="O90" s="49" t="str">
        <f t="shared" si="26"/>
        <v/>
      </c>
      <c r="P90" s="49"/>
      <c r="Q90" s="49" t="str">
        <f t="shared" si="27"/>
        <v/>
      </c>
      <c r="R90" s="49" t="str">
        <f t="shared" si="28"/>
        <v/>
      </c>
      <c r="S90" s="49" t="str">
        <f t="shared" si="29"/>
        <v/>
      </c>
      <c r="T90" s="49" t="str">
        <f t="shared" si="20"/>
        <v/>
      </c>
      <c r="U90" s="49" t="str">
        <f t="shared" si="21"/>
        <v/>
      </c>
      <c r="V90" s="49" t="str">
        <f t="shared" si="22"/>
        <v/>
      </c>
      <c r="W90" s="49" t="str">
        <f t="shared" si="23"/>
        <v/>
      </c>
      <c r="X90" s="49" t="str">
        <f t="shared" si="24"/>
        <v/>
      </c>
      <c r="Y90" s="49">
        <v>2</v>
      </c>
      <c r="Z90" s="49" t="s">
        <v>114</v>
      </c>
      <c r="AA90" s="49" t="str">
        <f t="shared" si="30"/>
        <v>E</v>
      </c>
      <c r="AB90" s="61"/>
      <c r="AC90" s="61"/>
      <c r="AD90" s="61" t="str">
        <f>IF(O90="개량",ROUND(VLOOKUP($F90,'개량사업비 산정기준'!$A$5:$I$23,2,FALSE)/1000,0),"")</f>
        <v/>
      </c>
      <c r="AE90" s="61"/>
      <c r="AF90" s="61" t="str">
        <f>IF(Q90="개량",ROUND(VLOOKUP($F90,'개량사업비 산정기준'!$A$5:$I$23,6,FALSE)/1000,0),"")</f>
        <v/>
      </c>
      <c r="AG90" s="61" t="str">
        <f>IF(R90="개량",ROUND(VLOOKUP($F90,'개량사업비 산정기준'!$A$5:$I$23,7,FALSE)/1000,0),"")</f>
        <v/>
      </c>
      <c r="AH90" s="61" t="str">
        <f>IF(S90="개량",ROUND(((AB90*'개량사업비 산정기준'!$B$34)+(AC90*'개량사업비 산정기준'!$C$34))/1000000,0),"")</f>
        <v/>
      </c>
      <c r="AI90" s="61"/>
      <c r="AJ90" s="61">
        <f>IF($AA90="D",ROUND('개량사업비 산정기준'!$F$56/1000,0),IF($AA90="E",ROUND('개량사업비 산정기준'!$F$56/1000,0),""))</f>
        <v>48</v>
      </c>
      <c r="AK90" s="61">
        <f t="shared" si="31"/>
        <v>48</v>
      </c>
      <c r="AL90" s="61">
        <v>2</v>
      </c>
      <c r="AM90" s="61">
        <f t="shared" si="32"/>
        <v>0</v>
      </c>
      <c r="AN90" s="61">
        <f t="shared" si="33"/>
        <v>48</v>
      </c>
      <c r="AO90" s="61">
        <f t="shared" si="34"/>
        <v>0</v>
      </c>
      <c r="AP90" s="61">
        <f t="shared" si="35"/>
        <v>0</v>
      </c>
      <c r="AQ90" s="49"/>
    </row>
    <row r="91" spans="1:43" ht="20.100000000000001" customHeight="1">
      <c r="A91" s="49" t="s">
        <v>446</v>
      </c>
      <c r="B91" s="49">
        <v>85</v>
      </c>
      <c r="C91" s="56" t="s">
        <v>266</v>
      </c>
      <c r="D91" s="56" t="s">
        <v>264</v>
      </c>
      <c r="E91" s="56" t="s">
        <v>265</v>
      </c>
      <c r="F91" s="49">
        <f>VLOOKUP(C91,'[1]논산시 마을상수도'!$E$5:$K$171,6,FALSE)</f>
        <v>80</v>
      </c>
      <c r="G91" s="49">
        <f>VLOOKUP(C91,'[1]논산시 마을상수도'!$E$5:$K$171,3,FALSE)</f>
        <v>1998</v>
      </c>
      <c r="H91" s="49">
        <f>VLOOKUP($C91,'[1]논산시 마을상수도'!$E$5:$K$171,4,FALSE)</f>
        <v>48</v>
      </c>
      <c r="I91" s="49">
        <v>1998</v>
      </c>
      <c r="J91" s="49"/>
      <c r="K91" s="49">
        <v>1998</v>
      </c>
      <c r="L91" s="49">
        <f t="shared" si="25"/>
        <v>1998</v>
      </c>
      <c r="M91" s="49">
        <v>1998</v>
      </c>
      <c r="N91" s="49">
        <v>2020</v>
      </c>
      <c r="O91" s="49" t="str">
        <f t="shared" si="26"/>
        <v/>
      </c>
      <c r="P91" s="49"/>
      <c r="Q91" s="49" t="str">
        <f t="shared" si="27"/>
        <v/>
      </c>
      <c r="R91" s="49" t="str">
        <f t="shared" si="28"/>
        <v/>
      </c>
      <c r="S91" s="49" t="str">
        <f t="shared" si="29"/>
        <v/>
      </c>
      <c r="T91" s="49" t="str">
        <f t="shared" si="20"/>
        <v/>
      </c>
      <c r="U91" s="49" t="str">
        <f t="shared" si="21"/>
        <v/>
      </c>
      <c r="V91" s="49" t="str">
        <f t="shared" si="22"/>
        <v/>
      </c>
      <c r="W91" s="49" t="str">
        <f t="shared" si="23"/>
        <v/>
      </c>
      <c r="X91" s="49" t="str">
        <f t="shared" si="24"/>
        <v/>
      </c>
      <c r="Y91" s="49"/>
      <c r="Z91" s="49" t="s">
        <v>114</v>
      </c>
      <c r="AA91" s="49" t="str">
        <f t="shared" si="30"/>
        <v>F</v>
      </c>
      <c r="AB91" s="61"/>
      <c r="AC91" s="61"/>
      <c r="AD91" s="61" t="str">
        <f>IF(O91="개량",ROUND(VLOOKUP($F91,'개량사업비 산정기준'!$A$5:$I$23,2,FALSE)/1000,0),"")</f>
        <v/>
      </c>
      <c r="AE91" s="61"/>
      <c r="AF91" s="61" t="str">
        <f>IF(Q91="개량",ROUND(VLOOKUP($F91,'개량사업비 산정기준'!$A$5:$I$23,6,FALSE)/1000,0),"")</f>
        <v/>
      </c>
      <c r="AG91" s="61" t="str">
        <f>IF(R91="개량",ROUND(VLOOKUP($F91,'개량사업비 산정기준'!$A$5:$I$23,7,FALSE)/1000,0),"")</f>
        <v/>
      </c>
      <c r="AH91" s="61" t="str">
        <f>IF(S91="개량",ROUND(((AB91*'개량사업비 산정기준'!$B$34)+(AC91*'개량사업비 산정기준'!$C$34))/1000000,0),"")</f>
        <v/>
      </c>
      <c r="AI91" s="61"/>
      <c r="AJ91" s="61" t="str">
        <f>IF($AA91="D",ROUND('개량사업비 산정기준'!$F$56/1000,0),IF($AA91="E",ROUND('개량사업비 산정기준'!$F$56/1000,0),""))</f>
        <v/>
      </c>
      <c r="AK91" s="61">
        <f t="shared" si="31"/>
        <v>0</v>
      </c>
      <c r="AL91" s="61"/>
      <c r="AM91" s="61">
        <f t="shared" si="32"/>
        <v>0</v>
      </c>
      <c r="AN91" s="61">
        <f t="shared" si="33"/>
        <v>0</v>
      </c>
      <c r="AO91" s="61">
        <f t="shared" si="34"/>
        <v>0</v>
      </c>
      <c r="AP91" s="61">
        <f t="shared" si="35"/>
        <v>0</v>
      </c>
      <c r="AQ91" s="49"/>
    </row>
    <row r="92" spans="1:43" ht="20.100000000000001" customHeight="1">
      <c r="A92" s="49" t="s">
        <v>446</v>
      </c>
      <c r="B92" s="49">
        <v>86</v>
      </c>
      <c r="C92" s="56" t="s">
        <v>268</v>
      </c>
      <c r="D92" s="56" t="s">
        <v>264</v>
      </c>
      <c r="E92" s="56" t="s">
        <v>267</v>
      </c>
      <c r="F92" s="49">
        <f>VLOOKUP(C92,'[1]논산시 마을상수도'!$E$5:$K$171,6,FALSE)</f>
        <v>90</v>
      </c>
      <c r="G92" s="49">
        <f>VLOOKUP(C92,'[1]논산시 마을상수도'!$E$5:$K$171,3,FALSE)</f>
        <v>1999</v>
      </c>
      <c r="H92" s="49">
        <f>VLOOKUP($C92,'[1]논산시 마을상수도'!$E$5:$K$171,4,FALSE)</f>
        <v>61</v>
      </c>
      <c r="I92" s="49">
        <f>VLOOKUP($E92,'[2]마을_소규모 인접거리'!$D$8:$P$167,8,FALSE)</f>
        <v>1999</v>
      </c>
      <c r="J92" s="49">
        <v>2009</v>
      </c>
      <c r="K92" s="49">
        <f>VLOOKUP($E92,'[2]마을_소규모 인접거리'!$D$8:$P$167,12,FALSE)</f>
        <v>1999</v>
      </c>
      <c r="L92" s="49">
        <f t="shared" si="25"/>
        <v>1999</v>
      </c>
      <c r="M92" s="49">
        <v>1999</v>
      </c>
      <c r="N92" s="49">
        <v>2020</v>
      </c>
      <c r="O92" s="49" t="str">
        <f t="shared" si="26"/>
        <v/>
      </c>
      <c r="P92" s="49"/>
      <c r="Q92" s="49" t="str">
        <f t="shared" si="27"/>
        <v/>
      </c>
      <c r="R92" s="49" t="str">
        <f t="shared" si="28"/>
        <v/>
      </c>
      <c r="S92" s="49" t="str">
        <f t="shared" si="29"/>
        <v/>
      </c>
      <c r="T92" s="49" t="str">
        <f t="shared" si="20"/>
        <v/>
      </c>
      <c r="U92" s="49" t="str">
        <f t="shared" si="21"/>
        <v/>
      </c>
      <c r="V92" s="49" t="str">
        <f t="shared" si="22"/>
        <v/>
      </c>
      <c r="W92" s="49" t="str">
        <f t="shared" si="23"/>
        <v/>
      </c>
      <c r="X92" s="49" t="str">
        <f t="shared" si="24"/>
        <v/>
      </c>
      <c r="Y92" s="49"/>
      <c r="Z92" s="49" t="s">
        <v>114</v>
      </c>
      <c r="AA92" s="49" t="str">
        <f t="shared" si="30"/>
        <v>F</v>
      </c>
      <c r="AB92" s="61"/>
      <c r="AC92" s="61"/>
      <c r="AD92" s="61" t="str">
        <f>IF(O92="개량",ROUND(VLOOKUP($F92,'개량사업비 산정기준'!$A$5:$I$23,2,FALSE)/1000,0),"")</f>
        <v/>
      </c>
      <c r="AE92" s="61"/>
      <c r="AF92" s="61" t="str">
        <f>IF(Q92="개량",ROUND(VLOOKUP($F92,'개량사업비 산정기준'!$A$5:$I$23,6,FALSE)/1000,0),"")</f>
        <v/>
      </c>
      <c r="AG92" s="61" t="str">
        <f>IF(R92="개량",ROUND(VLOOKUP($F92,'개량사업비 산정기준'!$A$5:$I$23,7,FALSE)/1000,0),"")</f>
        <v/>
      </c>
      <c r="AH92" s="61" t="str">
        <f>IF(S92="개량",ROUND(((AB92*'개량사업비 산정기준'!$B$34)+(AC92*'개량사업비 산정기준'!$C$34))/1000000,0),"")</f>
        <v/>
      </c>
      <c r="AI92" s="61"/>
      <c r="AJ92" s="61" t="str">
        <f>IF($AA92="D",ROUND('개량사업비 산정기준'!$F$56/1000,0),IF($AA92="E",ROUND('개량사업비 산정기준'!$F$56/1000,0),""))</f>
        <v/>
      </c>
      <c r="AK92" s="61">
        <f t="shared" si="31"/>
        <v>0</v>
      </c>
      <c r="AL92" s="61"/>
      <c r="AM92" s="61">
        <f t="shared" si="32"/>
        <v>0</v>
      </c>
      <c r="AN92" s="61">
        <f t="shared" si="33"/>
        <v>0</v>
      </c>
      <c r="AO92" s="61">
        <f t="shared" si="34"/>
        <v>0</v>
      </c>
      <c r="AP92" s="61">
        <f t="shared" si="35"/>
        <v>0</v>
      </c>
      <c r="AQ92" s="49"/>
    </row>
    <row r="93" spans="1:43" ht="20.100000000000001" customHeight="1">
      <c r="A93" s="49" t="s">
        <v>446</v>
      </c>
      <c r="B93" s="49">
        <v>87</v>
      </c>
      <c r="C93" s="56" t="s">
        <v>270</v>
      </c>
      <c r="D93" s="56" t="s">
        <v>264</v>
      </c>
      <c r="E93" s="56" t="s">
        <v>269</v>
      </c>
      <c r="F93" s="49">
        <f>VLOOKUP(C93,'[1]논산시 마을상수도'!$E$5:$K$171,6,FALSE)</f>
        <v>60</v>
      </c>
      <c r="G93" s="49">
        <f>VLOOKUP(C93,'[1]논산시 마을상수도'!$E$5:$K$171,3,FALSE)</f>
        <v>1998</v>
      </c>
      <c r="H93" s="49">
        <f>VLOOKUP($C93,'[1]논산시 마을상수도'!$E$5:$K$171,4,FALSE)</f>
        <v>35</v>
      </c>
      <c r="I93" s="49">
        <v>1998</v>
      </c>
      <c r="J93" s="49"/>
      <c r="K93" s="49">
        <v>1998</v>
      </c>
      <c r="L93" s="49">
        <f t="shared" si="25"/>
        <v>1998</v>
      </c>
      <c r="M93" s="49">
        <v>1998</v>
      </c>
      <c r="N93" s="49">
        <v>2020</v>
      </c>
      <c r="O93" s="49" t="str">
        <f t="shared" si="26"/>
        <v/>
      </c>
      <c r="P93" s="49"/>
      <c r="Q93" s="49" t="str">
        <f t="shared" si="27"/>
        <v/>
      </c>
      <c r="R93" s="49" t="str">
        <f t="shared" si="28"/>
        <v/>
      </c>
      <c r="S93" s="49" t="str">
        <f t="shared" si="29"/>
        <v/>
      </c>
      <c r="T93" s="49" t="str">
        <f t="shared" si="20"/>
        <v/>
      </c>
      <c r="U93" s="49" t="str">
        <f t="shared" si="21"/>
        <v/>
      </c>
      <c r="V93" s="49" t="str">
        <f t="shared" si="22"/>
        <v/>
      </c>
      <c r="W93" s="49" t="str">
        <f t="shared" si="23"/>
        <v/>
      </c>
      <c r="X93" s="49" t="str">
        <f t="shared" si="24"/>
        <v/>
      </c>
      <c r="Y93" s="49"/>
      <c r="Z93" s="49" t="s">
        <v>114</v>
      </c>
      <c r="AA93" s="49" t="str">
        <f t="shared" si="30"/>
        <v>F</v>
      </c>
      <c r="AB93" s="61"/>
      <c r="AC93" s="61"/>
      <c r="AD93" s="61" t="str">
        <f>IF(O93="개량",ROUND(VLOOKUP($F93,'개량사업비 산정기준'!$A$5:$I$23,2,FALSE)/1000,0),"")</f>
        <v/>
      </c>
      <c r="AE93" s="61"/>
      <c r="AF93" s="61" t="str">
        <f>IF(Q93="개량",ROUND(VLOOKUP($F93,'개량사업비 산정기준'!$A$5:$I$23,6,FALSE)/1000,0),"")</f>
        <v/>
      </c>
      <c r="AG93" s="61" t="str">
        <f>IF(R93="개량",ROUND(VLOOKUP($F93,'개량사업비 산정기준'!$A$5:$I$23,7,FALSE)/1000,0),"")</f>
        <v/>
      </c>
      <c r="AH93" s="61" t="str">
        <f>IF(S93="개량",ROUND(((AB93*'개량사업비 산정기준'!$B$34)+(AC93*'개량사업비 산정기준'!$C$34))/1000000,0),"")</f>
        <v/>
      </c>
      <c r="AI93" s="61"/>
      <c r="AJ93" s="61" t="str">
        <f>IF($AA93="D",ROUND('개량사업비 산정기준'!$F$56/1000,0),IF($AA93="E",ROUND('개량사업비 산정기준'!$F$56/1000,0),""))</f>
        <v/>
      </c>
      <c r="AK93" s="61">
        <f t="shared" si="31"/>
        <v>0</v>
      </c>
      <c r="AL93" s="61"/>
      <c r="AM93" s="61">
        <f t="shared" si="32"/>
        <v>0</v>
      </c>
      <c r="AN93" s="61">
        <f t="shared" si="33"/>
        <v>0</v>
      </c>
      <c r="AO93" s="61">
        <f t="shared" si="34"/>
        <v>0</v>
      </c>
      <c r="AP93" s="61">
        <f t="shared" si="35"/>
        <v>0</v>
      </c>
      <c r="AQ93" s="49"/>
    </row>
    <row r="94" spans="1:43" ht="20.100000000000001" customHeight="1">
      <c r="A94" s="49" t="s">
        <v>446</v>
      </c>
      <c r="B94" s="49">
        <v>88</v>
      </c>
      <c r="C94" s="56" t="s">
        <v>272</v>
      </c>
      <c r="D94" s="56" t="s">
        <v>264</v>
      </c>
      <c r="E94" s="56" t="s">
        <v>271</v>
      </c>
      <c r="F94" s="49">
        <f>VLOOKUP(C94,'[1]논산시 마을상수도'!$E$5:$K$171,6,FALSE)</f>
        <v>80</v>
      </c>
      <c r="G94" s="49">
        <f>VLOOKUP(C94,'[1]논산시 마을상수도'!$E$5:$K$171,3,FALSE)</f>
        <v>2000</v>
      </c>
      <c r="H94" s="49">
        <f>VLOOKUP($C94,'[1]논산시 마을상수도'!$E$5:$K$171,4,FALSE)</f>
        <v>36</v>
      </c>
      <c r="I94" s="49">
        <v>2000</v>
      </c>
      <c r="J94" s="49"/>
      <c r="K94" s="49">
        <v>2000</v>
      </c>
      <c r="L94" s="49">
        <f t="shared" si="25"/>
        <v>2000</v>
      </c>
      <c r="M94" s="49">
        <v>2000</v>
      </c>
      <c r="N94" s="49">
        <v>2020</v>
      </c>
      <c r="O94" s="49" t="str">
        <f t="shared" si="26"/>
        <v/>
      </c>
      <c r="P94" s="49"/>
      <c r="Q94" s="49" t="str">
        <f t="shared" si="27"/>
        <v/>
      </c>
      <c r="R94" s="49" t="str">
        <f t="shared" si="28"/>
        <v/>
      </c>
      <c r="S94" s="49" t="str">
        <f t="shared" si="29"/>
        <v/>
      </c>
      <c r="T94" s="49" t="str">
        <f t="shared" si="20"/>
        <v/>
      </c>
      <c r="U94" s="49" t="str">
        <f t="shared" si="21"/>
        <v/>
      </c>
      <c r="V94" s="49" t="str">
        <f t="shared" si="22"/>
        <v/>
      </c>
      <c r="W94" s="49" t="str">
        <f t="shared" si="23"/>
        <v/>
      </c>
      <c r="X94" s="49" t="str">
        <f t="shared" si="24"/>
        <v/>
      </c>
      <c r="Y94" s="49"/>
      <c r="Z94" s="49" t="s">
        <v>114</v>
      </c>
      <c r="AA94" s="49" t="str">
        <f t="shared" si="30"/>
        <v>F</v>
      </c>
      <c r="AB94" s="61"/>
      <c r="AC94" s="61"/>
      <c r="AD94" s="61" t="str">
        <f>IF(O94="개량",ROUND(VLOOKUP($F94,'개량사업비 산정기준'!$A$5:$I$23,2,FALSE)/1000,0),"")</f>
        <v/>
      </c>
      <c r="AE94" s="61"/>
      <c r="AF94" s="61" t="str">
        <f>IF(Q94="개량",ROUND(VLOOKUP($F94,'개량사업비 산정기준'!$A$5:$I$23,6,FALSE)/1000,0),"")</f>
        <v/>
      </c>
      <c r="AG94" s="61" t="str">
        <f>IF(R94="개량",ROUND(VLOOKUP($F94,'개량사업비 산정기준'!$A$5:$I$23,7,FALSE)/1000,0),"")</f>
        <v/>
      </c>
      <c r="AH94" s="61" t="str">
        <f>IF(S94="개량",ROUND(((AB94*'개량사업비 산정기준'!$B$34)+(AC94*'개량사업비 산정기준'!$C$34))/1000000,0),"")</f>
        <v/>
      </c>
      <c r="AI94" s="61"/>
      <c r="AJ94" s="61" t="str">
        <f>IF($AA94="D",ROUND('개량사업비 산정기준'!$F$56/1000,0),IF($AA94="E",ROUND('개량사업비 산정기준'!$F$56/1000,0),""))</f>
        <v/>
      </c>
      <c r="AK94" s="61">
        <f t="shared" si="31"/>
        <v>0</v>
      </c>
      <c r="AL94" s="61"/>
      <c r="AM94" s="61">
        <f t="shared" si="32"/>
        <v>0</v>
      </c>
      <c r="AN94" s="61">
        <f t="shared" si="33"/>
        <v>0</v>
      </c>
      <c r="AO94" s="61">
        <f t="shared" si="34"/>
        <v>0</v>
      </c>
      <c r="AP94" s="61">
        <f t="shared" si="35"/>
        <v>0</v>
      </c>
      <c r="AQ94" s="49"/>
    </row>
    <row r="95" spans="1:43" ht="20.100000000000001" customHeight="1">
      <c r="A95" s="49" t="s">
        <v>454</v>
      </c>
      <c r="B95" s="49">
        <v>89</v>
      </c>
      <c r="C95" s="56" t="s">
        <v>277</v>
      </c>
      <c r="D95" s="56" t="s">
        <v>157</v>
      </c>
      <c r="E95" s="56" t="s">
        <v>276</v>
      </c>
      <c r="F95" s="49">
        <f>VLOOKUP(C95,'[1]논산시 마을상수도'!$E$5:$K$171,6,FALSE)</f>
        <v>60</v>
      </c>
      <c r="G95" s="49">
        <f>VLOOKUP(C95,'[1]논산시 마을상수도'!$E$5:$K$171,3,FALSE)</f>
        <v>1977</v>
      </c>
      <c r="H95" s="49">
        <f>VLOOKUP($C95,'[1]논산시 마을상수도'!$E$5:$K$171,4,FALSE)</f>
        <v>50</v>
      </c>
      <c r="I95" s="49">
        <v>2008</v>
      </c>
      <c r="J95" s="49"/>
      <c r="K95" s="49">
        <v>2008</v>
      </c>
      <c r="L95" s="49">
        <f t="shared" si="25"/>
        <v>2008</v>
      </c>
      <c r="M95" s="49">
        <v>2008</v>
      </c>
      <c r="N95" s="49">
        <v>2025</v>
      </c>
      <c r="O95" s="49" t="str">
        <f t="shared" si="26"/>
        <v/>
      </c>
      <c r="P95" s="49"/>
      <c r="Q95" s="49" t="str">
        <f t="shared" si="27"/>
        <v/>
      </c>
      <c r="R95" s="49" t="str">
        <f t="shared" si="28"/>
        <v/>
      </c>
      <c r="S95" s="49" t="str">
        <f t="shared" si="29"/>
        <v/>
      </c>
      <c r="T95" s="49" t="str">
        <f t="shared" ref="T95:T158" si="36">IF(O95="","",IF((I95+25)&lt;=2015,1,IF((I95+25)&lt;=2020,2,IF((I95+25)&lt;=2025,3,4))))</f>
        <v/>
      </c>
      <c r="U95" s="49" t="str">
        <f t="shared" ref="U95:U158" si="37">IF(P95="","",IF((J95+25)&lt;=2015,1,IF((J95+25)&lt;=2020,2,IF((J95+25)&lt;=2025,3,4))))</f>
        <v/>
      </c>
      <c r="V95" s="49" t="str">
        <f t="shared" ref="V95:V158" si="38">IF(Q95="","",IF((K95+25)&lt;=2015,1,IF((K95+25)&lt;=2020,2,IF((K95+25)&lt;=2025,3,4))))</f>
        <v/>
      </c>
      <c r="W95" s="49" t="str">
        <f t="shared" ref="W95:W158" si="39">IF(R95="","",IF((L95+25)&lt;=2015,1,IF((L95+25)&lt;=2020,2,IF((L95+25)&lt;=2025,3,4))))</f>
        <v/>
      </c>
      <c r="X95" s="49" t="str">
        <f t="shared" ref="X95:X158" si="40">IF(S95="","",IF((M95+25)&lt;=2015,1,IF((M95+25)&lt;=2020,2,IF((M95+25)&lt;=2025,3,4))))</f>
        <v/>
      </c>
      <c r="Y95" s="49">
        <v>2</v>
      </c>
      <c r="Z95" s="49" t="s">
        <v>114</v>
      </c>
      <c r="AA95" s="49" t="str">
        <f t="shared" si="30"/>
        <v>E</v>
      </c>
      <c r="AB95" s="61"/>
      <c r="AC95" s="61"/>
      <c r="AD95" s="61" t="str">
        <f>IF(O95="개량",ROUND(VLOOKUP($F95,'개량사업비 산정기준'!$A$5:$I$23,2,FALSE)/1000,0),"")</f>
        <v/>
      </c>
      <c r="AE95" s="61"/>
      <c r="AF95" s="61" t="str">
        <f>IF(Q95="개량",ROUND(VLOOKUP($F95,'개량사업비 산정기준'!$A$5:$I$23,6,FALSE)/1000,0),"")</f>
        <v/>
      </c>
      <c r="AG95" s="61" t="str">
        <f>IF(R95="개량",ROUND(VLOOKUP($F95,'개량사업비 산정기준'!$A$5:$I$23,7,FALSE)/1000,0),"")</f>
        <v/>
      </c>
      <c r="AH95" s="61" t="str">
        <f>IF(S95="개량",ROUND(((AB95*'개량사업비 산정기준'!$B$34)+(AC95*'개량사업비 산정기준'!$C$34))/1000000,0),"")</f>
        <v/>
      </c>
      <c r="AI95" s="61"/>
      <c r="AJ95" s="61">
        <f>IF($AA95="D",ROUND('개량사업비 산정기준'!$F$56/1000,0),IF($AA95="E",ROUND('개량사업비 산정기준'!$F$56/1000,0),""))</f>
        <v>48</v>
      </c>
      <c r="AK95" s="61">
        <f t="shared" si="31"/>
        <v>48</v>
      </c>
      <c r="AL95" s="61">
        <v>2</v>
      </c>
      <c r="AM95" s="61">
        <f t="shared" si="32"/>
        <v>0</v>
      </c>
      <c r="AN95" s="61">
        <f t="shared" si="33"/>
        <v>48</v>
      </c>
      <c r="AO95" s="61">
        <f t="shared" si="34"/>
        <v>0</v>
      </c>
      <c r="AP95" s="61">
        <f t="shared" si="35"/>
        <v>0</v>
      </c>
      <c r="AQ95" s="49"/>
    </row>
    <row r="96" spans="1:43" ht="20.100000000000001" customHeight="1">
      <c r="A96" s="49" t="s">
        <v>454</v>
      </c>
      <c r="B96" s="49">
        <v>90</v>
      </c>
      <c r="C96" s="56" t="s">
        <v>279</v>
      </c>
      <c r="D96" s="56" t="s">
        <v>157</v>
      </c>
      <c r="E96" s="56" t="s">
        <v>278</v>
      </c>
      <c r="F96" s="49">
        <f>VLOOKUP(C96,'[1]논산시 마을상수도'!$E$5:$K$171,6,FALSE)</f>
        <v>30</v>
      </c>
      <c r="G96" s="49">
        <f>VLOOKUP(C96,'[1]논산시 마을상수도'!$E$5:$K$171,3,FALSE)</f>
        <v>1977</v>
      </c>
      <c r="H96" s="49">
        <f>VLOOKUP($C96,'[1]논산시 마을상수도'!$E$5:$K$171,4,FALSE)</f>
        <v>15</v>
      </c>
      <c r="I96" s="49">
        <v>2007</v>
      </c>
      <c r="J96" s="49"/>
      <c r="K96" s="49">
        <v>2007</v>
      </c>
      <c r="L96" s="49">
        <f t="shared" si="25"/>
        <v>2007</v>
      </c>
      <c r="M96" s="49">
        <v>2007</v>
      </c>
      <c r="N96" s="49">
        <v>2025</v>
      </c>
      <c r="O96" s="49" t="str">
        <f t="shared" si="26"/>
        <v/>
      </c>
      <c r="P96" s="49"/>
      <c r="Q96" s="49" t="str">
        <f t="shared" si="27"/>
        <v/>
      </c>
      <c r="R96" s="49" t="str">
        <f t="shared" si="28"/>
        <v/>
      </c>
      <c r="S96" s="49" t="str">
        <f t="shared" si="29"/>
        <v/>
      </c>
      <c r="T96" s="49" t="str">
        <f t="shared" si="36"/>
        <v/>
      </c>
      <c r="U96" s="49" t="str">
        <f t="shared" si="37"/>
        <v/>
      </c>
      <c r="V96" s="49" t="str">
        <f t="shared" si="38"/>
        <v/>
      </c>
      <c r="W96" s="49" t="str">
        <f t="shared" si="39"/>
        <v/>
      </c>
      <c r="X96" s="49" t="str">
        <f t="shared" si="40"/>
        <v/>
      </c>
      <c r="Y96" s="49">
        <v>2</v>
      </c>
      <c r="Z96" s="49" t="s">
        <v>114</v>
      </c>
      <c r="AA96" s="49" t="str">
        <f t="shared" si="30"/>
        <v>E</v>
      </c>
      <c r="AB96" s="61"/>
      <c r="AC96" s="61"/>
      <c r="AD96" s="61" t="str">
        <f>IF(O96="개량",ROUND(VLOOKUP($F96,'개량사업비 산정기준'!$A$5:$I$23,2,FALSE)/1000,0),"")</f>
        <v/>
      </c>
      <c r="AE96" s="61"/>
      <c r="AF96" s="61" t="str">
        <f>IF(Q96="개량",ROUND(VLOOKUP($F96,'개량사업비 산정기준'!$A$5:$I$23,6,FALSE)/1000,0),"")</f>
        <v/>
      </c>
      <c r="AG96" s="61" t="str">
        <f>IF(R96="개량",ROUND(VLOOKUP($F96,'개량사업비 산정기준'!$A$5:$I$23,7,FALSE)/1000,0),"")</f>
        <v/>
      </c>
      <c r="AH96" s="61" t="str">
        <f>IF(S96="개량",ROUND(((AB96*'개량사업비 산정기준'!$B$34)+(AC96*'개량사업비 산정기준'!$C$34))/1000000,0),"")</f>
        <v/>
      </c>
      <c r="AI96" s="61"/>
      <c r="AJ96" s="61">
        <f>IF($AA96="D",ROUND('개량사업비 산정기준'!$F$56/1000,0),IF($AA96="E",ROUND('개량사업비 산정기준'!$F$56/1000,0),""))</f>
        <v>48</v>
      </c>
      <c r="AK96" s="61">
        <f t="shared" si="31"/>
        <v>48</v>
      </c>
      <c r="AL96" s="61">
        <v>2</v>
      </c>
      <c r="AM96" s="61">
        <f t="shared" si="32"/>
        <v>0</v>
      </c>
      <c r="AN96" s="61">
        <f t="shared" si="33"/>
        <v>48</v>
      </c>
      <c r="AO96" s="61">
        <f t="shared" si="34"/>
        <v>0</v>
      </c>
      <c r="AP96" s="61">
        <f t="shared" si="35"/>
        <v>0</v>
      </c>
      <c r="AQ96" s="49"/>
    </row>
    <row r="97" spans="1:43" ht="20.100000000000001" customHeight="1">
      <c r="A97" s="49" t="s">
        <v>454</v>
      </c>
      <c r="B97" s="49">
        <v>91</v>
      </c>
      <c r="C97" s="56" t="s">
        <v>281</v>
      </c>
      <c r="D97" s="56" t="s">
        <v>157</v>
      </c>
      <c r="E97" s="56" t="s">
        <v>280</v>
      </c>
      <c r="F97" s="49">
        <f>VLOOKUP(C97,'[1]논산시 마을상수도'!$E$5:$K$171,6,FALSE)</f>
        <v>10</v>
      </c>
      <c r="G97" s="49">
        <f>VLOOKUP(C97,'[1]논산시 마을상수도'!$E$5:$K$171,3,FALSE)</f>
        <v>1978</v>
      </c>
      <c r="H97" s="49">
        <f>VLOOKUP($C97,'[1]논산시 마을상수도'!$E$5:$K$171,4,FALSE)</f>
        <v>14</v>
      </c>
      <c r="I97" s="49">
        <v>2003</v>
      </c>
      <c r="J97" s="49"/>
      <c r="K97" s="49">
        <v>2003</v>
      </c>
      <c r="L97" s="49">
        <f t="shared" si="25"/>
        <v>2003</v>
      </c>
      <c r="M97" s="49">
        <v>1978</v>
      </c>
      <c r="N97" s="49">
        <v>2025</v>
      </c>
      <c r="O97" s="49" t="str">
        <f t="shared" si="26"/>
        <v/>
      </c>
      <c r="P97" s="49"/>
      <c r="Q97" s="49" t="str">
        <f t="shared" si="27"/>
        <v/>
      </c>
      <c r="R97" s="49" t="str">
        <f t="shared" si="28"/>
        <v/>
      </c>
      <c r="S97" s="49" t="str">
        <f t="shared" si="29"/>
        <v>개량</v>
      </c>
      <c r="T97" s="49" t="str">
        <f t="shared" si="36"/>
        <v/>
      </c>
      <c r="U97" s="49" t="str">
        <f t="shared" si="37"/>
        <v/>
      </c>
      <c r="V97" s="49" t="str">
        <f t="shared" si="38"/>
        <v/>
      </c>
      <c r="W97" s="49" t="str">
        <f t="shared" si="39"/>
        <v/>
      </c>
      <c r="X97" s="49">
        <f t="shared" si="40"/>
        <v>1</v>
      </c>
      <c r="Y97" s="49">
        <v>1</v>
      </c>
      <c r="Z97" s="49" t="s">
        <v>114</v>
      </c>
      <c r="AA97" s="49" t="str">
        <f t="shared" si="30"/>
        <v>D</v>
      </c>
      <c r="AB97" s="61">
        <v>250</v>
      </c>
      <c r="AC97" s="61">
        <v>694</v>
      </c>
      <c r="AD97" s="61" t="str">
        <f>IF(O97="개량",ROUND(VLOOKUP($F97,'개량사업비 산정기준'!$A$5:$I$23,2,FALSE)/1000,0),"")</f>
        <v/>
      </c>
      <c r="AE97" s="61"/>
      <c r="AF97" s="61" t="str">
        <f>IF(Q97="개량",ROUND(VLOOKUP($F97,'개량사업비 산정기준'!$A$5:$I$23,6,FALSE)/1000,0),"")</f>
        <v/>
      </c>
      <c r="AG97" s="61" t="str">
        <f>IF(R97="개량",ROUND(VLOOKUP($F97,'개량사업비 산정기준'!$A$5:$I$23,7,FALSE)/1000,0),"")</f>
        <v/>
      </c>
      <c r="AH97" s="61">
        <f>IF(S97="개량",ROUND(((AB97*'개량사업비 산정기준'!$B$34)+(AC97*'개량사업비 산정기준'!$C$34))/1000000,0),"")</f>
        <v>175</v>
      </c>
      <c r="AI97" s="61">
        <f>IF((AB97+AC97)&lt;=1000,ROUND('개량사업비 산정기준'!$B$45/1000,0),IF((AB97+AC97)&lt;=2000,ROUND('개량사업비 산정기준'!$C$45/1000,0),ROUND('개량사업비 산정기준'!$E$45/1000,0)))</f>
        <v>9</v>
      </c>
      <c r="AJ97" s="61">
        <f>IF($AA97="D",ROUND('개량사업비 산정기준'!$F$56/1000,0),IF($AA97="E",ROUND('개량사업비 산정기준'!$F$56/1000,0),""))</f>
        <v>48</v>
      </c>
      <c r="AK97" s="61">
        <f t="shared" si="31"/>
        <v>232</v>
      </c>
      <c r="AL97" s="61">
        <v>1</v>
      </c>
      <c r="AM97" s="61">
        <f t="shared" si="32"/>
        <v>232</v>
      </c>
      <c r="AN97" s="61">
        <f t="shared" si="33"/>
        <v>0</v>
      </c>
      <c r="AO97" s="61">
        <f t="shared" si="34"/>
        <v>0</v>
      </c>
      <c r="AP97" s="61">
        <f t="shared" si="35"/>
        <v>0</v>
      </c>
      <c r="AQ97" s="49"/>
    </row>
    <row r="98" spans="1:43" ht="20.100000000000001" customHeight="1">
      <c r="A98" s="49" t="s">
        <v>454</v>
      </c>
      <c r="B98" s="49">
        <v>92</v>
      </c>
      <c r="C98" s="56" t="s">
        <v>283</v>
      </c>
      <c r="D98" s="56" t="s">
        <v>157</v>
      </c>
      <c r="E98" s="56" t="s">
        <v>282</v>
      </c>
      <c r="F98" s="49">
        <f>VLOOKUP(C98,'[1]논산시 마을상수도'!$E$5:$K$171,6,FALSE)</f>
        <v>30</v>
      </c>
      <c r="G98" s="49">
        <f>VLOOKUP(C98,'[1]논산시 마을상수도'!$E$5:$K$171,3,FALSE)</f>
        <v>1978</v>
      </c>
      <c r="H98" s="49">
        <f>VLOOKUP($C98,'[1]논산시 마을상수도'!$E$5:$K$171,4,FALSE)</f>
        <v>20</v>
      </c>
      <c r="I98" s="49">
        <v>2004</v>
      </c>
      <c r="J98" s="49"/>
      <c r="K98" s="49">
        <v>2004</v>
      </c>
      <c r="L98" s="49">
        <f t="shared" si="25"/>
        <v>2004</v>
      </c>
      <c r="M98" s="49">
        <v>2004</v>
      </c>
      <c r="N98" s="49">
        <v>2020</v>
      </c>
      <c r="O98" s="49" t="str">
        <f t="shared" si="26"/>
        <v/>
      </c>
      <c r="P98" s="49"/>
      <c r="Q98" s="49" t="str">
        <f t="shared" si="27"/>
        <v/>
      </c>
      <c r="R98" s="49" t="str">
        <f t="shared" si="28"/>
        <v/>
      </c>
      <c r="S98" s="49" t="str">
        <f t="shared" si="29"/>
        <v/>
      </c>
      <c r="T98" s="49" t="str">
        <f t="shared" si="36"/>
        <v/>
      </c>
      <c r="U98" s="49" t="str">
        <f t="shared" si="37"/>
        <v/>
      </c>
      <c r="V98" s="49" t="str">
        <f t="shared" si="38"/>
        <v/>
      </c>
      <c r="W98" s="49" t="str">
        <f t="shared" si="39"/>
        <v/>
      </c>
      <c r="X98" s="49" t="str">
        <f t="shared" si="40"/>
        <v/>
      </c>
      <c r="Y98" s="49"/>
      <c r="Z98" s="49" t="s">
        <v>114</v>
      </c>
      <c r="AA98" s="49" t="str">
        <f t="shared" si="30"/>
        <v>F</v>
      </c>
      <c r="AB98" s="61"/>
      <c r="AC98" s="61"/>
      <c r="AD98" s="61" t="str">
        <f>IF(O98="개량",ROUND(VLOOKUP($F98,'개량사업비 산정기준'!$A$5:$I$23,2,FALSE)/1000,0),"")</f>
        <v/>
      </c>
      <c r="AE98" s="61"/>
      <c r="AF98" s="61" t="str">
        <f>IF(Q98="개량",ROUND(VLOOKUP($F98,'개량사업비 산정기준'!$A$5:$I$23,6,FALSE)/1000,0),"")</f>
        <v/>
      </c>
      <c r="AG98" s="61" t="str">
        <f>IF(R98="개량",ROUND(VLOOKUP($F98,'개량사업비 산정기준'!$A$5:$I$23,7,FALSE)/1000,0),"")</f>
        <v/>
      </c>
      <c r="AH98" s="61" t="str">
        <f>IF(S98="개량",ROUND(((AB98*'개량사업비 산정기준'!$B$34)+(AC98*'개량사업비 산정기준'!$C$34))/1000000,0),"")</f>
        <v/>
      </c>
      <c r="AI98" s="61"/>
      <c r="AJ98" s="61" t="str">
        <f>IF($AA98="D",ROUND('개량사업비 산정기준'!$F$56/1000,0),IF($AA98="E",ROUND('개량사업비 산정기준'!$F$56/1000,0),""))</f>
        <v/>
      </c>
      <c r="AK98" s="61">
        <f t="shared" si="31"/>
        <v>0</v>
      </c>
      <c r="AL98" s="61"/>
      <c r="AM98" s="61">
        <f t="shared" si="32"/>
        <v>0</v>
      </c>
      <c r="AN98" s="61">
        <f t="shared" si="33"/>
        <v>0</v>
      </c>
      <c r="AO98" s="61">
        <f t="shared" si="34"/>
        <v>0</v>
      </c>
      <c r="AP98" s="61">
        <f t="shared" si="35"/>
        <v>0</v>
      </c>
      <c r="AQ98" s="49"/>
    </row>
    <row r="99" spans="1:43" ht="20.100000000000001" customHeight="1">
      <c r="A99" s="49" t="s">
        <v>454</v>
      </c>
      <c r="B99" s="49">
        <v>93</v>
      </c>
      <c r="C99" s="56" t="s">
        <v>285</v>
      </c>
      <c r="D99" s="56" t="s">
        <v>157</v>
      </c>
      <c r="E99" s="56" t="s">
        <v>284</v>
      </c>
      <c r="F99" s="49">
        <f>VLOOKUP(C99,'[1]논산시 마을상수도'!$E$5:$K$171,6,FALSE)</f>
        <v>40</v>
      </c>
      <c r="G99" s="49">
        <f>VLOOKUP(C99,'[1]논산시 마을상수도'!$E$5:$K$171,3,FALSE)</f>
        <v>1979</v>
      </c>
      <c r="H99" s="49">
        <f>VLOOKUP($C99,'[1]논산시 마을상수도'!$E$5:$K$171,4,FALSE)</f>
        <v>23</v>
      </c>
      <c r="I99" s="49">
        <v>2006</v>
      </c>
      <c r="J99" s="49"/>
      <c r="K99" s="49">
        <v>2006</v>
      </c>
      <c r="L99" s="49">
        <f t="shared" si="25"/>
        <v>2006</v>
      </c>
      <c r="M99" s="49">
        <v>2006</v>
      </c>
      <c r="N99" s="49">
        <v>2025</v>
      </c>
      <c r="O99" s="49" t="str">
        <f t="shared" si="26"/>
        <v/>
      </c>
      <c r="P99" s="49"/>
      <c r="Q99" s="49" t="str">
        <f t="shared" si="27"/>
        <v/>
      </c>
      <c r="R99" s="49" t="str">
        <f t="shared" si="28"/>
        <v/>
      </c>
      <c r="S99" s="49" t="str">
        <f t="shared" si="29"/>
        <v/>
      </c>
      <c r="T99" s="49" t="str">
        <f t="shared" si="36"/>
        <v/>
      </c>
      <c r="U99" s="49" t="str">
        <f t="shared" si="37"/>
        <v/>
      </c>
      <c r="V99" s="49" t="str">
        <f t="shared" si="38"/>
        <v/>
      </c>
      <c r="W99" s="49" t="str">
        <f t="shared" si="39"/>
        <v/>
      </c>
      <c r="X99" s="49" t="str">
        <f t="shared" si="40"/>
        <v/>
      </c>
      <c r="Y99" s="49">
        <v>2</v>
      </c>
      <c r="Z99" s="49" t="s">
        <v>114</v>
      </c>
      <c r="AA99" s="49" t="str">
        <f t="shared" si="30"/>
        <v>E</v>
      </c>
      <c r="AB99" s="61"/>
      <c r="AC99" s="61"/>
      <c r="AD99" s="61" t="str">
        <f>IF(O99="개량",ROUND(VLOOKUP($F99,'개량사업비 산정기준'!$A$5:$I$23,2,FALSE)/1000,0),"")</f>
        <v/>
      </c>
      <c r="AE99" s="61"/>
      <c r="AF99" s="61" t="str">
        <f>IF(Q99="개량",ROUND(VLOOKUP($F99,'개량사업비 산정기준'!$A$5:$I$23,6,FALSE)/1000,0),"")</f>
        <v/>
      </c>
      <c r="AG99" s="61" t="str">
        <f>IF(R99="개량",ROUND(VLOOKUP($F99,'개량사업비 산정기준'!$A$5:$I$23,7,FALSE)/1000,0),"")</f>
        <v/>
      </c>
      <c r="AH99" s="61" t="str">
        <f>IF(S99="개량",ROUND(((AB99*'개량사업비 산정기준'!$B$34)+(AC99*'개량사업비 산정기준'!$C$34))/1000000,0),"")</f>
        <v/>
      </c>
      <c r="AI99" s="61"/>
      <c r="AJ99" s="61">
        <f>IF($AA99="D",ROUND('개량사업비 산정기준'!$F$56/1000,0),IF($AA99="E",ROUND('개량사업비 산정기준'!$F$56/1000,0),""))</f>
        <v>48</v>
      </c>
      <c r="AK99" s="61">
        <f t="shared" si="31"/>
        <v>48</v>
      </c>
      <c r="AL99" s="61">
        <v>2</v>
      </c>
      <c r="AM99" s="61">
        <f t="shared" si="32"/>
        <v>0</v>
      </c>
      <c r="AN99" s="61">
        <f t="shared" si="33"/>
        <v>48</v>
      </c>
      <c r="AO99" s="61">
        <f t="shared" si="34"/>
        <v>0</v>
      </c>
      <c r="AP99" s="61">
        <f t="shared" si="35"/>
        <v>0</v>
      </c>
      <c r="AQ99" s="49"/>
    </row>
    <row r="100" spans="1:43" ht="20.100000000000001" customHeight="1">
      <c r="A100" s="49" t="s">
        <v>454</v>
      </c>
      <c r="B100" s="49">
        <v>94</v>
      </c>
      <c r="C100" s="56" t="s">
        <v>286</v>
      </c>
      <c r="D100" s="56" t="s">
        <v>157</v>
      </c>
      <c r="E100" s="56" t="s">
        <v>278</v>
      </c>
      <c r="F100" s="49">
        <f>VLOOKUP(C100,'[1]논산시 마을상수도'!$E$5:$K$171,6,FALSE)</f>
        <v>30</v>
      </c>
      <c r="G100" s="49">
        <f>VLOOKUP(C100,'[1]논산시 마을상수도'!$E$5:$K$171,3,FALSE)</f>
        <v>1979</v>
      </c>
      <c r="H100" s="49">
        <f>VLOOKUP($C100,'[1]논산시 마을상수도'!$E$5:$K$171,4,FALSE)</f>
        <v>19</v>
      </c>
      <c r="I100" s="49">
        <v>2008</v>
      </c>
      <c r="J100" s="49">
        <v>2009</v>
      </c>
      <c r="K100" s="49">
        <v>2008</v>
      </c>
      <c r="L100" s="49">
        <f t="shared" si="25"/>
        <v>2008</v>
      </c>
      <c r="M100" s="49">
        <v>2008</v>
      </c>
      <c r="N100" s="49">
        <v>2025</v>
      </c>
      <c r="O100" s="49" t="str">
        <f t="shared" si="26"/>
        <v/>
      </c>
      <c r="P100" s="49"/>
      <c r="Q100" s="49" t="str">
        <f t="shared" si="27"/>
        <v/>
      </c>
      <c r="R100" s="49" t="str">
        <f t="shared" si="28"/>
        <v/>
      </c>
      <c r="S100" s="49" t="str">
        <f t="shared" si="29"/>
        <v/>
      </c>
      <c r="T100" s="49" t="str">
        <f t="shared" si="36"/>
        <v/>
      </c>
      <c r="U100" s="49" t="str">
        <f t="shared" si="37"/>
        <v/>
      </c>
      <c r="V100" s="49" t="str">
        <f t="shared" si="38"/>
        <v/>
      </c>
      <c r="W100" s="49" t="str">
        <f t="shared" si="39"/>
        <v/>
      </c>
      <c r="X100" s="49" t="str">
        <f t="shared" si="40"/>
        <v/>
      </c>
      <c r="Y100" s="49">
        <v>2</v>
      </c>
      <c r="Z100" s="49" t="s">
        <v>114</v>
      </c>
      <c r="AA100" s="49" t="str">
        <f t="shared" si="30"/>
        <v>E</v>
      </c>
      <c r="AB100" s="61"/>
      <c r="AC100" s="61"/>
      <c r="AD100" s="61" t="str">
        <f>IF(O100="개량",ROUND(VLOOKUP($F100,'개량사업비 산정기준'!$A$5:$I$23,2,FALSE)/1000,0),"")</f>
        <v/>
      </c>
      <c r="AE100" s="61"/>
      <c r="AF100" s="61" t="str">
        <f>IF(Q100="개량",ROUND(VLOOKUP($F100,'개량사업비 산정기준'!$A$5:$I$23,6,FALSE)/1000,0),"")</f>
        <v/>
      </c>
      <c r="AG100" s="61" t="str">
        <f>IF(R100="개량",ROUND(VLOOKUP($F100,'개량사업비 산정기준'!$A$5:$I$23,7,FALSE)/1000,0),"")</f>
        <v/>
      </c>
      <c r="AH100" s="61" t="str">
        <f>IF(S100="개량",ROUND(((AB100*'개량사업비 산정기준'!$B$34)+(AC100*'개량사업비 산정기준'!$C$34))/1000000,0),"")</f>
        <v/>
      </c>
      <c r="AI100" s="61"/>
      <c r="AJ100" s="61">
        <f>IF($AA100="D",ROUND('개량사업비 산정기준'!$F$56/1000,0),IF($AA100="E",ROUND('개량사업비 산정기준'!$F$56/1000,0),""))</f>
        <v>48</v>
      </c>
      <c r="AK100" s="61">
        <f t="shared" si="31"/>
        <v>48</v>
      </c>
      <c r="AL100" s="61">
        <v>2</v>
      </c>
      <c r="AM100" s="61">
        <f t="shared" si="32"/>
        <v>0</v>
      </c>
      <c r="AN100" s="61">
        <f t="shared" si="33"/>
        <v>48</v>
      </c>
      <c r="AO100" s="61">
        <f t="shared" si="34"/>
        <v>0</v>
      </c>
      <c r="AP100" s="61">
        <f t="shared" si="35"/>
        <v>0</v>
      </c>
      <c r="AQ100" s="49"/>
    </row>
    <row r="101" spans="1:43" ht="20.100000000000001" customHeight="1">
      <c r="A101" s="49" t="s">
        <v>454</v>
      </c>
      <c r="B101" s="49">
        <v>95</v>
      </c>
      <c r="C101" s="56" t="s">
        <v>455</v>
      </c>
      <c r="D101" s="56" t="s">
        <v>157</v>
      </c>
      <c r="E101" s="56" t="s">
        <v>278</v>
      </c>
      <c r="F101" s="49">
        <f>VLOOKUP(C101,'[1]논산시 마을상수도'!$E$5:$K$171,6,FALSE)</f>
        <v>30</v>
      </c>
      <c r="G101" s="49">
        <f>VLOOKUP(C101,'[1]논산시 마을상수도'!$E$5:$K$171,3,FALSE)</f>
        <v>1979</v>
      </c>
      <c r="H101" s="49">
        <f>VLOOKUP($C101,'[1]논산시 마을상수도'!$E$5:$K$171,4,FALSE)</f>
        <v>20</v>
      </c>
      <c r="I101" s="49">
        <v>2006</v>
      </c>
      <c r="J101" s="49"/>
      <c r="K101" s="49">
        <v>2006</v>
      </c>
      <c r="L101" s="49">
        <f t="shared" si="25"/>
        <v>2006</v>
      </c>
      <c r="M101" s="49">
        <v>2006</v>
      </c>
      <c r="N101" s="49">
        <v>2025</v>
      </c>
      <c r="O101" s="49" t="str">
        <f t="shared" si="26"/>
        <v/>
      </c>
      <c r="P101" s="49"/>
      <c r="Q101" s="49" t="str">
        <f t="shared" si="27"/>
        <v/>
      </c>
      <c r="R101" s="49" t="str">
        <f t="shared" si="28"/>
        <v/>
      </c>
      <c r="S101" s="49" t="str">
        <f t="shared" si="29"/>
        <v/>
      </c>
      <c r="T101" s="49" t="str">
        <f t="shared" si="36"/>
        <v/>
      </c>
      <c r="U101" s="49" t="str">
        <f t="shared" si="37"/>
        <v/>
      </c>
      <c r="V101" s="49" t="str">
        <f t="shared" si="38"/>
        <v/>
      </c>
      <c r="W101" s="49" t="str">
        <f t="shared" si="39"/>
        <v/>
      </c>
      <c r="X101" s="49" t="str">
        <f t="shared" si="40"/>
        <v/>
      </c>
      <c r="Y101" s="49">
        <v>2</v>
      </c>
      <c r="Z101" s="49" t="s">
        <v>114</v>
      </c>
      <c r="AA101" s="49" t="str">
        <f t="shared" si="30"/>
        <v>E</v>
      </c>
      <c r="AB101" s="61"/>
      <c r="AC101" s="61"/>
      <c r="AD101" s="61" t="str">
        <f>IF(O101="개량",ROUND(VLOOKUP($F101,'개량사업비 산정기준'!$A$5:$I$23,2,FALSE)/1000,0),"")</f>
        <v/>
      </c>
      <c r="AE101" s="61"/>
      <c r="AF101" s="61" t="str">
        <f>IF(Q101="개량",ROUND(VLOOKUP($F101,'개량사업비 산정기준'!$A$5:$I$23,6,FALSE)/1000,0),"")</f>
        <v/>
      </c>
      <c r="AG101" s="61" t="str">
        <f>IF(R101="개량",ROUND(VLOOKUP($F101,'개량사업비 산정기준'!$A$5:$I$23,7,FALSE)/1000,0),"")</f>
        <v/>
      </c>
      <c r="AH101" s="61" t="str">
        <f>IF(S101="개량",ROUND(((AB101*'개량사업비 산정기준'!$B$34)+(AC101*'개량사업비 산정기준'!$C$34))/1000000,0),"")</f>
        <v/>
      </c>
      <c r="AI101" s="61"/>
      <c r="AJ101" s="61">
        <f>IF($AA101="D",ROUND('개량사업비 산정기준'!$F$56/1000,0),IF($AA101="E",ROUND('개량사업비 산정기준'!$F$56/1000,0),""))</f>
        <v>48</v>
      </c>
      <c r="AK101" s="61">
        <f t="shared" si="31"/>
        <v>48</v>
      </c>
      <c r="AL101" s="61">
        <v>2</v>
      </c>
      <c r="AM101" s="61">
        <f t="shared" si="32"/>
        <v>0</v>
      </c>
      <c r="AN101" s="61">
        <f t="shared" si="33"/>
        <v>48</v>
      </c>
      <c r="AO101" s="61">
        <f t="shared" si="34"/>
        <v>0</v>
      </c>
      <c r="AP101" s="61">
        <f t="shared" si="35"/>
        <v>0</v>
      </c>
      <c r="AQ101" s="49"/>
    </row>
    <row r="102" spans="1:43" ht="20.100000000000001" customHeight="1">
      <c r="A102" s="49" t="s">
        <v>454</v>
      </c>
      <c r="B102" s="49">
        <v>96</v>
      </c>
      <c r="C102" s="56" t="s">
        <v>289</v>
      </c>
      <c r="D102" s="56" t="s">
        <v>157</v>
      </c>
      <c r="E102" s="56" t="s">
        <v>288</v>
      </c>
      <c r="F102" s="49">
        <f>VLOOKUP(C102,'[1]논산시 마을상수도'!$E$5:$K$171,6,FALSE)</f>
        <v>20</v>
      </c>
      <c r="G102" s="49">
        <f>VLOOKUP(C102,'[1]논산시 마을상수도'!$E$5:$K$171,3,FALSE)</f>
        <v>1982</v>
      </c>
      <c r="H102" s="49">
        <f>VLOOKUP($C102,'[1]논산시 마을상수도'!$E$5:$K$171,4,FALSE)</f>
        <v>15</v>
      </c>
      <c r="I102" s="49">
        <v>2008</v>
      </c>
      <c r="J102" s="49"/>
      <c r="K102" s="49">
        <v>2008</v>
      </c>
      <c r="L102" s="49">
        <f t="shared" si="25"/>
        <v>2008</v>
      </c>
      <c r="M102" s="49">
        <v>2008</v>
      </c>
      <c r="N102" s="49">
        <v>2025</v>
      </c>
      <c r="O102" s="49" t="str">
        <f t="shared" si="26"/>
        <v/>
      </c>
      <c r="P102" s="49"/>
      <c r="Q102" s="49" t="str">
        <f t="shared" si="27"/>
        <v/>
      </c>
      <c r="R102" s="49" t="str">
        <f t="shared" si="28"/>
        <v/>
      </c>
      <c r="S102" s="49" t="str">
        <f t="shared" si="29"/>
        <v/>
      </c>
      <c r="T102" s="49" t="str">
        <f t="shared" si="36"/>
        <v/>
      </c>
      <c r="U102" s="49" t="str">
        <f t="shared" si="37"/>
        <v/>
      </c>
      <c r="V102" s="49" t="str">
        <f t="shared" si="38"/>
        <v/>
      </c>
      <c r="W102" s="49" t="str">
        <f t="shared" si="39"/>
        <v/>
      </c>
      <c r="X102" s="49" t="str">
        <f t="shared" si="40"/>
        <v/>
      </c>
      <c r="Y102" s="49">
        <v>2</v>
      </c>
      <c r="Z102" s="49" t="s">
        <v>114</v>
      </c>
      <c r="AA102" s="49" t="str">
        <f t="shared" si="30"/>
        <v>E</v>
      </c>
      <c r="AB102" s="61"/>
      <c r="AC102" s="61"/>
      <c r="AD102" s="61" t="str">
        <f>IF(O102="개량",ROUND(VLOOKUP($F102,'개량사업비 산정기준'!$A$5:$I$23,2,FALSE)/1000,0),"")</f>
        <v/>
      </c>
      <c r="AE102" s="61"/>
      <c r="AF102" s="61" t="str">
        <f>IF(Q102="개량",ROUND(VLOOKUP($F102,'개량사업비 산정기준'!$A$5:$I$23,6,FALSE)/1000,0),"")</f>
        <v/>
      </c>
      <c r="AG102" s="61" t="str">
        <f>IF(R102="개량",ROUND(VLOOKUP($F102,'개량사업비 산정기준'!$A$5:$I$23,7,FALSE)/1000,0),"")</f>
        <v/>
      </c>
      <c r="AH102" s="61" t="str">
        <f>IF(S102="개량",ROUND(((AB102*'개량사업비 산정기준'!$B$34)+(AC102*'개량사업비 산정기준'!$C$34))/1000000,0),"")</f>
        <v/>
      </c>
      <c r="AI102" s="61"/>
      <c r="AJ102" s="61">
        <f>IF($AA102="D",ROUND('개량사업비 산정기준'!$F$56/1000,0),IF($AA102="E",ROUND('개량사업비 산정기준'!$F$56/1000,0),""))</f>
        <v>48</v>
      </c>
      <c r="AK102" s="61">
        <f t="shared" si="31"/>
        <v>48</v>
      </c>
      <c r="AL102" s="61">
        <v>2</v>
      </c>
      <c r="AM102" s="61">
        <f t="shared" si="32"/>
        <v>0</v>
      </c>
      <c r="AN102" s="61">
        <f t="shared" si="33"/>
        <v>48</v>
      </c>
      <c r="AO102" s="61">
        <f t="shared" si="34"/>
        <v>0</v>
      </c>
      <c r="AP102" s="61">
        <f t="shared" si="35"/>
        <v>0</v>
      </c>
      <c r="AQ102" s="49"/>
    </row>
    <row r="103" spans="1:43" ht="20.100000000000001" customHeight="1">
      <c r="A103" s="49" t="s">
        <v>454</v>
      </c>
      <c r="B103" s="49">
        <v>97</v>
      </c>
      <c r="C103" s="56" t="s">
        <v>291</v>
      </c>
      <c r="D103" s="56" t="s">
        <v>157</v>
      </c>
      <c r="E103" s="56" t="s">
        <v>290</v>
      </c>
      <c r="F103" s="49">
        <f>VLOOKUP(C103,'[1]논산시 마을상수도'!$E$5:$K$171,6,FALSE)</f>
        <v>20</v>
      </c>
      <c r="G103" s="49">
        <f>VLOOKUP(C103,'[1]논산시 마을상수도'!$E$5:$K$171,3,FALSE)</f>
        <v>1982</v>
      </c>
      <c r="H103" s="49">
        <f>VLOOKUP($C103,'[1]논산시 마을상수도'!$E$5:$K$171,4,FALSE)</f>
        <v>14</v>
      </c>
      <c r="I103" s="49">
        <v>2007</v>
      </c>
      <c r="J103" s="49"/>
      <c r="K103" s="49">
        <v>2007</v>
      </c>
      <c r="L103" s="49">
        <f t="shared" si="25"/>
        <v>2007</v>
      </c>
      <c r="M103" s="49">
        <v>2007</v>
      </c>
      <c r="N103" s="49">
        <v>2025</v>
      </c>
      <c r="O103" s="49" t="str">
        <f t="shared" si="26"/>
        <v/>
      </c>
      <c r="P103" s="49"/>
      <c r="Q103" s="49" t="str">
        <f t="shared" si="27"/>
        <v/>
      </c>
      <c r="R103" s="49" t="str">
        <f t="shared" si="28"/>
        <v/>
      </c>
      <c r="S103" s="49" t="str">
        <f t="shared" si="29"/>
        <v/>
      </c>
      <c r="T103" s="49" t="str">
        <f t="shared" si="36"/>
        <v/>
      </c>
      <c r="U103" s="49" t="str">
        <f t="shared" si="37"/>
        <v/>
      </c>
      <c r="V103" s="49" t="str">
        <f t="shared" si="38"/>
        <v/>
      </c>
      <c r="W103" s="49" t="str">
        <f t="shared" si="39"/>
        <v/>
      </c>
      <c r="X103" s="49" t="str">
        <f t="shared" si="40"/>
        <v/>
      </c>
      <c r="Y103" s="49">
        <v>2</v>
      </c>
      <c r="Z103" s="49" t="s">
        <v>114</v>
      </c>
      <c r="AA103" s="49" t="str">
        <f t="shared" si="30"/>
        <v>E</v>
      </c>
      <c r="AB103" s="61"/>
      <c r="AC103" s="61"/>
      <c r="AD103" s="61" t="str">
        <f>IF(O103="개량",ROUND(VLOOKUP($F103,'개량사업비 산정기준'!$A$5:$I$23,2,FALSE)/1000,0),"")</f>
        <v/>
      </c>
      <c r="AE103" s="61"/>
      <c r="AF103" s="61" t="str">
        <f>IF(Q103="개량",ROUND(VLOOKUP($F103,'개량사업비 산정기준'!$A$5:$I$23,6,FALSE)/1000,0),"")</f>
        <v/>
      </c>
      <c r="AG103" s="61" t="str">
        <f>IF(R103="개량",ROUND(VLOOKUP($F103,'개량사업비 산정기준'!$A$5:$I$23,7,FALSE)/1000,0),"")</f>
        <v/>
      </c>
      <c r="AH103" s="61" t="str">
        <f>IF(S103="개량",ROUND(((AB103*'개량사업비 산정기준'!$B$34)+(AC103*'개량사업비 산정기준'!$C$34))/1000000,0),"")</f>
        <v/>
      </c>
      <c r="AI103" s="61"/>
      <c r="AJ103" s="61">
        <f>IF($AA103="D",ROUND('개량사업비 산정기준'!$F$56/1000,0),IF($AA103="E",ROUND('개량사업비 산정기준'!$F$56/1000,0),""))</f>
        <v>48</v>
      </c>
      <c r="AK103" s="61">
        <f t="shared" si="31"/>
        <v>48</v>
      </c>
      <c r="AL103" s="61">
        <v>2</v>
      </c>
      <c r="AM103" s="61">
        <f t="shared" si="32"/>
        <v>0</v>
      </c>
      <c r="AN103" s="61">
        <f t="shared" si="33"/>
        <v>48</v>
      </c>
      <c r="AO103" s="61">
        <f t="shared" si="34"/>
        <v>0</v>
      </c>
      <c r="AP103" s="61">
        <f t="shared" si="35"/>
        <v>0</v>
      </c>
      <c r="AQ103" s="49"/>
    </row>
    <row r="104" spans="1:43" ht="20.100000000000001" customHeight="1">
      <c r="A104" s="49" t="s">
        <v>454</v>
      </c>
      <c r="B104" s="49">
        <v>98</v>
      </c>
      <c r="C104" s="56" t="s">
        <v>292</v>
      </c>
      <c r="D104" s="56" t="s">
        <v>157</v>
      </c>
      <c r="E104" s="56" t="s">
        <v>290</v>
      </c>
      <c r="F104" s="49">
        <f>VLOOKUP(C104,'[1]논산시 마을상수도'!$E$5:$K$171,6,FALSE)</f>
        <v>20</v>
      </c>
      <c r="G104" s="49">
        <f>VLOOKUP(C104,'[1]논산시 마을상수도'!$E$5:$K$171,3,FALSE)</f>
        <v>1982</v>
      </c>
      <c r="H104" s="49">
        <f>VLOOKUP($C104,'[1]논산시 마을상수도'!$E$5:$K$171,4,FALSE)</f>
        <v>19</v>
      </c>
      <c r="I104" s="49">
        <v>2006</v>
      </c>
      <c r="J104" s="49"/>
      <c r="K104" s="49">
        <v>2006</v>
      </c>
      <c r="L104" s="49">
        <f t="shared" si="25"/>
        <v>2006</v>
      </c>
      <c r="M104" s="49">
        <v>2006</v>
      </c>
      <c r="N104" s="49">
        <v>2025</v>
      </c>
      <c r="O104" s="49" t="str">
        <f t="shared" si="26"/>
        <v/>
      </c>
      <c r="P104" s="49"/>
      <c r="Q104" s="49" t="str">
        <f t="shared" si="27"/>
        <v/>
      </c>
      <c r="R104" s="49" t="str">
        <f t="shared" si="28"/>
        <v/>
      </c>
      <c r="S104" s="49" t="str">
        <f t="shared" si="29"/>
        <v/>
      </c>
      <c r="T104" s="49" t="str">
        <f t="shared" si="36"/>
        <v/>
      </c>
      <c r="U104" s="49" t="str">
        <f t="shared" si="37"/>
        <v/>
      </c>
      <c r="V104" s="49" t="str">
        <f t="shared" si="38"/>
        <v/>
      </c>
      <c r="W104" s="49" t="str">
        <f t="shared" si="39"/>
        <v/>
      </c>
      <c r="X104" s="49" t="str">
        <f t="shared" si="40"/>
        <v/>
      </c>
      <c r="Y104" s="49">
        <v>2</v>
      </c>
      <c r="Z104" s="49" t="s">
        <v>114</v>
      </c>
      <c r="AA104" s="49" t="str">
        <f t="shared" si="30"/>
        <v>E</v>
      </c>
      <c r="AB104" s="61"/>
      <c r="AC104" s="61"/>
      <c r="AD104" s="61" t="str">
        <f>IF(O104="개량",ROUND(VLOOKUP($F104,'개량사업비 산정기준'!$A$5:$I$23,2,FALSE)/1000,0),"")</f>
        <v/>
      </c>
      <c r="AE104" s="61"/>
      <c r="AF104" s="61" t="str">
        <f>IF(Q104="개량",ROUND(VLOOKUP($F104,'개량사업비 산정기준'!$A$5:$I$23,6,FALSE)/1000,0),"")</f>
        <v/>
      </c>
      <c r="AG104" s="61" t="str">
        <f>IF(R104="개량",ROUND(VLOOKUP($F104,'개량사업비 산정기준'!$A$5:$I$23,7,FALSE)/1000,0),"")</f>
        <v/>
      </c>
      <c r="AH104" s="61" t="str">
        <f>IF(S104="개량",ROUND(((AB104*'개량사업비 산정기준'!$B$34)+(AC104*'개량사업비 산정기준'!$C$34))/1000000,0),"")</f>
        <v/>
      </c>
      <c r="AI104" s="61"/>
      <c r="AJ104" s="61">
        <f>IF($AA104="D",ROUND('개량사업비 산정기준'!$F$56/1000,0),IF($AA104="E",ROUND('개량사업비 산정기준'!$F$56/1000,0),""))</f>
        <v>48</v>
      </c>
      <c r="AK104" s="61">
        <f t="shared" si="31"/>
        <v>48</v>
      </c>
      <c r="AL104" s="61">
        <v>2</v>
      </c>
      <c r="AM104" s="61">
        <f t="shared" si="32"/>
        <v>0</v>
      </c>
      <c r="AN104" s="61">
        <f t="shared" si="33"/>
        <v>48</v>
      </c>
      <c r="AO104" s="61">
        <f t="shared" si="34"/>
        <v>0</v>
      </c>
      <c r="AP104" s="61">
        <f t="shared" si="35"/>
        <v>0</v>
      </c>
      <c r="AQ104" s="49"/>
    </row>
    <row r="105" spans="1:43" ht="20.100000000000001" customHeight="1">
      <c r="A105" s="49" t="s">
        <v>454</v>
      </c>
      <c r="B105" s="49">
        <v>99</v>
      </c>
      <c r="C105" s="56" t="s">
        <v>293</v>
      </c>
      <c r="D105" s="56" t="s">
        <v>157</v>
      </c>
      <c r="E105" s="56" t="s">
        <v>66</v>
      </c>
      <c r="F105" s="49">
        <f>VLOOKUP(C105,'[1]논산시 마을상수도'!$E$5:$K$171,6,FALSE)</f>
        <v>50</v>
      </c>
      <c r="G105" s="49">
        <f>VLOOKUP(C105,'[1]논산시 마을상수도'!$E$5:$K$171,3,FALSE)</f>
        <v>1996</v>
      </c>
      <c r="H105" s="49">
        <f>VLOOKUP($C105,'[1]논산시 마을상수도'!$E$5:$K$171,4,FALSE)</f>
        <v>42</v>
      </c>
      <c r="I105" s="49">
        <v>1996</v>
      </c>
      <c r="J105" s="49">
        <v>2009</v>
      </c>
      <c r="K105" s="49">
        <v>1996</v>
      </c>
      <c r="L105" s="49">
        <f t="shared" si="25"/>
        <v>1996</v>
      </c>
      <c r="M105" s="49">
        <v>1996</v>
      </c>
      <c r="N105" s="49">
        <v>2020</v>
      </c>
      <c r="O105" s="49" t="str">
        <f t="shared" si="26"/>
        <v/>
      </c>
      <c r="P105" s="49"/>
      <c r="Q105" s="49" t="str">
        <f t="shared" si="27"/>
        <v/>
      </c>
      <c r="R105" s="49" t="str">
        <f t="shared" si="28"/>
        <v/>
      </c>
      <c r="S105" s="49" t="str">
        <f t="shared" si="29"/>
        <v/>
      </c>
      <c r="T105" s="49" t="str">
        <f t="shared" si="36"/>
        <v/>
      </c>
      <c r="U105" s="49" t="str">
        <f t="shared" si="37"/>
        <v/>
      </c>
      <c r="V105" s="49" t="str">
        <f t="shared" si="38"/>
        <v/>
      </c>
      <c r="W105" s="49" t="str">
        <f t="shared" si="39"/>
        <v/>
      </c>
      <c r="X105" s="49" t="str">
        <f t="shared" si="40"/>
        <v/>
      </c>
      <c r="Y105" s="49"/>
      <c r="Z105" s="49" t="s">
        <v>114</v>
      </c>
      <c r="AA105" s="49" t="str">
        <f t="shared" si="30"/>
        <v>F</v>
      </c>
      <c r="AB105" s="61"/>
      <c r="AC105" s="61"/>
      <c r="AD105" s="61" t="str">
        <f>IF(O105="개량",ROUND(VLOOKUP($F105,'개량사업비 산정기준'!$A$5:$I$23,2,FALSE)/1000,0),"")</f>
        <v/>
      </c>
      <c r="AE105" s="61"/>
      <c r="AF105" s="61" t="str">
        <f>IF(Q105="개량",ROUND(VLOOKUP($F105,'개량사업비 산정기준'!$A$5:$I$23,6,FALSE)/1000,0),"")</f>
        <v/>
      </c>
      <c r="AG105" s="61" t="str">
        <f>IF(R105="개량",ROUND(VLOOKUP($F105,'개량사업비 산정기준'!$A$5:$I$23,7,FALSE)/1000,0),"")</f>
        <v/>
      </c>
      <c r="AH105" s="61" t="str">
        <f>IF(S105="개량",ROUND(((AB105*'개량사업비 산정기준'!$B$34)+(AC105*'개량사업비 산정기준'!$C$34))/1000000,0),"")</f>
        <v/>
      </c>
      <c r="AI105" s="61"/>
      <c r="AJ105" s="61" t="str">
        <f>IF($AA105="D",ROUND('개량사업비 산정기준'!$F$56/1000,0),IF($AA105="E",ROUND('개량사업비 산정기준'!$F$56/1000,0),""))</f>
        <v/>
      </c>
      <c r="AK105" s="61">
        <f t="shared" si="31"/>
        <v>0</v>
      </c>
      <c r="AL105" s="61"/>
      <c r="AM105" s="61">
        <f t="shared" si="32"/>
        <v>0</v>
      </c>
      <c r="AN105" s="61">
        <f t="shared" si="33"/>
        <v>0</v>
      </c>
      <c r="AO105" s="61">
        <f t="shared" si="34"/>
        <v>0</v>
      </c>
      <c r="AP105" s="61">
        <f t="shared" si="35"/>
        <v>0</v>
      </c>
      <c r="AQ105" s="49"/>
    </row>
    <row r="106" spans="1:43" ht="20.100000000000001" customHeight="1">
      <c r="A106" s="49" t="s">
        <v>454</v>
      </c>
      <c r="B106" s="49">
        <v>100</v>
      </c>
      <c r="C106" s="56" t="s">
        <v>294</v>
      </c>
      <c r="D106" s="56" t="s">
        <v>157</v>
      </c>
      <c r="E106" s="56" t="s">
        <v>67</v>
      </c>
      <c r="F106" s="49">
        <f>VLOOKUP(C106,'[1]논산시 마을상수도'!$E$5:$K$171,6,FALSE)</f>
        <v>40</v>
      </c>
      <c r="G106" s="49">
        <f>VLOOKUP(C106,'[1]논산시 마을상수도'!$E$5:$K$171,3,FALSE)</f>
        <v>1996</v>
      </c>
      <c r="H106" s="49">
        <f>VLOOKUP($C106,'[1]논산시 마을상수도'!$E$5:$K$171,4,FALSE)</f>
        <v>34</v>
      </c>
      <c r="I106" s="49">
        <v>2006</v>
      </c>
      <c r="J106" s="49"/>
      <c r="K106" s="49">
        <v>2007</v>
      </c>
      <c r="L106" s="49">
        <f t="shared" si="25"/>
        <v>2007</v>
      </c>
      <c r="M106" s="49">
        <v>1996</v>
      </c>
      <c r="N106" s="49">
        <v>2020</v>
      </c>
      <c r="O106" s="49" t="str">
        <f t="shared" si="26"/>
        <v/>
      </c>
      <c r="P106" s="49"/>
      <c r="Q106" s="49" t="str">
        <f t="shared" si="27"/>
        <v/>
      </c>
      <c r="R106" s="49" t="str">
        <f t="shared" si="28"/>
        <v/>
      </c>
      <c r="S106" s="49" t="str">
        <f t="shared" si="29"/>
        <v/>
      </c>
      <c r="T106" s="49" t="str">
        <f t="shared" si="36"/>
        <v/>
      </c>
      <c r="U106" s="49" t="str">
        <f t="shared" si="37"/>
        <v/>
      </c>
      <c r="V106" s="49" t="str">
        <f t="shared" si="38"/>
        <v/>
      </c>
      <c r="W106" s="49" t="str">
        <f t="shared" si="39"/>
        <v/>
      </c>
      <c r="X106" s="49" t="str">
        <f t="shared" si="40"/>
        <v/>
      </c>
      <c r="Y106" s="49"/>
      <c r="Z106" s="49" t="s">
        <v>114</v>
      </c>
      <c r="AA106" s="49" t="str">
        <f t="shared" si="30"/>
        <v>F</v>
      </c>
      <c r="AB106" s="61"/>
      <c r="AC106" s="61"/>
      <c r="AD106" s="61" t="str">
        <f>IF(O106="개량",ROUND(VLOOKUP($F106,'개량사업비 산정기준'!$A$5:$I$23,2,FALSE)/1000,0),"")</f>
        <v/>
      </c>
      <c r="AE106" s="61"/>
      <c r="AF106" s="61" t="str">
        <f>IF(Q106="개량",ROUND(VLOOKUP($F106,'개량사업비 산정기준'!$A$5:$I$23,6,FALSE)/1000,0),"")</f>
        <v/>
      </c>
      <c r="AG106" s="61" t="str">
        <f>IF(R106="개량",ROUND(VLOOKUP($F106,'개량사업비 산정기준'!$A$5:$I$23,7,FALSE)/1000,0),"")</f>
        <v/>
      </c>
      <c r="AH106" s="61" t="str">
        <f>IF(S106="개량",ROUND(((AB106*'개량사업비 산정기준'!$B$34)+(AC106*'개량사업비 산정기준'!$C$34))/1000000,0),"")</f>
        <v/>
      </c>
      <c r="AI106" s="61"/>
      <c r="AJ106" s="61" t="str">
        <f>IF($AA106="D",ROUND('개량사업비 산정기준'!$F$56/1000,0),IF($AA106="E",ROUND('개량사업비 산정기준'!$F$56/1000,0),""))</f>
        <v/>
      </c>
      <c r="AK106" s="61">
        <f t="shared" si="31"/>
        <v>0</v>
      </c>
      <c r="AL106" s="61"/>
      <c r="AM106" s="61">
        <f t="shared" si="32"/>
        <v>0</v>
      </c>
      <c r="AN106" s="61">
        <f t="shared" si="33"/>
        <v>0</v>
      </c>
      <c r="AO106" s="61">
        <f t="shared" si="34"/>
        <v>0</v>
      </c>
      <c r="AP106" s="61">
        <f t="shared" si="35"/>
        <v>0</v>
      </c>
      <c r="AQ106" s="49"/>
    </row>
    <row r="107" spans="1:43" ht="20.100000000000001" customHeight="1">
      <c r="A107" s="49" t="s">
        <v>454</v>
      </c>
      <c r="B107" s="49">
        <v>101</v>
      </c>
      <c r="C107" s="56" t="s">
        <v>295</v>
      </c>
      <c r="D107" s="56" t="s">
        <v>157</v>
      </c>
      <c r="E107" s="56" t="s">
        <v>10</v>
      </c>
      <c r="F107" s="49">
        <f>VLOOKUP(C107,'[1]논산시 마을상수도'!$E$5:$K$171,6,FALSE)</f>
        <v>10</v>
      </c>
      <c r="G107" s="49">
        <f>VLOOKUP(C107,'[1]논산시 마을상수도'!$E$5:$K$171,3,FALSE)</f>
        <v>2010</v>
      </c>
      <c r="H107" s="49">
        <f>VLOOKUP($C107,'[1]논산시 마을상수도'!$E$5:$K$171,4,FALSE)</f>
        <v>9</v>
      </c>
      <c r="I107" s="49">
        <v>2010</v>
      </c>
      <c r="J107" s="49"/>
      <c r="K107" s="49">
        <v>2010</v>
      </c>
      <c r="L107" s="49">
        <v>2010</v>
      </c>
      <c r="M107" s="49">
        <v>2010</v>
      </c>
      <c r="N107" s="49">
        <v>2025</v>
      </c>
      <c r="O107" s="49" t="str">
        <f t="shared" si="26"/>
        <v/>
      </c>
      <c r="P107" s="49"/>
      <c r="Q107" s="49" t="str">
        <f t="shared" si="27"/>
        <v/>
      </c>
      <c r="R107" s="49" t="str">
        <f t="shared" si="28"/>
        <v/>
      </c>
      <c r="S107" s="49" t="str">
        <f t="shared" si="29"/>
        <v/>
      </c>
      <c r="T107" s="49" t="str">
        <f t="shared" si="36"/>
        <v/>
      </c>
      <c r="U107" s="49" t="str">
        <f t="shared" si="37"/>
        <v/>
      </c>
      <c r="V107" s="49" t="str">
        <f t="shared" si="38"/>
        <v/>
      </c>
      <c r="W107" s="49" t="str">
        <f t="shared" si="39"/>
        <v/>
      </c>
      <c r="X107" s="49" t="str">
        <f t="shared" si="40"/>
        <v/>
      </c>
      <c r="Y107" s="49">
        <v>2</v>
      </c>
      <c r="Z107" s="49" t="s">
        <v>114</v>
      </c>
      <c r="AA107" s="49" t="str">
        <f t="shared" si="30"/>
        <v>E</v>
      </c>
      <c r="AB107" s="61"/>
      <c r="AC107" s="61"/>
      <c r="AD107" s="61" t="str">
        <f>IF(O107="개량",ROUND(VLOOKUP($F107,'개량사업비 산정기준'!$A$5:$I$23,2,FALSE)/1000,0),"")</f>
        <v/>
      </c>
      <c r="AE107" s="61"/>
      <c r="AF107" s="61" t="str">
        <f>IF(Q107="개량",ROUND(VLOOKUP($F107,'개량사업비 산정기준'!$A$5:$I$23,6,FALSE)/1000,0),"")</f>
        <v/>
      </c>
      <c r="AG107" s="61" t="str">
        <f>IF(R107="개량",ROUND(VLOOKUP($F107,'개량사업비 산정기준'!$A$5:$I$23,7,FALSE)/1000,0),"")</f>
        <v/>
      </c>
      <c r="AH107" s="61" t="str">
        <f>IF(S107="개량",ROUND(((AB107*'개량사업비 산정기준'!$B$34)+(AC107*'개량사업비 산정기준'!$C$34))/1000000,0),"")</f>
        <v/>
      </c>
      <c r="AI107" s="61"/>
      <c r="AJ107" s="61">
        <f>IF($AA107="D",ROUND('개량사업비 산정기준'!$F$56/1000,0),IF($AA107="E",ROUND('개량사업비 산정기준'!$F$56/1000,0),""))</f>
        <v>48</v>
      </c>
      <c r="AK107" s="61">
        <f t="shared" si="31"/>
        <v>48</v>
      </c>
      <c r="AL107" s="61">
        <v>2</v>
      </c>
      <c r="AM107" s="61">
        <f t="shared" si="32"/>
        <v>0</v>
      </c>
      <c r="AN107" s="61">
        <f t="shared" si="33"/>
        <v>48</v>
      </c>
      <c r="AO107" s="61">
        <f t="shared" si="34"/>
        <v>0</v>
      </c>
      <c r="AP107" s="61">
        <f t="shared" si="35"/>
        <v>0</v>
      </c>
      <c r="AQ107" s="49"/>
    </row>
    <row r="108" spans="1:43" ht="20.100000000000001" customHeight="1">
      <c r="A108" s="49" t="s">
        <v>454</v>
      </c>
      <c r="B108" s="49">
        <v>102</v>
      </c>
      <c r="C108" s="56" t="s">
        <v>296</v>
      </c>
      <c r="D108" s="56" t="s">
        <v>157</v>
      </c>
      <c r="E108" s="56" t="s">
        <v>290</v>
      </c>
      <c r="F108" s="49">
        <f>VLOOKUP(C108,'[1]논산시 마을상수도'!$E$5:$K$171,6,FALSE)</f>
        <v>30</v>
      </c>
      <c r="G108" s="49">
        <f>VLOOKUP(C108,'[1]논산시 마을상수도'!$E$5:$K$171,3,FALSE)</f>
        <v>2012</v>
      </c>
      <c r="H108" s="49">
        <f>VLOOKUP($C108,'[1]논산시 마을상수도'!$E$5:$K$171,4,FALSE)</f>
        <v>17</v>
      </c>
      <c r="I108" s="49">
        <v>2012</v>
      </c>
      <c r="J108" s="49"/>
      <c r="K108" s="49">
        <v>2012</v>
      </c>
      <c r="L108" s="49">
        <f t="shared" si="25"/>
        <v>2012</v>
      </c>
      <c r="M108" s="49">
        <v>2012</v>
      </c>
      <c r="N108" s="49">
        <v>2025</v>
      </c>
      <c r="O108" s="49" t="str">
        <f t="shared" si="26"/>
        <v/>
      </c>
      <c r="P108" s="49"/>
      <c r="Q108" s="49" t="str">
        <f t="shared" si="27"/>
        <v/>
      </c>
      <c r="R108" s="49" t="str">
        <f t="shared" si="28"/>
        <v/>
      </c>
      <c r="S108" s="49" t="str">
        <f t="shared" si="29"/>
        <v/>
      </c>
      <c r="T108" s="49" t="str">
        <f t="shared" si="36"/>
        <v/>
      </c>
      <c r="U108" s="49" t="str">
        <f t="shared" si="37"/>
        <v/>
      </c>
      <c r="V108" s="49" t="str">
        <f t="shared" si="38"/>
        <v/>
      </c>
      <c r="W108" s="49" t="str">
        <f t="shared" si="39"/>
        <v/>
      </c>
      <c r="X108" s="49" t="str">
        <f t="shared" si="40"/>
        <v/>
      </c>
      <c r="Y108" s="49">
        <v>2</v>
      </c>
      <c r="Z108" s="49" t="s">
        <v>114</v>
      </c>
      <c r="AA108" s="49" t="str">
        <f t="shared" si="30"/>
        <v>E</v>
      </c>
      <c r="AB108" s="61"/>
      <c r="AC108" s="61"/>
      <c r="AD108" s="61" t="str">
        <f>IF(O108="개량",ROUND(VLOOKUP($F108,'개량사업비 산정기준'!$A$5:$I$23,2,FALSE)/1000,0),"")</f>
        <v/>
      </c>
      <c r="AE108" s="61"/>
      <c r="AF108" s="61" t="str">
        <f>IF(Q108="개량",ROUND(VLOOKUP($F108,'개량사업비 산정기준'!$A$5:$I$23,6,FALSE)/1000,0),"")</f>
        <v/>
      </c>
      <c r="AG108" s="61" t="str">
        <f>IF(R108="개량",ROUND(VLOOKUP($F108,'개량사업비 산정기준'!$A$5:$I$23,7,FALSE)/1000,0),"")</f>
        <v/>
      </c>
      <c r="AH108" s="61" t="str">
        <f>IF(S108="개량",ROUND(((AB108*'개량사업비 산정기준'!$B$34)+(AC108*'개량사업비 산정기준'!$C$34))/1000000,0),"")</f>
        <v/>
      </c>
      <c r="AI108" s="61"/>
      <c r="AJ108" s="61">
        <f>IF($AA108="D",ROUND('개량사업비 산정기준'!$F$56/1000,0),IF($AA108="E",ROUND('개량사업비 산정기준'!$F$56/1000,0),""))</f>
        <v>48</v>
      </c>
      <c r="AK108" s="61">
        <f t="shared" si="31"/>
        <v>48</v>
      </c>
      <c r="AL108" s="61">
        <v>2</v>
      </c>
      <c r="AM108" s="61">
        <f t="shared" si="32"/>
        <v>0</v>
      </c>
      <c r="AN108" s="61">
        <f t="shared" si="33"/>
        <v>48</v>
      </c>
      <c r="AO108" s="61">
        <f t="shared" si="34"/>
        <v>0</v>
      </c>
      <c r="AP108" s="61">
        <f t="shared" si="35"/>
        <v>0</v>
      </c>
      <c r="AQ108" s="49"/>
    </row>
    <row r="109" spans="1:43" ht="20.100000000000001" customHeight="1">
      <c r="A109" s="49" t="s">
        <v>454</v>
      </c>
      <c r="B109" s="49">
        <v>103</v>
      </c>
      <c r="C109" s="56" t="s">
        <v>298</v>
      </c>
      <c r="D109" s="56" t="s">
        <v>157</v>
      </c>
      <c r="E109" s="56" t="s">
        <v>297</v>
      </c>
      <c r="F109" s="49">
        <f>VLOOKUP(C109,'[1]논산시 마을상수도'!$E$5:$K$171,6,FALSE)</f>
        <v>30</v>
      </c>
      <c r="G109" s="49">
        <f>VLOOKUP(C109,'[1]논산시 마을상수도'!$E$5:$K$171,3,FALSE)</f>
        <v>2013</v>
      </c>
      <c r="H109" s="49">
        <f>VLOOKUP($C109,'[1]논산시 마을상수도'!$E$5:$K$171,4,FALSE)</f>
        <v>22</v>
      </c>
      <c r="I109" s="49">
        <v>2013</v>
      </c>
      <c r="J109" s="49"/>
      <c r="K109" s="49">
        <v>2013</v>
      </c>
      <c r="L109" s="49">
        <f t="shared" si="25"/>
        <v>2013</v>
      </c>
      <c r="M109" s="49">
        <v>2013</v>
      </c>
      <c r="N109" s="49">
        <v>2025</v>
      </c>
      <c r="O109" s="49" t="str">
        <f t="shared" si="26"/>
        <v/>
      </c>
      <c r="P109" s="49"/>
      <c r="Q109" s="49" t="str">
        <f t="shared" si="27"/>
        <v/>
      </c>
      <c r="R109" s="49" t="str">
        <f t="shared" si="28"/>
        <v/>
      </c>
      <c r="S109" s="49" t="str">
        <f t="shared" si="29"/>
        <v/>
      </c>
      <c r="T109" s="49" t="str">
        <f t="shared" si="36"/>
        <v/>
      </c>
      <c r="U109" s="49" t="str">
        <f t="shared" si="37"/>
        <v/>
      </c>
      <c r="V109" s="49" t="str">
        <f t="shared" si="38"/>
        <v/>
      </c>
      <c r="W109" s="49" t="str">
        <f t="shared" si="39"/>
        <v/>
      </c>
      <c r="X109" s="49" t="str">
        <f t="shared" si="40"/>
        <v/>
      </c>
      <c r="Y109" s="49">
        <v>2</v>
      </c>
      <c r="Z109" s="49" t="s">
        <v>114</v>
      </c>
      <c r="AA109" s="49" t="str">
        <f t="shared" si="30"/>
        <v>E</v>
      </c>
      <c r="AB109" s="61"/>
      <c r="AC109" s="61"/>
      <c r="AD109" s="61" t="str">
        <f>IF(O109="개량",ROUND(VLOOKUP($F109,'개량사업비 산정기준'!$A$5:$I$23,2,FALSE)/1000,0),"")</f>
        <v/>
      </c>
      <c r="AE109" s="61"/>
      <c r="AF109" s="61" t="str">
        <f>IF(Q109="개량",ROUND(VLOOKUP($F109,'개량사업비 산정기준'!$A$5:$I$23,6,FALSE)/1000,0),"")</f>
        <v/>
      </c>
      <c r="AG109" s="61" t="str">
        <f>IF(R109="개량",ROUND(VLOOKUP($F109,'개량사업비 산정기준'!$A$5:$I$23,7,FALSE)/1000,0),"")</f>
        <v/>
      </c>
      <c r="AH109" s="61" t="str">
        <f>IF(S109="개량",ROUND(((AB109*'개량사업비 산정기준'!$B$34)+(AC109*'개량사업비 산정기준'!$C$34))/1000000,0),"")</f>
        <v/>
      </c>
      <c r="AI109" s="61"/>
      <c r="AJ109" s="61">
        <f>IF($AA109="D",ROUND('개량사업비 산정기준'!$F$56/1000,0),IF($AA109="E",ROUND('개량사업비 산정기준'!$F$56/1000,0),""))</f>
        <v>48</v>
      </c>
      <c r="AK109" s="61">
        <f t="shared" si="31"/>
        <v>48</v>
      </c>
      <c r="AL109" s="61">
        <v>2</v>
      </c>
      <c r="AM109" s="61">
        <f t="shared" si="32"/>
        <v>0</v>
      </c>
      <c r="AN109" s="61">
        <f t="shared" si="33"/>
        <v>48</v>
      </c>
      <c r="AO109" s="61">
        <f t="shared" si="34"/>
        <v>0</v>
      </c>
      <c r="AP109" s="61">
        <f t="shared" si="35"/>
        <v>0</v>
      </c>
      <c r="AQ109" s="49"/>
    </row>
    <row r="110" spans="1:43" ht="20.100000000000001" customHeight="1">
      <c r="A110" s="49" t="s">
        <v>454</v>
      </c>
      <c r="B110" s="49">
        <v>104</v>
      </c>
      <c r="C110" s="56" t="s">
        <v>300</v>
      </c>
      <c r="D110" s="56" t="s">
        <v>173</v>
      </c>
      <c r="E110" s="56" t="s">
        <v>299</v>
      </c>
      <c r="F110" s="49">
        <f>VLOOKUP(C110,'[1]논산시 마을상수도'!$E$5:$K$171,6,FALSE)</f>
        <v>30</v>
      </c>
      <c r="G110" s="49">
        <f>VLOOKUP(C110,'[1]논산시 마을상수도'!$E$5:$K$171,3,FALSE)</f>
        <v>1974</v>
      </c>
      <c r="H110" s="49">
        <f>VLOOKUP($C110,'[1]논산시 마을상수도'!$E$5:$K$171,4,FALSE)</f>
        <v>25</v>
      </c>
      <c r="I110" s="49">
        <v>2010</v>
      </c>
      <c r="J110" s="49"/>
      <c r="K110" s="49">
        <v>2010</v>
      </c>
      <c r="L110" s="49">
        <f t="shared" si="25"/>
        <v>2010</v>
      </c>
      <c r="M110" s="49">
        <v>2010</v>
      </c>
      <c r="N110" s="49">
        <v>2020</v>
      </c>
      <c r="O110" s="49" t="str">
        <f t="shared" si="26"/>
        <v/>
      </c>
      <c r="P110" s="49"/>
      <c r="Q110" s="49" t="str">
        <f t="shared" si="27"/>
        <v/>
      </c>
      <c r="R110" s="49" t="str">
        <f t="shared" si="28"/>
        <v/>
      </c>
      <c r="S110" s="49" t="str">
        <f t="shared" si="29"/>
        <v/>
      </c>
      <c r="T110" s="49" t="str">
        <f t="shared" si="36"/>
        <v/>
      </c>
      <c r="U110" s="49" t="str">
        <f t="shared" si="37"/>
        <v/>
      </c>
      <c r="V110" s="49" t="str">
        <f t="shared" si="38"/>
        <v/>
      </c>
      <c r="W110" s="49" t="str">
        <f t="shared" si="39"/>
        <v/>
      </c>
      <c r="X110" s="49" t="str">
        <f t="shared" si="40"/>
        <v/>
      </c>
      <c r="Y110" s="49"/>
      <c r="Z110" s="49" t="s">
        <v>114</v>
      </c>
      <c r="AA110" s="49" t="str">
        <f t="shared" si="30"/>
        <v>F</v>
      </c>
      <c r="AB110" s="61"/>
      <c r="AC110" s="61"/>
      <c r="AD110" s="61" t="str">
        <f>IF(O110="개량",ROUND(VLOOKUP($F110,'개량사업비 산정기준'!$A$5:$I$23,2,FALSE)/1000,0),"")</f>
        <v/>
      </c>
      <c r="AE110" s="61"/>
      <c r="AF110" s="61" t="str">
        <f>IF(Q110="개량",ROUND(VLOOKUP($F110,'개량사업비 산정기준'!$A$5:$I$23,6,FALSE)/1000,0),"")</f>
        <v/>
      </c>
      <c r="AG110" s="61" t="str">
        <f>IF(R110="개량",ROUND(VLOOKUP($F110,'개량사업비 산정기준'!$A$5:$I$23,7,FALSE)/1000,0),"")</f>
        <v/>
      </c>
      <c r="AH110" s="61" t="str">
        <f>IF(S110="개량",ROUND(((AB110*'개량사업비 산정기준'!$B$34)+(AC110*'개량사업비 산정기준'!$C$34))/1000000,0),"")</f>
        <v/>
      </c>
      <c r="AI110" s="61"/>
      <c r="AJ110" s="61" t="str">
        <f>IF($AA110="D",ROUND('개량사업비 산정기준'!$F$56/1000,0),IF($AA110="E",ROUND('개량사업비 산정기준'!$F$56/1000,0),""))</f>
        <v/>
      </c>
      <c r="AK110" s="61">
        <f t="shared" si="31"/>
        <v>0</v>
      </c>
      <c r="AL110" s="61"/>
      <c r="AM110" s="61">
        <f t="shared" si="32"/>
        <v>0</v>
      </c>
      <c r="AN110" s="61">
        <f t="shared" si="33"/>
        <v>0</v>
      </c>
      <c r="AO110" s="61">
        <f t="shared" si="34"/>
        <v>0</v>
      </c>
      <c r="AP110" s="61">
        <f t="shared" si="35"/>
        <v>0</v>
      </c>
      <c r="AQ110" s="49"/>
    </row>
    <row r="111" spans="1:43" ht="20.100000000000001" customHeight="1">
      <c r="A111" s="49" t="s">
        <v>454</v>
      </c>
      <c r="B111" s="49">
        <v>105</v>
      </c>
      <c r="C111" s="56" t="s">
        <v>301</v>
      </c>
      <c r="D111" s="56" t="s">
        <v>173</v>
      </c>
      <c r="E111" s="56" t="s">
        <v>68</v>
      </c>
      <c r="F111" s="49">
        <f>VLOOKUP(C111,'[1]논산시 마을상수도'!$E$5:$K$171,6,FALSE)</f>
        <v>40</v>
      </c>
      <c r="G111" s="49">
        <f>VLOOKUP(C111,'[1]논산시 마을상수도'!$E$5:$K$171,3,FALSE)</f>
        <v>1975</v>
      </c>
      <c r="H111" s="49">
        <f>VLOOKUP($C111,'[1]논산시 마을상수도'!$E$5:$K$171,4,FALSE)</f>
        <v>27</v>
      </c>
      <c r="I111" s="49">
        <v>2009</v>
      </c>
      <c r="J111" s="49"/>
      <c r="K111" s="49">
        <v>2009</v>
      </c>
      <c r="L111" s="49">
        <f t="shared" si="25"/>
        <v>2009</v>
      </c>
      <c r="M111" s="49">
        <v>2009</v>
      </c>
      <c r="N111" s="49">
        <v>2020</v>
      </c>
      <c r="O111" s="49" t="str">
        <f t="shared" si="26"/>
        <v/>
      </c>
      <c r="P111" s="49"/>
      <c r="Q111" s="49" t="str">
        <f t="shared" si="27"/>
        <v/>
      </c>
      <c r="R111" s="49" t="str">
        <f t="shared" si="28"/>
        <v/>
      </c>
      <c r="S111" s="49" t="str">
        <f t="shared" si="29"/>
        <v/>
      </c>
      <c r="T111" s="49" t="str">
        <f t="shared" si="36"/>
        <v/>
      </c>
      <c r="U111" s="49" t="str">
        <f t="shared" si="37"/>
        <v/>
      </c>
      <c r="V111" s="49" t="str">
        <f t="shared" si="38"/>
        <v/>
      </c>
      <c r="W111" s="49" t="str">
        <f t="shared" si="39"/>
        <v/>
      </c>
      <c r="X111" s="49" t="str">
        <f t="shared" si="40"/>
        <v/>
      </c>
      <c r="Y111" s="49"/>
      <c r="Z111" s="49" t="s">
        <v>114</v>
      </c>
      <c r="AA111" s="49" t="str">
        <f t="shared" si="30"/>
        <v>F</v>
      </c>
      <c r="AB111" s="61"/>
      <c r="AC111" s="61"/>
      <c r="AD111" s="61" t="str">
        <f>IF(O111="개량",ROUND(VLOOKUP($F111,'개량사업비 산정기준'!$A$5:$I$23,2,FALSE)/1000,0),"")</f>
        <v/>
      </c>
      <c r="AE111" s="61"/>
      <c r="AF111" s="61" t="str">
        <f>IF(Q111="개량",ROUND(VLOOKUP($F111,'개량사업비 산정기준'!$A$5:$I$23,6,FALSE)/1000,0),"")</f>
        <v/>
      </c>
      <c r="AG111" s="61" t="str">
        <f>IF(R111="개량",ROUND(VLOOKUP($F111,'개량사업비 산정기준'!$A$5:$I$23,7,FALSE)/1000,0),"")</f>
        <v/>
      </c>
      <c r="AH111" s="61" t="str">
        <f>IF(S111="개량",ROUND(((AB111*'개량사업비 산정기준'!$B$34)+(AC111*'개량사업비 산정기준'!$C$34))/1000000,0),"")</f>
        <v/>
      </c>
      <c r="AI111" s="61"/>
      <c r="AJ111" s="61" t="str">
        <f>IF($AA111="D",ROUND('개량사업비 산정기준'!$F$56/1000,0),IF($AA111="E",ROUND('개량사업비 산정기준'!$F$56/1000,0),""))</f>
        <v/>
      </c>
      <c r="AK111" s="61">
        <f t="shared" si="31"/>
        <v>0</v>
      </c>
      <c r="AL111" s="61"/>
      <c r="AM111" s="61">
        <f t="shared" si="32"/>
        <v>0</v>
      </c>
      <c r="AN111" s="61">
        <f t="shared" si="33"/>
        <v>0</v>
      </c>
      <c r="AO111" s="61">
        <f t="shared" si="34"/>
        <v>0</v>
      </c>
      <c r="AP111" s="61">
        <f t="shared" si="35"/>
        <v>0</v>
      </c>
      <c r="AQ111" s="49"/>
    </row>
    <row r="112" spans="1:43" ht="20.100000000000001" customHeight="1">
      <c r="A112" s="49" t="s">
        <v>454</v>
      </c>
      <c r="B112" s="49">
        <v>106</v>
      </c>
      <c r="C112" s="56" t="s">
        <v>303</v>
      </c>
      <c r="D112" s="56" t="s">
        <v>173</v>
      </c>
      <c r="E112" s="56" t="s">
        <v>302</v>
      </c>
      <c r="F112" s="49">
        <f>VLOOKUP(C112,'[1]논산시 마을상수도'!$E$5:$K$171,6,FALSE)</f>
        <v>40</v>
      </c>
      <c r="G112" s="49">
        <f>VLOOKUP(C112,'[1]논산시 마을상수도'!$E$5:$K$171,3,FALSE)</f>
        <v>1983</v>
      </c>
      <c r="H112" s="49">
        <f>VLOOKUP($C112,'[1]논산시 마을상수도'!$E$5:$K$171,4,FALSE)</f>
        <v>29</v>
      </c>
      <c r="I112" s="49">
        <v>2007</v>
      </c>
      <c r="J112" s="49">
        <v>2008</v>
      </c>
      <c r="K112" s="49">
        <v>2007</v>
      </c>
      <c r="L112" s="49">
        <f t="shared" si="25"/>
        <v>2007</v>
      </c>
      <c r="M112" s="49">
        <v>2007</v>
      </c>
      <c r="N112" s="49">
        <v>2020</v>
      </c>
      <c r="O112" s="49" t="str">
        <f t="shared" si="26"/>
        <v/>
      </c>
      <c r="P112" s="49"/>
      <c r="Q112" s="49" t="str">
        <f t="shared" si="27"/>
        <v/>
      </c>
      <c r="R112" s="49" t="str">
        <f t="shared" si="28"/>
        <v/>
      </c>
      <c r="S112" s="49" t="str">
        <f t="shared" si="29"/>
        <v/>
      </c>
      <c r="T112" s="49" t="str">
        <f t="shared" si="36"/>
        <v/>
      </c>
      <c r="U112" s="49" t="str">
        <f t="shared" si="37"/>
        <v/>
      </c>
      <c r="V112" s="49" t="str">
        <f t="shared" si="38"/>
        <v/>
      </c>
      <c r="W112" s="49" t="str">
        <f t="shared" si="39"/>
        <v/>
      </c>
      <c r="X112" s="49" t="str">
        <f t="shared" si="40"/>
        <v/>
      </c>
      <c r="Y112" s="49"/>
      <c r="Z112" s="49" t="s">
        <v>114</v>
      </c>
      <c r="AA112" s="49" t="str">
        <f t="shared" si="30"/>
        <v>F</v>
      </c>
      <c r="AB112" s="61"/>
      <c r="AC112" s="61"/>
      <c r="AD112" s="61" t="str">
        <f>IF(O112="개량",ROUND(VLOOKUP($F112,'개량사업비 산정기준'!$A$5:$I$23,2,FALSE)/1000,0),"")</f>
        <v/>
      </c>
      <c r="AE112" s="61"/>
      <c r="AF112" s="61" t="str">
        <f>IF(Q112="개량",ROUND(VLOOKUP($F112,'개량사업비 산정기준'!$A$5:$I$23,6,FALSE)/1000,0),"")</f>
        <v/>
      </c>
      <c r="AG112" s="61" t="str">
        <f>IF(R112="개량",ROUND(VLOOKUP($F112,'개량사업비 산정기준'!$A$5:$I$23,7,FALSE)/1000,0),"")</f>
        <v/>
      </c>
      <c r="AH112" s="61" t="str">
        <f>IF(S112="개량",ROUND(((AB112*'개량사업비 산정기준'!$B$34)+(AC112*'개량사업비 산정기준'!$C$34))/1000000,0),"")</f>
        <v/>
      </c>
      <c r="AI112" s="61"/>
      <c r="AJ112" s="61" t="str">
        <f>IF($AA112="D",ROUND('개량사업비 산정기준'!$F$56/1000,0),IF($AA112="E",ROUND('개량사업비 산정기준'!$F$56/1000,0),""))</f>
        <v/>
      </c>
      <c r="AK112" s="61">
        <f t="shared" si="31"/>
        <v>0</v>
      </c>
      <c r="AL112" s="61"/>
      <c r="AM112" s="61">
        <f t="shared" si="32"/>
        <v>0</v>
      </c>
      <c r="AN112" s="61">
        <f t="shared" si="33"/>
        <v>0</v>
      </c>
      <c r="AO112" s="61">
        <f t="shared" si="34"/>
        <v>0</v>
      </c>
      <c r="AP112" s="61">
        <f t="shared" si="35"/>
        <v>0</v>
      </c>
      <c r="AQ112" s="49"/>
    </row>
    <row r="113" spans="1:43" ht="20.100000000000001" customHeight="1">
      <c r="A113" s="49" t="s">
        <v>454</v>
      </c>
      <c r="B113" s="49">
        <v>107</v>
      </c>
      <c r="C113" s="56" t="s">
        <v>304</v>
      </c>
      <c r="D113" s="56" t="s">
        <v>173</v>
      </c>
      <c r="E113" s="56" t="s">
        <v>302</v>
      </c>
      <c r="F113" s="49">
        <f>VLOOKUP(C113,'[1]논산시 마을상수도'!$E$5:$K$171,6,FALSE)</f>
        <v>40</v>
      </c>
      <c r="G113" s="49">
        <f>VLOOKUP(C113,'[1]논산시 마을상수도'!$E$5:$K$171,3,FALSE)</f>
        <v>1984</v>
      </c>
      <c r="H113" s="49">
        <f>VLOOKUP($C113,'[1]논산시 마을상수도'!$E$5:$K$171,4,FALSE)</f>
        <v>28</v>
      </c>
      <c r="I113" s="49">
        <v>2007</v>
      </c>
      <c r="J113" s="49"/>
      <c r="K113" s="49">
        <v>2007</v>
      </c>
      <c r="L113" s="49">
        <f t="shared" si="25"/>
        <v>2007</v>
      </c>
      <c r="M113" s="49">
        <v>2007</v>
      </c>
      <c r="N113" s="49">
        <v>2020</v>
      </c>
      <c r="O113" s="49" t="str">
        <f t="shared" si="26"/>
        <v/>
      </c>
      <c r="P113" s="49"/>
      <c r="Q113" s="49" t="str">
        <f t="shared" si="27"/>
        <v/>
      </c>
      <c r="R113" s="49" t="str">
        <f t="shared" si="28"/>
        <v/>
      </c>
      <c r="S113" s="49" t="str">
        <f t="shared" si="29"/>
        <v/>
      </c>
      <c r="T113" s="49" t="str">
        <f t="shared" si="36"/>
        <v/>
      </c>
      <c r="U113" s="49" t="str">
        <f t="shared" si="37"/>
        <v/>
      </c>
      <c r="V113" s="49" t="str">
        <f t="shared" si="38"/>
        <v/>
      </c>
      <c r="W113" s="49" t="str">
        <f t="shared" si="39"/>
        <v/>
      </c>
      <c r="X113" s="49" t="str">
        <f t="shared" si="40"/>
        <v/>
      </c>
      <c r="Y113" s="49"/>
      <c r="Z113" s="49" t="s">
        <v>114</v>
      </c>
      <c r="AA113" s="49" t="str">
        <f t="shared" si="30"/>
        <v>F</v>
      </c>
      <c r="AB113" s="61"/>
      <c r="AC113" s="61"/>
      <c r="AD113" s="61" t="str">
        <f>IF(O113="개량",ROUND(VLOOKUP($F113,'개량사업비 산정기준'!$A$5:$I$23,2,FALSE)/1000,0),"")</f>
        <v/>
      </c>
      <c r="AE113" s="61"/>
      <c r="AF113" s="61" t="str">
        <f>IF(Q113="개량",ROUND(VLOOKUP($F113,'개량사업비 산정기준'!$A$5:$I$23,6,FALSE)/1000,0),"")</f>
        <v/>
      </c>
      <c r="AG113" s="61" t="str">
        <f>IF(R113="개량",ROUND(VLOOKUP($F113,'개량사업비 산정기준'!$A$5:$I$23,7,FALSE)/1000,0),"")</f>
        <v/>
      </c>
      <c r="AH113" s="61" t="str">
        <f>IF(S113="개량",ROUND(((AB113*'개량사업비 산정기준'!$B$34)+(AC113*'개량사업비 산정기준'!$C$34))/1000000,0),"")</f>
        <v/>
      </c>
      <c r="AI113" s="61"/>
      <c r="AJ113" s="61" t="str">
        <f>IF($AA113="D",ROUND('개량사업비 산정기준'!$F$56/1000,0),IF($AA113="E",ROUND('개량사업비 산정기준'!$F$56/1000,0),""))</f>
        <v/>
      </c>
      <c r="AK113" s="61">
        <f t="shared" si="31"/>
        <v>0</v>
      </c>
      <c r="AL113" s="61"/>
      <c r="AM113" s="61">
        <f t="shared" si="32"/>
        <v>0</v>
      </c>
      <c r="AN113" s="61">
        <f t="shared" si="33"/>
        <v>0</v>
      </c>
      <c r="AO113" s="61">
        <f t="shared" si="34"/>
        <v>0</v>
      </c>
      <c r="AP113" s="61">
        <f t="shared" si="35"/>
        <v>0</v>
      </c>
      <c r="AQ113" s="49"/>
    </row>
    <row r="114" spans="1:43" ht="20.100000000000001" customHeight="1">
      <c r="A114" s="49" t="s">
        <v>454</v>
      </c>
      <c r="B114" s="49">
        <v>108</v>
      </c>
      <c r="C114" s="56" t="s">
        <v>306</v>
      </c>
      <c r="D114" s="56" t="s">
        <v>173</v>
      </c>
      <c r="E114" s="56" t="s">
        <v>305</v>
      </c>
      <c r="F114" s="49">
        <f>VLOOKUP(C114,'[1]논산시 마을상수도'!$E$5:$K$171,6,FALSE)</f>
        <v>30</v>
      </c>
      <c r="G114" s="49">
        <f>VLOOKUP(C114,'[1]논산시 마을상수도'!$E$5:$K$171,3,FALSE)</f>
        <v>1984</v>
      </c>
      <c r="H114" s="49">
        <f>VLOOKUP($C114,'[1]논산시 마을상수도'!$E$5:$K$171,4,FALSE)</f>
        <v>16</v>
      </c>
      <c r="I114" s="49">
        <v>2011</v>
      </c>
      <c r="J114" s="49"/>
      <c r="K114" s="49">
        <v>2011</v>
      </c>
      <c r="L114" s="49">
        <f t="shared" si="25"/>
        <v>2011</v>
      </c>
      <c r="M114" s="49">
        <v>1984</v>
      </c>
      <c r="N114" s="49">
        <v>2020</v>
      </c>
      <c r="O114" s="49" t="str">
        <f t="shared" si="26"/>
        <v/>
      </c>
      <c r="P114" s="49"/>
      <c r="Q114" s="49" t="str">
        <f t="shared" si="27"/>
        <v/>
      </c>
      <c r="R114" s="49" t="str">
        <f t="shared" si="28"/>
        <v/>
      </c>
      <c r="S114" s="49" t="str">
        <f t="shared" si="29"/>
        <v>개량</v>
      </c>
      <c r="T114" s="49" t="str">
        <f t="shared" si="36"/>
        <v/>
      </c>
      <c r="U114" s="49" t="str">
        <f t="shared" si="37"/>
        <v/>
      </c>
      <c r="V114" s="49" t="str">
        <f t="shared" si="38"/>
        <v/>
      </c>
      <c r="W114" s="49" t="str">
        <f t="shared" si="39"/>
        <v/>
      </c>
      <c r="X114" s="49">
        <f t="shared" si="40"/>
        <v>1</v>
      </c>
      <c r="Y114" s="49">
        <v>2</v>
      </c>
      <c r="Z114" s="49" t="s">
        <v>114</v>
      </c>
      <c r="AA114" s="49" t="str">
        <f t="shared" si="30"/>
        <v>D</v>
      </c>
      <c r="AB114" s="61">
        <v>90</v>
      </c>
      <c r="AC114" s="61">
        <v>752</v>
      </c>
      <c r="AD114" s="61" t="str">
        <f>IF(O114="개량",ROUND(VLOOKUP($F114,'개량사업비 산정기준'!$A$5:$I$23,2,FALSE)/1000,0),"")</f>
        <v/>
      </c>
      <c r="AE114" s="61"/>
      <c r="AF114" s="61" t="str">
        <f>IF(Q114="개량",ROUND(VLOOKUP($F114,'개량사업비 산정기준'!$A$5:$I$23,6,FALSE)/1000,0),"")</f>
        <v/>
      </c>
      <c r="AG114" s="61" t="str">
        <f>IF(R114="개량",ROUND(VLOOKUP($F114,'개량사업비 산정기준'!$A$5:$I$23,7,FALSE)/1000,0),"")</f>
        <v/>
      </c>
      <c r="AH114" s="61">
        <f>IF(S114="개량",ROUND(((AB114*'개량사업비 산정기준'!$B$34)+(AC114*'개량사업비 산정기준'!$C$34))/1000000,0),"")</f>
        <v>180</v>
      </c>
      <c r="AI114" s="61">
        <f>IF((AB114+AC114)&lt;=1000,ROUND('개량사업비 산정기준'!$B$45/1000,0),IF((AB114+AC114)&lt;=2000,ROUND('개량사업비 산정기준'!$C$45/1000,0),ROUND('개량사업비 산정기준'!$E$45/1000,0)))</f>
        <v>9</v>
      </c>
      <c r="AJ114" s="61">
        <f>IF($AA114="D",ROUND('개량사업비 산정기준'!$F$56/1000,0),IF($AA114="E",ROUND('개량사업비 산정기준'!$F$56/1000,0),""))</f>
        <v>48</v>
      </c>
      <c r="AK114" s="61">
        <f t="shared" si="31"/>
        <v>237</v>
      </c>
      <c r="AL114" s="61">
        <v>1</v>
      </c>
      <c r="AM114" s="61">
        <f t="shared" si="32"/>
        <v>237</v>
      </c>
      <c r="AN114" s="61">
        <f t="shared" si="33"/>
        <v>0</v>
      </c>
      <c r="AO114" s="61">
        <f t="shared" si="34"/>
        <v>0</v>
      </c>
      <c r="AP114" s="61">
        <f t="shared" si="35"/>
        <v>0</v>
      </c>
      <c r="AQ114" s="49"/>
    </row>
    <row r="115" spans="1:43" ht="20.100000000000001" customHeight="1">
      <c r="A115" s="49" t="s">
        <v>454</v>
      </c>
      <c r="B115" s="49">
        <v>109</v>
      </c>
      <c r="C115" s="56" t="s">
        <v>308</v>
      </c>
      <c r="D115" s="56" t="s">
        <v>173</v>
      </c>
      <c r="E115" s="56" t="s">
        <v>307</v>
      </c>
      <c r="F115" s="49">
        <f>VLOOKUP(C115,'[1]논산시 마을상수도'!$E$5:$K$171,6,FALSE)</f>
        <v>40</v>
      </c>
      <c r="G115" s="49">
        <f>VLOOKUP(C115,'[1]논산시 마을상수도'!$E$5:$K$171,3,FALSE)</f>
        <v>1985</v>
      </c>
      <c r="H115" s="49">
        <f>VLOOKUP($C115,'[1]논산시 마을상수도'!$E$5:$K$171,4,FALSE)</f>
        <v>30</v>
      </c>
      <c r="I115" s="49">
        <v>2007</v>
      </c>
      <c r="J115" s="49"/>
      <c r="K115" s="49">
        <v>2007</v>
      </c>
      <c r="L115" s="49">
        <f t="shared" si="25"/>
        <v>2007</v>
      </c>
      <c r="M115" s="49">
        <v>2007</v>
      </c>
      <c r="N115" s="49">
        <v>2020</v>
      </c>
      <c r="O115" s="49" t="str">
        <f t="shared" si="26"/>
        <v/>
      </c>
      <c r="P115" s="49"/>
      <c r="Q115" s="49" t="str">
        <f t="shared" si="27"/>
        <v/>
      </c>
      <c r="R115" s="49" t="str">
        <f t="shared" si="28"/>
        <v/>
      </c>
      <c r="S115" s="49" t="str">
        <f t="shared" si="29"/>
        <v/>
      </c>
      <c r="T115" s="49" t="str">
        <f t="shared" si="36"/>
        <v/>
      </c>
      <c r="U115" s="49" t="str">
        <f t="shared" si="37"/>
        <v/>
      </c>
      <c r="V115" s="49" t="str">
        <f t="shared" si="38"/>
        <v/>
      </c>
      <c r="W115" s="49" t="str">
        <f t="shared" si="39"/>
        <v/>
      </c>
      <c r="X115" s="49" t="str">
        <f t="shared" si="40"/>
        <v/>
      </c>
      <c r="Y115" s="49"/>
      <c r="Z115" s="49" t="s">
        <v>114</v>
      </c>
      <c r="AA115" s="49" t="str">
        <f t="shared" si="30"/>
        <v>F</v>
      </c>
      <c r="AB115" s="61"/>
      <c r="AC115" s="61"/>
      <c r="AD115" s="61" t="str">
        <f>IF(O115="개량",ROUND(VLOOKUP($F115,'개량사업비 산정기준'!$A$5:$I$23,2,FALSE)/1000,0),"")</f>
        <v/>
      </c>
      <c r="AE115" s="61"/>
      <c r="AF115" s="61" t="str">
        <f>IF(Q115="개량",ROUND(VLOOKUP($F115,'개량사업비 산정기준'!$A$5:$I$23,6,FALSE)/1000,0),"")</f>
        <v/>
      </c>
      <c r="AG115" s="61" t="str">
        <f>IF(R115="개량",ROUND(VLOOKUP($F115,'개량사업비 산정기준'!$A$5:$I$23,7,FALSE)/1000,0),"")</f>
        <v/>
      </c>
      <c r="AH115" s="61" t="str">
        <f>IF(S115="개량",ROUND(((AB115*'개량사업비 산정기준'!$B$34)+(AC115*'개량사업비 산정기준'!$C$34))/1000000,0),"")</f>
        <v/>
      </c>
      <c r="AI115" s="61"/>
      <c r="AJ115" s="61" t="str">
        <f>IF($AA115="D",ROUND('개량사업비 산정기준'!$F$56/1000,0),IF($AA115="E",ROUND('개량사업비 산정기준'!$F$56/1000,0),""))</f>
        <v/>
      </c>
      <c r="AK115" s="61">
        <f t="shared" si="31"/>
        <v>0</v>
      </c>
      <c r="AL115" s="61"/>
      <c r="AM115" s="61">
        <f t="shared" si="32"/>
        <v>0</v>
      </c>
      <c r="AN115" s="61">
        <f t="shared" si="33"/>
        <v>0</v>
      </c>
      <c r="AO115" s="61">
        <f t="shared" si="34"/>
        <v>0</v>
      </c>
      <c r="AP115" s="61">
        <f t="shared" si="35"/>
        <v>0</v>
      </c>
      <c r="AQ115" s="49"/>
    </row>
    <row r="116" spans="1:43" ht="20.100000000000001" customHeight="1">
      <c r="A116" s="49" t="s">
        <v>454</v>
      </c>
      <c r="B116" s="49">
        <v>110</v>
      </c>
      <c r="C116" s="56" t="s">
        <v>309</v>
      </c>
      <c r="D116" s="56" t="s">
        <v>173</v>
      </c>
      <c r="E116" s="56" t="s">
        <v>299</v>
      </c>
      <c r="F116" s="49">
        <f>VLOOKUP(C116,'[1]논산시 마을상수도'!$E$5:$K$171,6,FALSE)</f>
        <v>40</v>
      </c>
      <c r="G116" s="49">
        <f>VLOOKUP(C116,'[1]논산시 마을상수도'!$E$5:$K$171,3,FALSE)</f>
        <v>1985</v>
      </c>
      <c r="H116" s="49">
        <f>VLOOKUP($C116,'[1]논산시 마을상수도'!$E$5:$K$171,4,FALSE)</f>
        <v>30</v>
      </c>
      <c r="I116" s="49">
        <v>2010</v>
      </c>
      <c r="J116" s="49"/>
      <c r="K116" s="49">
        <v>2010</v>
      </c>
      <c r="L116" s="49">
        <f t="shared" si="25"/>
        <v>2010</v>
      </c>
      <c r="M116" s="49">
        <v>2010</v>
      </c>
      <c r="N116" s="49">
        <v>2020</v>
      </c>
      <c r="O116" s="49" t="str">
        <f t="shared" si="26"/>
        <v/>
      </c>
      <c r="P116" s="49"/>
      <c r="Q116" s="49" t="str">
        <f t="shared" si="27"/>
        <v/>
      </c>
      <c r="R116" s="49" t="str">
        <f t="shared" si="28"/>
        <v/>
      </c>
      <c r="S116" s="49" t="str">
        <f t="shared" si="29"/>
        <v/>
      </c>
      <c r="T116" s="49" t="str">
        <f t="shared" si="36"/>
        <v/>
      </c>
      <c r="U116" s="49" t="str">
        <f t="shared" si="37"/>
        <v/>
      </c>
      <c r="V116" s="49" t="str">
        <f t="shared" si="38"/>
        <v/>
      </c>
      <c r="W116" s="49" t="str">
        <f t="shared" si="39"/>
        <v/>
      </c>
      <c r="X116" s="49" t="str">
        <f t="shared" si="40"/>
        <v/>
      </c>
      <c r="Y116" s="49"/>
      <c r="Z116" s="49" t="s">
        <v>114</v>
      </c>
      <c r="AA116" s="49" t="str">
        <f t="shared" si="30"/>
        <v>F</v>
      </c>
      <c r="AB116" s="61"/>
      <c r="AC116" s="61"/>
      <c r="AD116" s="61" t="str">
        <f>IF(O116="개량",ROUND(VLOOKUP($F116,'개량사업비 산정기준'!$A$5:$I$23,2,FALSE)/1000,0),"")</f>
        <v/>
      </c>
      <c r="AE116" s="61"/>
      <c r="AF116" s="61" t="str">
        <f>IF(Q116="개량",ROUND(VLOOKUP($F116,'개량사업비 산정기준'!$A$5:$I$23,6,FALSE)/1000,0),"")</f>
        <v/>
      </c>
      <c r="AG116" s="61" t="str">
        <f>IF(R116="개량",ROUND(VLOOKUP($F116,'개량사업비 산정기준'!$A$5:$I$23,7,FALSE)/1000,0),"")</f>
        <v/>
      </c>
      <c r="AH116" s="61" t="str">
        <f>IF(S116="개량",ROUND(((AB116*'개량사업비 산정기준'!$B$34)+(AC116*'개량사업비 산정기준'!$C$34))/1000000,0),"")</f>
        <v/>
      </c>
      <c r="AI116" s="61"/>
      <c r="AJ116" s="61" t="str">
        <f>IF($AA116="D",ROUND('개량사업비 산정기준'!$F$56/1000,0),IF($AA116="E",ROUND('개량사업비 산정기준'!$F$56/1000,0),""))</f>
        <v/>
      </c>
      <c r="AK116" s="61">
        <f t="shared" si="31"/>
        <v>0</v>
      </c>
      <c r="AL116" s="61"/>
      <c r="AM116" s="61">
        <f t="shared" si="32"/>
        <v>0</v>
      </c>
      <c r="AN116" s="61">
        <f t="shared" si="33"/>
        <v>0</v>
      </c>
      <c r="AO116" s="61">
        <f t="shared" si="34"/>
        <v>0</v>
      </c>
      <c r="AP116" s="61">
        <f t="shared" si="35"/>
        <v>0</v>
      </c>
      <c r="AQ116" s="49"/>
    </row>
    <row r="117" spans="1:43" ht="20.100000000000001" customHeight="1">
      <c r="A117" s="49" t="s">
        <v>454</v>
      </c>
      <c r="B117" s="49">
        <v>111</v>
      </c>
      <c r="C117" s="56" t="s">
        <v>310</v>
      </c>
      <c r="D117" s="56" t="s">
        <v>173</v>
      </c>
      <c r="E117" s="56" t="s">
        <v>302</v>
      </c>
      <c r="F117" s="49">
        <f>VLOOKUP(C117,'[1]논산시 마을상수도'!$E$5:$K$171,6,FALSE)</f>
        <v>30</v>
      </c>
      <c r="G117" s="49">
        <f>VLOOKUP(C117,'[1]논산시 마을상수도'!$E$5:$K$171,3,FALSE)</f>
        <v>1985</v>
      </c>
      <c r="H117" s="49">
        <f>VLOOKUP($C117,'[1]논산시 마을상수도'!$E$5:$K$171,4,FALSE)</f>
        <v>21</v>
      </c>
      <c r="I117" s="49">
        <v>2006</v>
      </c>
      <c r="J117" s="49"/>
      <c r="K117" s="49">
        <v>2006</v>
      </c>
      <c r="L117" s="49">
        <f t="shared" si="25"/>
        <v>2006</v>
      </c>
      <c r="M117" s="49">
        <v>2006</v>
      </c>
      <c r="N117" s="49">
        <v>2020</v>
      </c>
      <c r="O117" s="49" t="str">
        <f t="shared" si="26"/>
        <v/>
      </c>
      <c r="P117" s="49"/>
      <c r="Q117" s="49" t="str">
        <f t="shared" si="27"/>
        <v/>
      </c>
      <c r="R117" s="49" t="str">
        <f t="shared" si="28"/>
        <v/>
      </c>
      <c r="S117" s="49" t="str">
        <f t="shared" si="29"/>
        <v/>
      </c>
      <c r="T117" s="49" t="str">
        <f t="shared" si="36"/>
        <v/>
      </c>
      <c r="U117" s="49" t="str">
        <f t="shared" si="37"/>
        <v/>
      </c>
      <c r="V117" s="49" t="str">
        <f t="shared" si="38"/>
        <v/>
      </c>
      <c r="W117" s="49" t="str">
        <f t="shared" si="39"/>
        <v/>
      </c>
      <c r="X117" s="49" t="str">
        <f t="shared" si="40"/>
        <v/>
      </c>
      <c r="Y117" s="49"/>
      <c r="Z117" s="49" t="s">
        <v>114</v>
      </c>
      <c r="AA117" s="49" t="str">
        <f t="shared" si="30"/>
        <v>F</v>
      </c>
      <c r="AB117" s="61"/>
      <c r="AC117" s="61"/>
      <c r="AD117" s="61" t="str">
        <f>IF(O117="개량",ROUND(VLOOKUP($F117,'개량사업비 산정기준'!$A$5:$I$23,2,FALSE)/1000,0),"")</f>
        <v/>
      </c>
      <c r="AE117" s="61"/>
      <c r="AF117" s="61" t="str">
        <f>IF(Q117="개량",ROUND(VLOOKUP($F117,'개량사업비 산정기준'!$A$5:$I$23,6,FALSE)/1000,0),"")</f>
        <v/>
      </c>
      <c r="AG117" s="61" t="str">
        <f>IF(R117="개량",ROUND(VLOOKUP($F117,'개량사업비 산정기준'!$A$5:$I$23,7,FALSE)/1000,0),"")</f>
        <v/>
      </c>
      <c r="AH117" s="61" t="str">
        <f>IF(S117="개량",ROUND(((AB117*'개량사업비 산정기준'!$B$34)+(AC117*'개량사업비 산정기준'!$C$34))/1000000,0),"")</f>
        <v/>
      </c>
      <c r="AI117" s="61"/>
      <c r="AJ117" s="61" t="str">
        <f>IF($AA117="D",ROUND('개량사업비 산정기준'!$F$56/1000,0),IF($AA117="E",ROUND('개량사업비 산정기준'!$F$56/1000,0),""))</f>
        <v/>
      </c>
      <c r="AK117" s="61">
        <f t="shared" si="31"/>
        <v>0</v>
      </c>
      <c r="AL117" s="61"/>
      <c r="AM117" s="61">
        <f t="shared" si="32"/>
        <v>0</v>
      </c>
      <c r="AN117" s="61">
        <f t="shared" si="33"/>
        <v>0</v>
      </c>
      <c r="AO117" s="61">
        <f t="shared" si="34"/>
        <v>0</v>
      </c>
      <c r="AP117" s="61">
        <f t="shared" si="35"/>
        <v>0</v>
      </c>
      <c r="AQ117" s="49"/>
    </row>
    <row r="118" spans="1:43" ht="20.100000000000001" customHeight="1">
      <c r="A118" s="49" t="s">
        <v>454</v>
      </c>
      <c r="B118" s="49">
        <v>112</v>
      </c>
      <c r="C118" s="56" t="s">
        <v>312</v>
      </c>
      <c r="D118" s="56" t="s">
        <v>173</v>
      </c>
      <c r="E118" s="56" t="s">
        <v>311</v>
      </c>
      <c r="F118" s="49">
        <f>VLOOKUP(C118,'[1]논산시 마을상수도'!$E$5:$K$171,6,FALSE)</f>
        <v>30</v>
      </c>
      <c r="G118" s="49">
        <f>VLOOKUP(C118,'[1]논산시 마을상수도'!$E$5:$K$171,3,FALSE)</f>
        <v>2001</v>
      </c>
      <c r="H118" s="49">
        <f>VLOOKUP($C118,'[1]논산시 마을상수도'!$E$5:$K$171,4,FALSE)</f>
        <v>25</v>
      </c>
      <c r="I118" s="49">
        <v>2001</v>
      </c>
      <c r="J118" s="49"/>
      <c r="K118" s="49">
        <v>2001</v>
      </c>
      <c r="L118" s="49">
        <f t="shared" si="25"/>
        <v>2001</v>
      </c>
      <c r="M118" s="49">
        <v>2001</v>
      </c>
      <c r="N118" s="49">
        <v>2020</v>
      </c>
      <c r="O118" s="49" t="str">
        <f t="shared" si="26"/>
        <v/>
      </c>
      <c r="P118" s="49"/>
      <c r="Q118" s="49" t="str">
        <f t="shared" si="27"/>
        <v/>
      </c>
      <c r="R118" s="49" t="str">
        <f t="shared" si="28"/>
        <v/>
      </c>
      <c r="S118" s="49" t="str">
        <f t="shared" si="29"/>
        <v/>
      </c>
      <c r="T118" s="49" t="str">
        <f t="shared" si="36"/>
        <v/>
      </c>
      <c r="U118" s="49" t="str">
        <f t="shared" si="37"/>
        <v/>
      </c>
      <c r="V118" s="49" t="str">
        <f t="shared" si="38"/>
        <v/>
      </c>
      <c r="W118" s="49" t="str">
        <f t="shared" si="39"/>
        <v/>
      </c>
      <c r="X118" s="49" t="str">
        <f t="shared" si="40"/>
        <v/>
      </c>
      <c r="Y118" s="49"/>
      <c r="Z118" s="49" t="s">
        <v>114</v>
      </c>
      <c r="AA118" s="49" t="str">
        <f t="shared" si="30"/>
        <v>F</v>
      </c>
      <c r="AB118" s="61"/>
      <c r="AC118" s="61"/>
      <c r="AD118" s="61" t="str">
        <f>IF(O118="개량",ROUND(VLOOKUP($F118,'개량사업비 산정기준'!$A$5:$I$23,2,FALSE)/1000,0),"")</f>
        <v/>
      </c>
      <c r="AE118" s="61"/>
      <c r="AF118" s="61" t="str">
        <f>IF(Q118="개량",ROUND(VLOOKUP($F118,'개량사업비 산정기준'!$A$5:$I$23,6,FALSE)/1000,0),"")</f>
        <v/>
      </c>
      <c r="AG118" s="61" t="str">
        <f>IF(R118="개량",ROUND(VLOOKUP($F118,'개량사업비 산정기준'!$A$5:$I$23,7,FALSE)/1000,0),"")</f>
        <v/>
      </c>
      <c r="AH118" s="61" t="str">
        <f>IF(S118="개량",ROUND(((AB118*'개량사업비 산정기준'!$B$34)+(AC118*'개량사업비 산정기준'!$C$34))/1000000,0),"")</f>
        <v/>
      </c>
      <c r="AI118" s="61"/>
      <c r="AJ118" s="61" t="str">
        <f>IF($AA118="D",ROUND('개량사업비 산정기준'!$F$56/1000,0),IF($AA118="E",ROUND('개량사업비 산정기준'!$F$56/1000,0),""))</f>
        <v/>
      </c>
      <c r="AK118" s="61">
        <f t="shared" si="31"/>
        <v>0</v>
      </c>
      <c r="AL118" s="61"/>
      <c r="AM118" s="61">
        <f t="shared" si="32"/>
        <v>0</v>
      </c>
      <c r="AN118" s="61">
        <f t="shared" si="33"/>
        <v>0</v>
      </c>
      <c r="AO118" s="61">
        <f t="shared" si="34"/>
        <v>0</v>
      </c>
      <c r="AP118" s="61">
        <f t="shared" si="35"/>
        <v>0</v>
      </c>
      <c r="AQ118" s="49"/>
    </row>
    <row r="119" spans="1:43" ht="20.100000000000001" customHeight="1">
      <c r="A119" s="49" t="s">
        <v>454</v>
      </c>
      <c r="B119" s="49">
        <v>113</v>
      </c>
      <c r="C119" s="56" t="s">
        <v>314</v>
      </c>
      <c r="D119" s="56" t="s">
        <v>188</v>
      </c>
      <c r="E119" s="56" t="s">
        <v>313</v>
      </c>
      <c r="F119" s="49">
        <f>VLOOKUP(C119,'[1]논산시 마을상수도'!$E$5:$K$171,6,FALSE)</f>
        <v>30</v>
      </c>
      <c r="G119" s="49">
        <f>VLOOKUP(C119,'[1]논산시 마을상수도'!$E$5:$K$171,3,FALSE)</f>
        <v>1982</v>
      </c>
      <c r="H119" s="49">
        <f>VLOOKUP($C119,'[1]논산시 마을상수도'!$E$5:$K$171,4,FALSE)</f>
        <v>20</v>
      </c>
      <c r="I119" s="49">
        <v>2001</v>
      </c>
      <c r="J119" s="49"/>
      <c r="K119" s="49">
        <v>2001</v>
      </c>
      <c r="L119" s="49">
        <f t="shared" si="25"/>
        <v>2001</v>
      </c>
      <c r="M119" s="49">
        <v>1982</v>
      </c>
      <c r="N119" s="49">
        <v>2020</v>
      </c>
      <c r="O119" s="49" t="str">
        <f t="shared" si="26"/>
        <v/>
      </c>
      <c r="P119" s="49"/>
      <c r="Q119" s="49" t="str">
        <f t="shared" si="27"/>
        <v/>
      </c>
      <c r="R119" s="49" t="str">
        <f t="shared" si="28"/>
        <v/>
      </c>
      <c r="S119" s="49" t="str">
        <f t="shared" si="29"/>
        <v>개량</v>
      </c>
      <c r="T119" s="49" t="str">
        <f t="shared" si="36"/>
        <v/>
      </c>
      <c r="U119" s="49" t="str">
        <f t="shared" si="37"/>
        <v/>
      </c>
      <c r="V119" s="49" t="str">
        <f t="shared" si="38"/>
        <v/>
      </c>
      <c r="W119" s="49" t="str">
        <f t="shared" si="39"/>
        <v/>
      </c>
      <c r="X119" s="49">
        <f t="shared" si="40"/>
        <v>1</v>
      </c>
      <c r="Y119" s="49">
        <v>2</v>
      </c>
      <c r="Z119" s="49" t="s">
        <v>114</v>
      </c>
      <c r="AA119" s="49" t="str">
        <f t="shared" si="30"/>
        <v>D</v>
      </c>
      <c r="AB119" s="61">
        <v>280</v>
      </c>
      <c r="AC119" s="61">
        <v>987</v>
      </c>
      <c r="AD119" s="61" t="str">
        <f>IF(O119="개량",ROUND(VLOOKUP($F119,'개량사업비 산정기준'!$A$5:$I$23,2,FALSE)/1000,0),"")</f>
        <v/>
      </c>
      <c r="AE119" s="61"/>
      <c r="AF119" s="61" t="str">
        <f>IF(Q119="개량",ROUND(VLOOKUP($F119,'개량사업비 산정기준'!$A$5:$I$23,6,FALSE)/1000,0),"")</f>
        <v/>
      </c>
      <c r="AG119" s="61" t="str">
        <f>IF(R119="개량",ROUND(VLOOKUP($F119,'개량사업비 산정기준'!$A$5:$I$23,7,FALSE)/1000,0),"")</f>
        <v/>
      </c>
      <c r="AH119" s="61">
        <f>IF(S119="개량",ROUND(((AB119*'개량사업비 산정기준'!$B$34)+(AC119*'개량사업비 산정기준'!$C$34))/1000000,0),"")</f>
        <v>245</v>
      </c>
      <c r="AI119" s="61">
        <f>IF((AB119+AC119)&lt;=1000,ROUND('개량사업비 산정기준'!$B$45/1000,0),IF((AB119+AC119)&lt;=2000,ROUND('개량사업비 산정기준'!$C$45/1000,0),ROUND('개량사업비 산정기준'!$E$45/1000,0)))</f>
        <v>11</v>
      </c>
      <c r="AJ119" s="61">
        <f>IF($AA119="D",ROUND('개량사업비 산정기준'!$F$56/1000,0),IF($AA119="E",ROUND('개량사업비 산정기준'!$F$56/1000,0),""))</f>
        <v>48</v>
      </c>
      <c r="AK119" s="61">
        <f t="shared" si="31"/>
        <v>304</v>
      </c>
      <c r="AL119" s="61">
        <v>1</v>
      </c>
      <c r="AM119" s="61">
        <f t="shared" si="32"/>
        <v>304</v>
      </c>
      <c r="AN119" s="61">
        <f t="shared" si="33"/>
        <v>0</v>
      </c>
      <c r="AO119" s="61">
        <f t="shared" si="34"/>
        <v>0</v>
      </c>
      <c r="AP119" s="61">
        <f t="shared" si="35"/>
        <v>0</v>
      </c>
      <c r="AQ119" s="49"/>
    </row>
    <row r="120" spans="1:43" ht="20.100000000000001" customHeight="1">
      <c r="A120" s="49" t="s">
        <v>454</v>
      </c>
      <c r="B120" s="49">
        <v>114</v>
      </c>
      <c r="C120" s="56" t="s">
        <v>316</v>
      </c>
      <c r="D120" s="56" t="s">
        <v>192</v>
      </c>
      <c r="E120" s="56" t="s">
        <v>315</v>
      </c>
      <c r="F120" s="49">
        <f>VLOOKUP(C120,'[1]논산시 마을상수도'!$E$5:$K$171,6,FALSE)</f>
        <v>50</v>
      </c>
      <c r="G120" s="49">
        <f>VLOOKUP(C120,'[1]논산시 마을상수도'!$E$5:$K$171,3,FALSE)</f>
        <v>2004</v>
      </c>
      <c r="H120" s="49">
        <f>VLOOKUP($C120,'[1]논산시 마을상수도'!$E$5:$K$171,4,FALSE)</f>
        <v>39</v>
      </c>
      <c r="I120" s="49">
        <v>2004</v>
      </c>
      <c r="J120" s="49"/>
      <c r="K120" s="49">
        <v>2004</v>
      </c>
      <c r="L120" s="49">
        <f t="shared" si="25"/>
        <v>2004</v>
      </c>
      <c r="M120" s="49">
        <v>2004</v>
      </c>
      <c r="N120" s="64">
        <v>2025</v>
      </c>
      <c r="O120" s="49" t="str">
        <f t="shared" si="26"/>
        <v/>
      </c>
      <c r="P120" s="49"/>
      <c r="Q120" s="49" t="str">
        <f t="shared" si="27"/>
        <v/>
      </c>
      <c r="R120" s="49" t="str">
        <f t="shared" si="28"/>
        <v/>
      </c>
      <c r="S120" s="49" t="str">
        <f t="shared" si="29"/>
        <v/>
      </c>
      <c r="T120" s="49" t="str">
        <f t="shared" si="36"/>
        <v/>
      </c>
      <c r="U120" s="49" t="str">
        <f t="shared" si="37"/>
        <v/>
      </c>
      <c r="V120" s="49" t="str">
        <f t="shared" si="38"/>
        <v/>
      </c>
      <c r="W120" s="49" t="str">
        <f t="shared" si="39"/>
        <v/>
      </c>
      <c r="X120" s="49" t="str">
        <f t="shared" si="40"/>
        <v/>
      </c>
      <c r="Y120" s="49"/>
      <c r="Z120" s="49" t="s">
        <v>114</v>
      </c>
      <c r="AA120" s="49" t="str">
        <f t="shared" si="30"/>
        <v>E</v>
      </c>
      <c r="AB120" s="61"/>
      <c r="AC120" s="61"/>
      <c r="AD120" s="61" t="str">
        <f>IF(O120="개량",ROUND(VLOOKUP($F120,'개량사업비 산정기준'!$A$5:$I$23,2,FALSE)/1000,0),"")</f>
        <v/>
      </c>
      <c r="AE120" s="61"/>
      <c r="AF120" s="61" t="str">
        <f>IF(Q120="개량",ROUND(VLOOKUP($F120,'개량사업비 산정기준'!$A$5:$I$23,6,FALSE)/1000,0),"")</f>
        <v/>
      </c>
      <c r="AG120" s="61" t="str">
        <f>IF(R120="개량",ROUND(VLOOKUP($F120,'개량사업비 산정기준'!$A$5:$I$23,7,FALSE)/1000,0),"")</f>
        <v/>
      </c>
      <c r="AH120" s="61" t="str">
        <f>IF(S120="개량",ROUND(((AB120*'개량사업비 산정기준'!$B$34)+(AC120*'개량사업비 산정기준'!$C$34))/1000000,0),"")</f>
        <v/>
      </c>
      <c r="AI120" s="61"/>
      <c r="AJ120" s="61">
        <f>IF($AA120="D",ROUND('개량사업비 산정기준'!$F$56/1000,0),IF($AA120="E",ROUND('개량사업비 산정기준'!$F$56/1000,0),""))</f>
        <v>48</v>
      </c>
      <c r="AK120" s="61">
        <f t="shared" si="31"/>
        <v>48</v>
      </c>
      <c r="AL120" s="61"/>
      <c r="AM120" s="61">
        <f t="shared" si="32"/>
        <v>0</v>
      </c>
      <c r="AN120" s="61">
        <f t="shared" si="33"/>
        <v>0</v>
      </c>
      <c r="AO120" s="61">
        <f t="shared" si="34"/>
        <v>0</v>
      </c>
      <c r="AP120" s="61">
        <f t="shared" si="35"/>
        <v>0</v>
      </c>
      <c r="AQ120" s="49"/>
    </row>
    <row r="121" spans="1:43" ht="20.100000000000001" customHeight="1">
      <c r="A121" s="49" t="s">
        <v>454</v>
      </c>
      <c r="B121" s="49">
        <v>115</v>
      </c>
      <c r="C121" s="56" t="s">
        <v>318</v>
      </c>
      <c r="D121" s="56" t="s">
        <v>192</v>
      </c>
      <c r="E121" s="56" t="s">
        <v>317</v>
      </c>
      <c r="F121" s="49">
        <f>VLOOKUP(C121,'[1]논산시 마을상수도'!$E$5:$K$171,6,FALSE)</f>
        <v>50</v>
      </c>
      <c r="G121" s="49">
        <f>VLOOKUP(C121,'[1]논산시 마을상수도'!$E$5:$K$171,3,FALSE)</f>
        <v>2007</v>
      </c>
      <c r="H121" s="49">
        <f>VLOOKUP($C121,'[1]논산시 마을상수도'!$E$5:$K$171,4,FALSE)</f>
        <v>35</v>
      </c>
      <c r="I121" s="49">
        <v>2007</v>
      </c>
      <c r="J121" s="49"/>
      <c r="K121" s="49">
        <v>2007</v>
      </c>
      <c r="L121" s="49">
        <f t="shared" si="25"/>
        <v>2007</v>
      </c>
      <c r="M121" s="49">
        <v>2007</v>
      </c>
      <c r="N121" s="49">
        <v>2025</v>
      </c>
      <c r="O121" s="49" t="str">
        <f t="shared" si="26"/>
        <v/>
      </c>
      <c r="P121" s="49"/>
      <c r="Q121" s="49" t="str">
        <f t="shared" si="27"/>
        <v/>
      </c>
      <c r="R121" s="49" t="str">
        <f t="shared" si="28"/>
        <v/>
      </c>
      <c r="S121" s="49" t="str">
        <f t="shared" si="29"/>
        <v/>
      </c>
      <c r="T121" s="49" t="str">
        <f t="shared" si="36"/>
        <v/>
      </c>
      <c r="U121" s="49" t="str">
        <f t="shared" si="37"/>
        <v/>
      </c>
      <c r="V121" s="49" t="str">
        <f t="shared" si="38"/>
        <v/>
      </c>
      <c r="W121" s="49" t="str">
        <f t="shared" si="39"/>
        <v/>
      </c>
      <c r="X121" s="49" t="str">
        <f t="shared" si="40"/>
        <v/>
      </c>
      <c r="Y121" s="49">
        <v>2</v>
      </c>
      <c r="Z121" s="49" t="s">
        <v>114</v>
      </c>
      <c r="AA121" s="49" t="str">
        <f t="shared" si="30"/>
        <v>E</v>
      </c>
      <c r="AB121" s="61"/>
      <c r="AC121" s="61"/>
      <c r="AD121" s="61" t="str">
        <f>IF(O121="개량",ROUND(VLOOKUP($F121,'개량사업비 산정기준'!$A$5:$I$23,2,FALSE)/1000,0),"")</f>
        <v/>
      </c>
      <c r="AE121" s="61"/>
      <c r="AF121" s="61" t="str">
        <f>IF(Q121="개량",ROUND(VLOOKUP($F121,'개량사업비 산정기준'!$A$5:$I$23,6,FALSE)/1000,0),"")</f>
        <v/>
      </c>
      <c r="AG121" s="61" t="str">
        <f>IF(R121="개량",ROUND(VLOOKUP($F121,'개량사업비 산정기준'!$A$5:$I$23,7,FALSE)/1000,0),"")</f>
        <v/>
      </c>
      <c r="AH121" s="61" t="str">
        <f>IF(S121="개량",ROUND(((AB121*'개량사업비 산정기준'!$B$34)+(AC121*'개량사업비 산정기준'!$C$34))/1000000,0),"")</f>
        <v/>
      </c>
      <c r="AI121" s="61"/>
      <c r="AJ121" s="61">
        <f>IF($AA121="D",ROUND('개량사업비 산정기준'!$F$56/1000,0),IF($AA121="E",ROUND('개량사업비 산정기준'!$F$56/1000,0),""))</f>
        <v>48</v>
      </c>
      <c r="AK121" s="61">
        <f t="shared" si="31"/>
        <v>48</v>
      </c>
      <c r="AL121" s="61">
        <v>2</v>
      </c>
      <c r="AM121" s="61">
        <f t="shared" si="32"/>
        <v>0</v>
      </c>
      <c r="AN121" s="61">
        <f t="shared" si="33"/>
        <v>48</v>
      </c>
      <c r="AO121" s="61">
        <f t="shared" si="34"/>
        <v>0</v>
      </c>
      <c r="AP121" s="61">
        <f t="shared" si="35"/>
        <v>0</v>
      </c>
      <c r="AQ121" s="49"/>
    </row>
    <row r="122" spans="1:43" ht="20.100000000000001" customHeight="1">
      <c r="A122" s="49" t="s">
        <v>454</v>
      </c>
      <c r="B122" s="49">
        <v>116</v>
      </c>
      <c r="C122" s="56" t="s">
        <v>319</v>
      </c>
      <c r="D122" s="56" t="s">
        <v>192</v>
      </c>
      <c r="E122" s="56" t="s">
        <v>32</v>
      </c>
      <c r="F122" s="49">
        <f>VLOOKUP(C122,'[1]논산시 마을상수도'!$E$5:$K$171,6,FALSE)</f>
        <v>30</v>
      </c>
      <c r="G122" s="49">
        <f>VLOOKUP(C122,'[1]논산시 마을상수도'!$E$5:$K$171,3,FALSE)</f>
        <v>2012</v>
      </c>
      <c r="H122" s="49">
        <f>VLOOKUP($C122,'[1]논산시 마을상수도'!$E$5:$K$171,4,FALSE)</f>
        <v>25</v>
      </c>
      <c r="I122" s="49">
        <v>2012</v>
      </c>
      <c r="J122" s="49"/>
      <c r="K122" s="49">
        <v>2012</v>
      </c>
      <c r="L122" s="49">
        <f t="shared" si="25"/>
        <v>2012</v>
      </c>
      <c r="M122" s="49">
        <v>2012</v>
      </c>
      <c r="N122" s="49">
        <v>2025</v>
      </c>
      <c r="O122" s="49" t="str">
        <f t="shared" si="26"/>
        <v/>
      </c>
      <c r="P122" s="49"/>
      <c r="Q122" s="49" t="str">
        <f t="shared" si="27"/>
        <v/>
      </c>
      <c r="R122" s="49" t="str">
        <f t="shared" si="28"/>
        <v/>
      </c>
      <c r="S122" s="49" t="str">
        <f t="shared" si="29"/>
        <v/>
      </c>
      <c r="T122" s="49" t="str">
        <f t="shared" si="36"/>
        <v/>
      </c>
      <c r="U122" s="49" t="str">
        <f t="shared" si="37"/>
        <v/>
      </c>
      <c r="V122" s="49" t="str">
        <f t="shared" si="38"/>
        <v/>
      </c>
      <c r="W122" s="49" t="str">
        <f t="shared" si="39"/>
        <v/>
      </c>
      <c r="X122" s="49" t="str">
        <f t="shared" si="40"/>
        <v/>
      </c>
      <c r="Y122" s="49">
        <v>2</v>
      </c>
      <c r="Z122" s="49" t="s">
        <v>114</v>
      </c>
      <c r="AA122" s="49" t="str">
        <f t="shared" si="30"/>
        <v>E</v>
      </c>
      <c r="AB122" s="61"/>
      <c r="AC122" s="61"/>
      <c r="AD122" s="61" t="str">
        <f>IF(O122="개량",ROUND(VLOOKUP($F122,'개량사업비 산정기준'!$A$5:$I$23,2,FALSE)/1000,0),"")</f>
        <v/>
      </c>
      <c r="AE122" s="61"/>
      <c r="AF122" s="61" t="str">
        <f>IF(Q122="개량",ROUND(VLOOKUP($F122,'개량사업비 산정기준'!$A$5:$I$23,6,FALSE)/1000,0),"")</f>
        <v/>
      </c>
      <c r="AG122" s="61" t="str">
        <f>IF(R122="개량",ROUND(VLOOKUP($F122,'개량사업비 산정기준'!$A$5:$I$23,7,FALSE)/1000,0),"")</f>
        <v/>
      </c>
      <c r="AH122" s="61" t="str">
        <f>IF(S122="개량",ROUND(((AB122*'개량사업비 산정기준'!$B$34)+(AC122*'개량사업비 산정기준'!$C$34))/1000000,0),"")</f>
        <v/>
      </c>
      <c r="AI122" s="61"/>
      <c r="AJ122" s="61">
        <f>IF($AA122="D",ROUND('개량사업비 산정기준'!$F$56/1000,0),IF($AA122="E",ROUND('개량사업비 산정기준'!$F$56/1000,0),""))</f>
        <v>48</v>
      </c>
      <c r="AK122" s="61">
        <f t="shared" si="31"/>
        <v>48</v>
      </c>
      <c r="AL122" s="61">
        <v>2</v>
      </c>
      <c r="AM122" s="61">
        <f t="shared" si="32"/>
        <v>0</v>
      </c>
      <c r="AN122" s="61">
        <f t="shared" si="33"/>
        <v>48</v>
      </c>
      <c r="AO122" s="61">
        <f t="shared" si="34"/>
        <v>0</v>
      </c>
      <c r="AP122" s="61">
        <f t="shared" si="35"/>
        <v>0</v>
      </c>
      <c r="AQ122" s="49"/>
    </row>
    <row r="123" spans="1:43" ht="20.100000000000001" customHeight="1">
      <c r="A123" s="49" t="s">
        <v>454</v>
      </c>
      <c r="B123" s="49">
        <v>117</v>
      </c>
      <c r="C123" s="56" t="s">
        <v>321</v>
      </c>
      <c r="D123" s="56" t="s">
        <v>192</v>
      </c>
      <c r="E123" s="56" t="s">
        <v>320</v>
      </c>
      <c r="F123" s="49">
        <f>VLOOKUP(C123,'[1]논산시 마을상수도'!$E$5:$K$171,6,FALSE)</f>
        <v>50</v>
      </c>
      <c r="G123" s="49">
        <f>VLOOKUP(C123,'[1]논산시 마을상수도'!$E$5:$K$171,3,FALSE)</f>
        <v>2000</v>
      </c>
      <c r="H123" s="49">
        <f>VLOOKUP($C123,'[1]논산시 마을상수도'!$E$5:$K$171,4,FALSE)</f>
        <v>34</v>
      </c>
      <c r="I123" s="49">
        <v>2000</v>
      </c>
      <c r="J123" s="49"/>
      <c r="K123" s="49">
        <v>2000</v>
      </c>
      <c r="L123" s="49">
        <f t="shared" si="25"/>
        <v>2000</v>
      </c>
      <c r="M123" s="49">
        <v>2000</v>
      </c>
      <c r="N123" s="64">
        <v>2025</v>
      </c>
      <c r="O123" s="49" t="str">
        <f t="shared" si="26"/>
        <v/>
      </c>
      <c r="P123" s="49"/>
      <c r="Q123" s="49" t="str">
        <f t="shared" si="27"/>
        <v/>
      </c>
      <c r="R123" s="49" t="str">
        <f t="shared" si="28"/>
        <v/>
      </c>
      <c r="S123" s="49" t="str">
        <f t="shared" si="29"/>
        <v/>
      </c>
      <c r="T123" s="49" t="str">
        <f t="shared" si="36"/>
        <v/>
      </c>
      <c r="U123" s="49" t="str">
        <f t="shared" si="37"/>
        <v/>
      </c>
      <c r="V123" s="49" t="str">
        <f t="shared" si="38"/>
        <v/>
      </c>
      <c r="W123" s="49" t="str">
        <f t="shared" si="39"/>
        <v/>
      </c>
      <c r="X123" s="49" t="str">
        <f t="shared" si="40"/>
        <v/>
      </c>
      <c r="Y123" s="49"/>
      <c r="Z123" s="49" t="s">
        <v>114</v>
      </c>
      <c r="AA123" s="49" t="str">
        <f t="shared" si="30"/>
        <v>E</v>
      </c>
      <c r="AB123" s="61"/>
      <c r="AC123" s="61"/>
      <c r="AD123" s="61" t="str">
        <f>IF(O123="개량",ROUND(VLOOKUP($F123,'개량사업비 산정기준'!$A$5:$I$23,2,FALSE)/1000,0),"")</f>
        <v/>
      </c>
      <c r="AE123" s="61"/>
      <c r="AF123" s="61" t="str">
        <f>IF(Q123="개량",ROUND(VLOOKUP($F123,'개량사업비 산정기준'!$A$5:$I$23,6,FALSE)/1000,0),"")</f>
        <v/>
      </c>
      <c r="AG123" s="61" t="str">
        <f>IF(R123="개량",ROUND(VLOOKUP($F123,'개량사업비 산정기준'!$A$5:$I$23,7,FALSE)/1000,0),"")</f>
        <v/>
      </c>
      <c r="AH123" s="61" t="str">
        <f>IF(S123="개량",ROUND(((AB123*'개량사업비 산정기준'!$B$34)+(AC123*'개량사업비 산정기준'!$C$34))/1000000,0),"")</f>
        <v/>
      </c>
      <c r="AI123" s="61"/>
      <c r="AJ123" s="61">
        <f>IF($AA123="D",ROUND('개량사업비 산정기준'!$F$56/1000,0),IF($AA123="E",ROUND('개량사업비 산정기준'!$F$56/1000,0),""))</f>
        <v>48</v>
      </c>
      <c r="AK123" s="61">
        <f t="shared" si="31"/>
        <v>48</v>
      </c>
      <c r="AL123" s="61"/>
      <c r="AM123" s="61">
        <f t="shared" si="32"/>
        <v>0</v>
      </c>
      <c r="AN123" s="61">
        <f t="shared" si="33"/>
        <v>0</v>
      </c>
      <c r="AO123" s="61">
        <f t="shared" si="34"/>
        <v>0</v>
      </c>
      <c r="AP123" s="61">
        <f t="shared" si="35"/>
        <v>0</v>
      </c>
      <c r="AQ123" s="49"/>
    </row>
    <row r="124" spans="1:43" ht="20.100000000000001" customHeight="1">
      <c r="A124" s="49" t="s">
        <v>454</v>
      </c>
      <c r="B124" s="49">
        <v>118</v>
      </c>
      <c r="C124" s="56" t="s">
        <v>323</v>
      </c>
      <c r="D124" s="56" t="s">
        <v>192</v>
      </c>
      <c r="E124" s="56" t="s">
        <v>322</v>
      </c>
      <c r="F124" s="49">
        <f>VLOOKUP(C124,'[1]논산시 마을상수도'!$E$5:$K$171,6,FALSE)</f>
        <v>40</v>
      </c>
      <c r="G124" s="49">
        <f>VLOOKUP(C124,'[1]논산시 마을상수도'!$E$5:$K$171,3,FALSE)</f>
        <v>2006</v>
      </c>
      <c r="H124" s="49">
        <f>VLOOKUP($C124,'[1]논산시 마을상수도'!$E$5:$K$171,4,FALSE)</f>
        <v>24</v>
      </c>
      <c r="I124" s="49">
        <v>2006</v>
      </c>
      <c r="J124" s="49"/>
      <c r="K124" s="49">
        <v>2006</v>
      </c>
      <c r="L124" s="49">
        <f t="shared" si="25"/>
        <v>2006</v>
      </c>
      <c r="M124" s="49">
        <v>2006</v>
      </c>
      <c r="N124" s="64">
        <v>2025</v>
      </c>
      <c r="O124" s="49" t="str">
        <f t="shared" si="26"/>
        <v/>
      </c>
      <c r="P124" s="49"/>
      <c r="Q124" s="49" t="str">
        <f t="shared" si="27"/>
        <v/>
      </c>
      <c r="R124" s="49" t="str">
        <f t="shared" si="28"/>
        <v/>
      </c>
      <c r="S124" s="49" t="str">
        <f t="shared" si="29"/>
        <v/>
      </c>
      <c r="T124" s="49" t="str">
        <f t="shared" si="36"/>
        <v/>
      </c>
      <c r="U124" s="49" t="str">
        <f t="shared" si="37"/>
        <v/>
      </c>
      <c r="V124" s="49" t="str">
        <f t="shared" si="38"/>
        <v/>
      </c>
      <c r="W124" s="49" t="str">
        <f t="shared" si="39"/>
        <v/>
      </c>
      <c r="X124" s="49" t="str">
        <f t="shared" si="40"/>
        <v/>
      </c>
      <c r="Y124" s="49"/>
      <c r="Z124" s="49" t="s">
        <v>114</v>
      </c>
      <c r="AA124" s="49" t="str">
        <f t="shared" si="30"/>
        <v>E</v>
      </c>
      <c r="AB124" s="61"/>
      <c r="AC124" s="61"/>
      <c r="AD124" s="61" t="str">
        <f>IF(O124="개량",ROUND(VLOOKUP($F124,'개량사업비 산정기준'!$A$5:$I$23,2,FALSE)/1000,0),"")</f>
        <v/>
      </c>
      <c r="AE124" s="61"/>
      <c r="AF124" s="61" t="str">
        <f>IF(Q124="개량",ROUND(VLOOKUP($F124,'개량사업비 산정기준'!$A$5:$I$23,6,FALSE)/1000,0),"")</f>
        <v/>
      </c>
      <c r="AG124" s="61" t="str">
        <f>IF(R124="개량",ROUND(VLOOKUP($F124,'개량사업비 산정기준'!$A$5:$I$23,7,FALSE)/1000,0),"")</f>
        <v/>
      </c>
      <c r="AH124" s="61" t="str">
        <f>IF(S124="개량",ROUND(((AB124*'개량사업비 산정기준'!$B$34)+(AC124*'개량사업비 산정기준'!$C$34))/1000000,0),"")</f>
        <v/>
      </c>
      <c r="AI124" s="61"/>
      <c r="AJ124" s="61">
        <f>IF($AA124="D",ROUND('개량사업비 산정기준'!$F$56/1000,0),IF($AA124="E",ROUND('개량사업비 산정기준'!$F$56/1000,0),""))</f>
        <v>48</v>
      </c>
      <c r="AK124" s="61">
        <f t="shared" si="31"/>
        <v>48</v>
      </c>
      <c r="AL124" s="61"/>
      <c r="AM124" s="61">
        <f t="shared" si="32"/>
        <v>0</v>
      </c>
      <c r="AN124" s="61">
        <f t="shared" si="33"/>
        <v>0</v>
      </c>
      <c r="AO124" s="61">
        <f t="shared" si="34"/>
        <v>0</v>
      </c>
      <c r="AP124" s="61">
        <f t="shared" si="35"/>
        <v>0</v>
      </c>
      <c r="AQ124" s="49"/>
    </row>
    <row r="125" spans="1:43" ht="20.100000000000001" customHeight="1">
      <c r="A125" s="49" t="s">
        <v>454</v>
      </c>
      <c r="B125" s="49">
        <v>119</v>
      </c>
      <c r="C125" s="56" t="s">
        <v>324</v>
      </c>
      <c r="D125" s="56" t="s">
        <v>192</v>
      </c>
      <c r="E125" s="56" t="s">
        <v>32</v>
      </c>
      <c r="F125" s="49">
        <f>VLOOKUP(C125,'[1]논산시 마을상수도'!$E$5:$K$171,6,FALSE)</f>
        <v>50</v>
      </c>
      <c r="G125" s="49">
        <f>VLOOKUP(C125,'[1]논산시 마을상수도'!$E$5:$K$171,3,FALSE)</f>
        <v>2008</v>
      </c>
      <c r="H125" s="49">
        <f>VLOOKUP($C125,'[1]논산시 마을상수도'!$E$5:$K$171,4,FALSE)</f>
        <v>28</v>
      </c>
      <c r="I125" s="49">
        <v>2008</v>
      </c>
      <c r="J125" s="49"/>
      <c r="K125" s="49">
        <v>2008</v>
      </c>
      <c r="L125" s="49">
        <f t="shared" si="25"/>
        <v>2008</v>
      </c>
      <c r="M125" s="49">
        <v>2008</v>
      </c>
      <c r="N125" s="49">
        <v>2025</v>
      </c>
      <c r="O125" s="49" t="str">
        <f t="shared" si="26"/>
        <v/>
      </c>
      <c r="P125" s="49"/>
      <c r="Q125" s="49" t="str">
        <f t="shared" si="27"/>
        <v/>
      </c>
      <c r="R125" s="49" t="str">
        <f t="shared" si="28"/>
        <v/>
      </c>
      <c r="S125" s="49" t="str">
        <f t="shared" si="29"/>
        <v/>
      </c>
      <c r="T125" s="49" t="str">
        <f t="shared" si="36"/>
        <v/>
      </c>
      <c r="U125" s="49" t="str">
        <f t="shared" si="37"/>
        <v/>
      </c>
      <c r="V125" s="49" t="str">
        <f t="shared" si="38"/>
        <v/>
      </c>
      <c r="W125" s="49" t="str">
        <f t="shared" si="39"/>
        <v/>
      </c>
      <c r="X125" s="49" t="str">
        <f t="shared" si="40"/>
        <v/>
      </c>
      <c r="Y125" s="49">
        <v>2</v>
      </c>
      <c r="Z125" s="49" t="s">
        <v>114</v>
      </c>
      <c r="AA125" s="49" t="str">
        <f t="shared" si="30"/>
        <v>E</v>
      </c>
      <c r="AB125" s="61"/>
      <c r="AC125" s="61"/>
      <c r="AD125" s="61" t="str">
        <f>IF(O125="개량",ROUND(VLOOKUP($F125,'개량사업비 산정기준'!$A$5:$I$23,2,FALSE)/1000,0),"")</f>
        <v/>
      </c>
      <c r="AE125" s="61"/>
      <c r="AF125" s="61" t="str">
        <f>IF(Q125="개량",ROUND(VLOOKUP($F125,'개량사업비 산정기준'!$A$5:$I$23,6,FALSE)/1000,0),"")</f>
        <v/>
      </c>
      <c r="AG125" s="61" t="str">
        <f>IF(R125="개량",ROUND(VLOOKUP($F125,'개량사업비 산정기준'!$A$5:$I$23,7,FALSE)/1000,0),"")</f>
        <v/>
      </c>
      <c r="AH125" s="61" t="str">
        <f>IF(S125="개량",ROUND(((AB125*'개량사업비 산정기준'!$B$34)+(AC125*'개량사업비 산정기준'!$C$34))/1000000,0),"")</f>
        <v/>
      </c>
      <c r="AI125" s="61"/>
      <c r="AJ125" s="61">
        <f>IF($AA125="D",ROUND('개량사업비 산정기준'!$F$56/1000,0),IF($AA125="E",ROUND('개량사업비 산정기준'!$F$56/1000,0),""))</f>
        <v>48</v>
      </c>
      <c r="AK125" s="61">
        <f t="shared" si="31"/>
        <v>48</v>
      </c>
      <c r="AL125" s="61">
        <v>2</v>
      </c>
      <c r="AM125" s="61">
        <f t="shared" si="32"/>
        <v>0</v>
      </c>
      <c r="AN125" s="61">
        <f t="shared" si="33"/>
        <v>48</v>
      </c>
      <c r="AO125" s="61">
        <f t="shared" si="34"/>
        <v>0</v>
      </c>
      <c r="AP125" s="61">
        <f t="shared" si="35"/>
        <v>0</v>
      </c>
      <c r="AQ125" s="49"/>
    </row>
    <row r="126" spans="1:43" ht="20.100000000000001" customHeight="1">
      <c r="A126" s="49" t="s">
        <v>454</v>
      </c>
      <c r="B126" s="49">
        <v>120</v>
      </c>
      <c r="C126" s="56" t="s">
        <v>326</v>
      </c>
      <c r="D126" s="56" t="s">
        <v>192</v>
      </c>
      <c r="E126" s="56" t="s">
        <v>325</v>
      </c>
      <c r="F126" s="49">
        <f>VLOOKUP(C126,'[1]논산시 마을상수도'!$E$5:$K$171,6,FALSE)</f>
        <v>50</v>
      </c>
      <c r="G126" s="49">
        <f>VLOOKUP(C126,'[1]논산시 마을상수도'!$E$5:$K$171,3,FALSE)</f>
        <v>2008</v>
      </c>
      <c r="H126" s="49">
        <f>VLOOKUP($C126,'[1]논산시 마을상수도'!$E$5:$K$171,4,FALSE)</f>
        <v>29</v>
      </c>
      <c r="I126" s="49">
        <v>2008</v>
      </c>
      <c r="J126" s="49"/>
      <c r="K126" s="49">
        <v>2008</v>
      </c>
      <c r="L126" s="49">
        <f t="shared" si="25"/>
        <v>2008</v>
      </c>
      <c r="M126" s="49">
        <v>2008</v>
      </c>
      <c r="N126" s="49">
        <v>2020</v>
      </c>
      <c r="O126" s="49" t="str">
        <f t="shared" si="26"/>
        <v/>
      </c>
      <c r="P126" s="49"/>
      <c r="Q126" s="49" t="str">
        <f t="shared" si="27"/>
        <v/>
      </c>
      <c r="R126" s="49" t="str">
        <f t="shared" si="28"/>
        <v/>
      </c>
      <c r="S126" s="49" t="str">
        <f t="shared" si="29"/>
        <v/>
      </c>
      <c r="T126" s="49" t="str">
        <f t="shared" si="36"/>
        <v/>
      </c>
      <c r="U126" s="49" t="str">
        <f t="shared" si="37"/>
        <v/>
      </c>
      <c r="V126" s="49" t="str">
        <f t="shared" si="38"/>
        <v/>
      </c>
      <c r="W126" s="49" t="str">
        <f t="shared" si="39"/>
        <v/>
      </c>
      <c r="X126" s="49" t="str">
        <f t="shared" si="40"/>
        <v/>
      </c>
      <c r="Y126" s="49"/>
      <c r="Z126" s="49" t="s">
        <v>114</v>
      </c>
      <c r="AA126" s="49" t="str">
        <f t="shared" si="30"/>
        <v>F</v>
      </c>
      <c r="AB126" s="61"/>
      <c r="AC126" s="61"/>
      <c r="AD126" s="61" t="str">
        <f>IF(O126="개량",ROUND(VLOOKUP($F126,'개량사업비 산정기준'!$A$5:$I$23,2,FALSE)/1000,0),"")</f>
        <v/>
      </c>
      <c r="AE126" s="61"/>
      <c r="AF126" s="61" t="str">
        <f>IF(Q126="개량",ROUND(VLOOKUP($F126,'개량사업비 산정기준'!$A$5:$I$23,6,FALSE)/1000,0),"")</f>
        <v/>
      </c>
      <c r="AG126" s="61" t="str">
        <f>IF(R126="개량",ROUND(VLOOKUP($F126,'개량사업비 산정기준'!$A$5:$I$23,7,FALSE)/1000,0),"")</f>
        <v/>
      </c>
      <c r="AH126" s="61" t="str">
        <f>IF(S126="개량",ROUND(((AB126*'개량사업비 산정기준'!$B$34)+(AC126*'개량사업비 산정기준'!$C$34))/1000000,0),"")</f>
        <v/>
      </c>
      <c r="AI126" s="61"/>
      <c r="AJ126" s="61" t="str">
        <f>IF($AA126="D",ROUND('개량사업비 산정기준'!$F$56/1000,0),IF($AA126="E",ROUND('개량사업비 산정기준'!$F$56/1000,0),""))</f>
        <v/>
      </c>
      <c r="AK126" s="61">
        <f t="shared" si="31"/>
        <v>0</v>
      </c>
      <c r="AL126" s="61"/>
      <c r="AM126" s="61">
        <f t="shared" si="32"/>
        <v>0</v>
      </c>
      <c r="AN126" s="61">
        <f t="shared" si="33"/>
        <v>0</v>
      </c>
      <c r="AO126" s="61">
        <f t="shared" si="34"/>
        <v>0</v>
      </c>
      <c r="AP126" s="61">
        <f t="shared" si="35"/>
        <v>0</v>
      </c>
      <c r="AQ126" s="49"/>
    </row>
    <row r="127" spans="1:43" ht="20.100000000000001" customHeight="1">
      <c r="A127" s="49" t="s">
        <v>454</v>
      </c>
      <c r="B127" s="49">
        <v>121</v>
      </c>
      <c r="C127" s="56" t="s">
        <v>328</v>
      </c>
      <c r="D127" s="56" t="s">
        <v>216</v>
      </c>
      <c r="E127" s="56" t="s">
        <v>327</v>
      </c>
      <c r="F127" s="49">
        <f>VLOOKUP(C127,'[1]논산시 마을상수도'!$E$5:$K$171,6,FALSE)</f>
        <v>50</v>
      </c>
      <c r="G127" s="49">
        <f>VLOOKUP(C127,'[1]논산시 마을상수도'!$E$5:$K$171,3,FALSE)</f>
        <v>1976</v>
      </c>
      <c r="H127" s="49">
        <f>VLOOKUP($C127,'[1]논산시 마을상수도'!$E$5:$K$171,4,FALSE)</f>
        <v>34</v>
      </c>
      <c r="I127" s="49">
        <v>2009</v>
      </c>
      <c r="J127" s="49"/>
      <c r="K127" s="49">
        <v>2009</v>
      </c>
      <c r="L127" s="49">
        <f t="shared" si="25"/>
        <v>2009</v>
      </c>
      <c r="M127" s="49">
        <v>2009</v>
      </c>
      <c r="N127" s="49">
        <v>2025</v>
      </c>
      <c r="O127" s="49" t="str">
        <f t="shared" si="26"/>
        <v/>
      </c>
      <c r="P127" s="49"/>
      <c r="Q127" s="49" t="str">
        <f t="shared" si="27"/>
        <v/>
      </c>
      <c r="R127" s="49" t="str">
        <f t="shared" si="28"/>
        <v/>
      </c>
      <c r="S127" s="49" t="str">
        <f t="shared" si="29"/>
        <v/>
      </c>
      <c r="T127" s="49" t="str">
        <f t="shared" si="36"/>
        <v/>
      </c>
      <c r="U127" s="49" t="str">
        <f t="shared" si="37"/>
        <v/>
      </c>
      <c r="V127" s="49" t="str">
        <f t="shared" si="38"/>
        <v/>
      </c>
      <c r="W127" s="49" t="str">
        <f t="shared" si="39"/>
        <v/>
      </c>
      <c r="X127" s="49" t="str">
        <f t="shared" si="40"/>
        <v/>
      </c>
      <c r="Y127" s="49">
        <v>2</v>
      </c>
      <c r="Z127" s="49" t="s">
        <v>114</v>
      </c>
      <c r="AA127" s="49" t="str">
        <f t="shared" si="30"/>
        <v>E</v>
      </c>
      <c r="AB127" s="61"/>
      <c r="AC127" s="61"/>
      <c r="AD127" s="61" t="str">
        <f>IF(O127="개량",ROUND(VLOOKUP($F127,'개량사업비 산정기준'!$A$5:$I$23,2,FALSE)/1000,0),"")</f>
        <v/>
      </c>
      <c r="AE127" s="61"/>
      <c r="AF127" s="61" t="str">
        <f>IF(Q127="개량",ROUND(VLOOKUP($F127,'개량사업비 산정기준'!$A$5:$I$23,6,FALSE)/1000,0),"")</f>
        <v/>
      </c>
      <c r="AG127" s="61" t="str">
        <f>IF(R127="개량",ROUND(VLOOKUP($F127,'개량사업비 산정기준'!$A$5:$I$23,7,FALSE)/1000,0),"")</f>
        <v/>
      </c>
      <c r="AH127" s="61" t="str">
        <f>IF(S127="개량",ROUND(((AB127*'개량사업비 산정기준'!$B$34)+(AC127*'개량사업비 산정기준'!$C$34))/1000000,0),"")</f>
        <v/>
      </c>
      <c r="AI127" s="61"/>
      <c r="AJ127" s="61">
        <f>IF($AA127="D",ROUND('개량사업비 산정기준'!$F$56/1000,0),IF($AA127="E",ROUND('개량사업비 산정기준'!$F$56/1000,0),""))</f>
        <v>48</v>
      </c>
      <c r="AK127" s="61">
        <f t="shared" si="31"/>
        <v>48</v>
      </c>
      <c r="AL127" s="61">
        <v>2</v>
      </c>
      <c r="AM127" s="61">
        <f t="shared" si="32"/>
        <v>0</v>
      </c>
      <c r="AN127" s="61">
        <f t="shared" si="33"/>
        <v>48</v>
      </c>
      <c r="AO127" s="61">
        <f t="shared" si="34"/>
        <v>0</v>
      </c>
      <c r="AP127" s="61">
        <f t="shared" si="35"/>
        <v>0</v>
      </c>
      <c r="AQ127" s="49"/>
    </row>
    <row r="128" spans="1:43" ht="20.100000000000001" customHeight="1">
      <c r="A128" s="49" t="s">
        <v>454</v>
      </c>
      <c r="B128" s="49">
        <v>122</v>
      </c>
      <c r="C128" s="56" t="s">
        <v>330</v>
      </c>
      <c r="D128" s="56" t="s">
        <v>216</v>
      </c>
      <c r="E128" s="56" t="s">
        <v>329</v>
      </c>
      <c r="F128" s="49">
        <f>VLOOKUP(C128,'[1]논산시 마을상수도'!$E$5:$K$171,6,FALSE)</f>
        <v>40</v>
      </c>
      <c r="G128" s="49">
        <f>VLOOKUP(C128,'[1]논산시 마을상수도'!$E$5:$K$171,3,FALSE)</f>
        <v>1976</v>
      </c>
      <c r="H128" s="49">
        <f>VLOOKUP($C128,'[1]논산시 마을상수도'!$E$5:$K$171,4,FALSE)</f>
        <v>40</v>
      </c>
      <c r="I128" s="49">
        <v>2002</v>
      </c>
      <c r="J128" s="49"/>
      <c r="K128" s="49">
        <v>2002</v>
      </c>
      <c r="L128" s="49">
        <f t="shared" si="25"/>
        <v>2002</v>
      </c>
      <c r="M128" s="49">
        <v>2002</v>
      </c>
      <c r="N128" s="49">
        <v>2025</v>
      </c>
      <c r="O128" s="49" t="str">
        <f t="shared" si="26"/>
        <v/>
      </c>
      <c r="P128" s="49"/>
      <c r="Q128" s="49" t="str">
        <f t="shared" si="27"/>
        <v/>
      </c>
      <c r="R128" s="49" t="str">
        <f t="shared" si="28"/>
        <v/>
      </c>
      <c r="S128" s="49" t="str">
        <f t="shared" si="29"/>
        <v/>
      </c>
      <c r="T128" s="49" t="str">
        <f t="shared" si="36"/>
        <v/>
      </c>
      <c r="U128" s="49" t="str">
        <f t="shared" si="37"/>
        <v/>
      </c>
      <c r="V128" s="49" t="str">
        <f t="shared" si="38"/>
        <v/>
      </c>
      <c r="W128" s="49" t="str">
        <f t="shared" si="39"/>
        <v/>
      </c>
      <c r="X128" s="49" t="str">
        <f t="shared" si="40"/>
        <v/>
      </c>
      <c r="Y128" s="49">
        <v>2</v>
      </c>
      <c r="Z128" s="49" t="s">
        <v>114</v>
      </c>
      <c r="AA128" s="49" t="str">
        <f t="shared" si="30"/>
        <v>E</v>
      </c>
      <c r="AB128" s="61"/>
      <c r="AC128" s="61"/>
      <c r="AD128" s="61" t="str">
        <f>IF(O128="개량",ROUND(VLOOKUP($F128,'개량사업비 산정기준'!$A$5:$I$23,2,FALSE)/1000,0),"")</f>
        <v/>
      </c>
      <c r="AE128" s="61"/>
      <c r="AF128" s="61" t="str">
        <f>IF(Q128="개량",ROUND(VLOOKUP($F128,'개량사업비 산정기준'!$A$5:$I$23,6,FALSE)/1000,0),"")</f>
        <v/>
      </c>
      <c r="AG128" s="61" t="str">
        <f>IF(R128="개량",ROUND(VLOOKUP($F128,'개량사업비 산정기준'!$A$5:$I$23,7,FALSE)/1000,0),"")</f>
        <v/>
      </c>
      <c r="AH128" s="61" t="str">
        <f>IF(S128="개량",ROUND(((AB128*'개량사업비 산정기준'!$B$34)+(AC128*'개량사업비 산정기준'!$C$34))/1000000,0),"")</f>
        <v/>
      </c>
      <c r="AI128" s="61"/>
      <c r="AJ128" s="61">
        <f>IF($AA128="D",ROUND('개량사업비 산정기준'!$F$56/1000,0),IF($AA128="E",ROUND('개량사업비 산정기준'!$F$56/1000,0),""))</f>
        <v>48</v>
      </c>
      <c r="AK128" s="61">
        <f t="shared" si="31"/>
        <v>48</v>
      </c>
      <c r="AL128" s="61">
        <v>2</v>
      </c>
      <c r="AM128" s="61">
        <f t="shared" si="32"/>
        <v>0</v>
      </c>
      <c r="AN128" s="61">
        <f t="shared" si="33"/>
        <v>48</v>
      </c>
      <c r="AO128" s="61">
        <f t="shared" si="34"/>
        <v>0</v>
      </c>
      <c r="AP128" s="61">
        <f t="shared" si="35"/>
        <v>0</v>
      </c>
      <c r="AQ128" s="49"/>
    </row>
    <row r="129" spans="1:43" ht="20.100000000000001" customHeight="1">
      <c r="A129" s="49" t="s">
        <v>454</v>
      </c>
      <c r="B129" s="49">
        <v>123</v>
      </c>
      <c r="C129" s="56" t="s">
        <v>331</v>
      </c>
      <c r="D129" s="56" t="s">
        <v>216</v>
      </c>
      <c r="E129" s="56" t="s">
        <v>31</v>
      </c>
      <c r="F129" s="49">
        <f>VLOOKUP(C129,'[1]논산시 마을상수도'!$E$5:$K$171,6,FALSE)</f>
        <v>40</v>
      </c>
      <c r="G129" s="49">
        <f>VLOOKUP(C129,'[1]논산시 마을상수도'!$E$5:$K$171,3,FALSE)</f>
        <v>1978</v>
      </c>
      <c r="H129" s="49">
        <f>VLOOKUP($C129,'[1]논산시 마을상수도'!$E$5:$K$171,4,FALSE)</f>
        <v>31</v>
      </c>
      <c r="I129" s="49">
        <v>2007</v>
      </c>
      <c r="J129" s="49"/>
      <c r="K129" s="49">
        <v>2007</v>
      </c>
      <c r="L129" s="49">
        <f t="shared" si="25"/>
        <v>2007</v>
      </c>
      <c r="M129" s="49">
        <v>2007</v>
      </c>
      <c r="N129" s="49">
        <v>2025</v>
      </c>
      <c r="O129" s="49" t="str">
        <f t="shared" si="26"/>
        <v/>
      </c>
      <c r="P129" s="49"/>
      <c r="Q129" s="49" t="str">
        <f t="shared" si="27"/>
        <v/>
      </c>
      <c r="R129" s="49" t="str">
        <f t="shared" si="28"/>
        <v/>
      </c>
      <c r="S129" s="49" t="str">
        <f t="shared" si="29"/>
        <v/>
      </c>
      <c r="T129" s="49" t="str">
        <f t="shared" si="36"/>
        <v/>
      </c>
      <c r="U129" s="49" t="str">
        <f t="shared" si="37"/>
        <v/>
      </c>
      <c r="V129" s="49" t="str">
        <f t="shared" si="38"/>
        <v/>
      </c>
      <c r="W129" s="49" t="str">
        <f t="shared" si="39"/>
        <v/>
      </c>
      <c r="X129" s="49" t="str">
        <f t="shared" si="40"/>
        <v/>
      </c>
      <c r="Y129" s="49">
        <v>2</v>
      </c>
      <c r="Z129" s="49" t="s">
        <v>114</v>
      </c>
      <c r="AA129" s="49" t="str">
        <f t="shared" si="30"/>
        <v>E</v>
      </c>
      <c r="AB129" s="61"/>
      <c r="AC129" s="61"/>
      <c r="AD129" s="61" t="str">
        <f>IF(O129="개량",ROUND(VLOOKUP($F129,'개량사업비 산정기준'!$A$5:$I$23,2,FALSE)/1000,0),"")</f>
        <v/>
      </c>
      <c r="AE129" s="61"/>
      <c r="AF129" s="61" t="str">
        <f>IF(Q129="개량",ROUND(VLOOKUP($F129,'개량사업비 산정기준'!$A$5:$I$23,6,FALSE)/1000,0),"")</f>
        <v/>
      </c>
      <c r="AG129" s="61" t="str">
        <f>IF(R129="개량",ROUND(VLOOKUP($F129,'개량사업비 산정기준'!$A$5:$I$23,7,FALSE)/1000,0),"")</f>
        <v/>
      </c>
      <c r="AH129" s="61" t="str">
        <f>IF(S129="개량",ROUND(((AB129*'개량사업비 산정기준'!$B$34)+(AC129*'개량사업비 산정기준'!$C$34))/1000000,0),"")</f>
        <v/>
      </c>
      <c r="AI129" s="61"/>
      <c r="AJ129" s="61">
        <f>IF($AA129="D",ROUND('개량사업비 산정기준'!$F$56/1000,0),IF($AA129="E",ROUND('개량사업비 산정기준'!$F$56/1000,0),""))</f>
        <v>48</v>
      </c>
      <c r="AK129" s="61">
        <f t="shared" si="31"/>
        <v>48</v>
      </c>
      <c r="AL129" s="61">
        <v>2</v>
      </c>
      <c r="AM129" s="61">
        <f t="shared" si="32"/>
        <v>0</v>
      </c>
      <c r="AN129" s="61">
        <f t="shared" si="33"/>
        <v>48</v>
      </c>
      <c r="AO129" s="61">
        <f t="shared" si="34"/>
        <v>0</v>
      </c>
      <c r="AP129" s="61">
        <f t="shared" si="35"/>
        <v>0</v>
      </c>
      <c r="AQ129" s="49"/>
    </row>
    <row r="130" spans="1:43" ht="20.100000000000001" customHeight="1">
      <c r="A130" s="49" t="s">
        <v>454</v>
      </c>
      <c r="B130" s="49">
        <v>124</v>
      </c>
      <c r="C130" s="56" t="s">
        <v>333</v>
      </c>
      <c r="D130" s="56" t="s">
        <v>216</v>
      </c>
      <c r="E130" s="56" t="s">
        <v>332</v>
      </c>
      <c r="F130" s="49">
        <f>VLOOKUP(C130,'[1]논산시 마을상수도'!$E$5:$K$171,6,FALSE)</f>
        <v>30</v>
      </c>
      <c r="G130" s="49">
        <f>VLOOKUP(C130,'[1]논산시 마을상수도'!$E$5:$K$171,3,FALSE)</f>
        <v>1979</v>
      </c>
      <c r="H130" s="49">
        <f>VLOOKUP($C130,'[1]논산시 마을상수도'!$E$5:$K$171,4,FALSE)</f>
        <v>30</v>
      </c>
      <c r="I130" s="49">
        <v>2007</v>
      </c>
      <c r="J130" s="49"/>
      <c r="K130" s="49">
        <v>2007</v>
      </c>
      <c r="L130" s="49">
        <f t="shared" si="25"/>
        <v>2007</v>
      </c>
      <c r="M130" s="49">
        <v>2007</v>
      </c>
      <c r="N130" s="49">
        <v>2025</v>
      </c>
      <c r="O130" s="49" t="str">
        <f t="shared" si="26"/>
        <v/>
      </c>
      <c r="P130" s="49"/>
      <c r="Q130" s="49" t="str">
        <f t="shared" si="27"/>
        <v/>
      </c>
      <c r="R130" s="49" t="str">
        <f t="shared" si="28"/>
        <v/>
      </c>
      <c r="S130" s="49" t="str">
        <f t="shared" si="29"/>
        <v/>
      </c>
      <c r="T130" s="49" t="str">
        <f t="shared" si="36"/>
        <v/>
      </c>
      <c r="U130" s="49" t="str">
        <f t="shared" si="37"/>
        <v/>
      </c>
      <c r="V130" s="49" t="str">
        <f t="shared" si="38"/>
        <v/>
      </c>
      <c r="W130" s="49" t="str">
        <f t="shared" si="39"/>
        <v/>
      </c>
      <c r="X130" s="49" t="str">
        <f t="shared" si="40"/>
        <v/>
      </c>
      <c r="Y130" s="49">
        <v>2</v>
      </c>
      <c r="Z130" s="49" t="s">
        <v>114</v>
      </c>
      <c r="AA130" s="49" t="str">
        <f t="shared" si="30"/>
        <v>E</v>
      </c>
      <c r="AB130" s="61"/>
      <c r="AC130" s="61"/>
      <c r="AD130" s="61" t="str">
        <f>IF(O130="개량",ROUND(VLOOKUP($F130,'개량사업비 산정기준'!$A$5:$I$23,2,FALSE)/1000,0),"")</f>
        <v/>
      </c>
      <c r="AE130" s="61"/>
      <c r="AF130" s="61" t="str">
        <f>IF(Q130="개량",ROUND(VLOOKUP($F130,'개량사업비 산정기준'!$A$5:$I$23,6,FALSE)/1000,0),"")</f>
        <v/>
      </c>
      <c r="AG130" s="61" t="str">
        <f>IF(R130="개량",ROUND(VLOOKUP($F130,'개량사업비 산정기준'!$A$5:$I$23,7,FALSE)/1000,0),"")</f>
        <v/>
      </c>
      <c r="AH130" s="61" t="str">
        <f>IF(S130="개량",ROUND(((AB130*'개량사업비 산정기준'!$B$34)+(AC130*'개량사업비 산정기준'!$C$34))/1000000,0),"")</f>
        <v/>
      </c>
      <c r="AI130" s="61"/>
      <c r="AJ130" s="61">
        <f>IF($AA130="D",ROUND('개량사업비 산정기준'!$F$56/1000,0),IF($AA130="E",ROUND('개량사업비 산정기준'!$F$56/1000,0),""))</f>
        <v>48</v>
      </c>
      <c r="AK130" s="61">
        <f t="shared" si="31"/>
        <v>48</v>
      </c>
      <c r="AL130" s="61">
        <v>2</v>
      </c>
      <c r="AM130" s="61">
        <f t="shared" si="32"/>
        <v>0</v>
      </c>
      <c r="AN130" s="61">
        <f t="shared" si="33"/>
        <v>48</v>
      </c>
      <c r="AO130" s="61">
        <f t="shared" si="34"/>
        <v>0</v>
      </c>
      <c r="AP130" s="61">
        <f t="shared" si="35"/>
        <v>0</v>
      </c>
      <c r="AQ130" s="49"/>
    </row>
    <row r="131" spans="1:43" ht="20.100000000000001" customHeight="1">
      <c r="A131" s="49" t="s">
        <v>454</v>
      </c>
      <c r="B131" s="49">
        <v>125</v>
      </c>
      <c r="C131" s="56" t="s">
        <v>335</v>
      </c>
      <c r="D131" s="56" t="s">
        <v>216</v>
      </c>
      <c r="E131" s="56" t="s">
        <v>334</v>
      </c>
      <c r="F131" s="49">
        <f>VLOOKUP(C131,'[1]논산시 마을상수도'!$E$5:$K$171,6,FALSE)</f>
        <v>30</v>
      </c>
      <c r="G131" s="49">
        <f>VLOOKUP(C131,'[1]논산시 마을상수도'!$E$5:$K$171,3,FALSE)</f>
        <v>1979</v>
      </c>
      <c r="H131" s="49">
        <f>VLOOKUP($C131,'[1]논산시 마을상수도'!$E$5:$K$171,4,FALSE)</f>
        <v>15</v>
      </c>
      <c r="I131" s="49">
        <v>2006</v>
      </c>
      <c r="J131" s="49"/>
      <c r="K131" s="49">
        <v>2006</v>
      </c>
      <c r="L131" s="49">
        <f t="shared" si="25"/>
        <v>2006</v>
      </c>
      <c r="M131" s="49">
        <v>2006</v>
      </c>
      <c r="N131" s="49">
        <v>2025</v>
      </c>
      <c r="O131" s="49" t="str">
        <f t="shared" si="26"/>
        <v/>
      </c>
      <c r="P131" s="49"/>
      <c r="Q131" s="49" t="str">
        <f t="shared" si="27"/>
        <v/>
      </c>
      <c r="R131" s="49" t="str">
        <f t="shared" si="28"/>
        <v/>
      </c>
      <c r="S131" s="49" t="str">
        <f t="shared" si="29"/>
        <v/>
      </c>
      <c r="T131" s="49" t="str">
        <f t="shared" si="36"/>
        <v/>
      </c>
      <c r="U131" s="49" t="str">
        <f t="shared" si="37"/>
        <v/>
      </c>
      <c r="V131" s="49" t="str">
        <f t="shared" si="38"/>
        <v/>
      </c>
      <c r="W131" s="49" t="str">
        <f t="shared" si="39"/>
        <v/>
      </c>
      <c r="X131" s="49" t="str">
        <f t="shared" si="40"/>
        <v/>
      </c>
      <c r="Y131" s="49">
        <v>2</v>
      </c>
      <c r="Z131" s="49" t="s">
        <v>114</v>
      </c>
      <c r="AA131" s="49" t="str">
        <f t="shared" si="30"/>
        <v>E</v>
      </c>
      <c r="AB131" s="61"/>
      <c r="AC131" s="61"/>
      <c r="AD131" s="61" t="str">
        <f>IF(O131="개량",ROUND(VLOOKUP($F131,'개량사업비 산정기준'!$A$5:$I$23,2,FALSE)/1000,0),"")</f>
        <v/>
      </c>
      <c r="AE131" s="61"/>
      <c r="AF131" s="61" t="str">
        <f>IF(Q131="개량",ROUND(VLOOKUP($F131,'개량사업비 산정기준'!$A$5:$I$23,6,FALSE)/1000,0),"")</f>
        <v/>
      </c>
      <c r="AG131" s="61" t="str">
        <f>IF(R131="개량",ROUND(VLOOKUP($F131,'개량사업비 산정기준'!$A$5:$I$23,7,FALSE)/1000,0),"")</f>
        <v/>
      </c>
      <c r="AH131" s="61" t="str">
        <f>IF(S131="개량",ROUND(((AB131*'개량사업비 산정기준'!$B$34)+(AC131*'개량사업비 산정기준'!$C$34))/1000000,0),"")</f>
        <v/>
      </c>
      <c r="AI131" s="61"/>
      <c r="AJ131" s="61">
        <f>IF($AA131="D",ROUND('개량사업비 산정기준'!$F$56/1000,0),IF($AA131="E",ROUND('개량사업비 산정기준'!$F$56/1000,0),""))</f>
        <v>48</v>
      </c>
      <c r="AK131" s="61">
        <f t="shared" si="31"/>
        <v>48</v>
      </c>
      <c r="AL131" s="61">
        <v>2</v>
      </c>
      <c r="AM131" s="61">
        <f t="shared" si="32"/>
        <v>0</v>
      </c>
      <c r="AN131" s="61">
        <f t="shared" si="33"/>
        <v>48</v>
      </c>
      <c r="AO131" s="61">
        <f t="shared" si="34"/>
        <v>0</v>
      </c>
      <c r="AP131" s="61">
        <f t="shared" si="35"/>
        <v>0</v>
      </c>
      <c r="AQ131" s="49"/>
    </row>
    <row r="132" spans="1:43" ht="20.100000000000001" customHeight="1">
      <c r="A132" s="49" t="s">
        <v>454</v>
      </c>
      <c r="B132" s="49">
        <v>126</v>
      </c>
      <c r="C132" s="56" t="s">
        <v>336</v>
      </c>
      <c r="D132" s="56" t="s">
        <v>216</v>
      </c>
      <c r="E132" s="56" t="s">
        <v>222</v>
      </c>
      <c r="F132" s="49">
        <f>VLOOKUP(C132,'[1]논산시 마을상수도'!$E$5:$K$171,6,FALSE)</f>
        <v>20</v>
      </c>
      <c r="G132" s="49">
        <f>VLOOKUP(C132,'[1]논산시 마을상수도'!$E$5:$K$171,3,FALSE)</f>
        <v>1980</v>
      </c>
      <c r="H132" s="49">
        <f>VLOOKUP($C132,'[1]논산시 마을상수도'!$E$5:$K$171,4,FALSE)</f>
        <v>20</v>
      </c>
      <c r="I132" s="49">
        <v>2008</v>
      </c>
      <c r="J132" s="49"/>
      <c r="K132" s="49">
        <v>2008</v>
      </c>
      <c r="L132" s="49">
        <f t="shared" si="25"/>
        <v>2008</v>
      </c>
      <c r="M132" s="49">
        <v>2008</v>
      </c>
      <c r="N132" s="49">
        <v>2025</v>
      </c>
      <c r="O132" s="49" t="str">
        <f t="shared" si="26"/>
        <v/>
      </c>
      <c r="P132" s="49"/>
      <c r="Q132" s="49" t="str">
        <f t="shared" si="27"/>
        <v/>
      </c>
      <c r="R132" s="49" t="str">
        <f t="shared" si="28"/>
        <v/>
      </c>
      <c r="S132" s="49" t="str">
        <f t="shared" si="29"/>
        <v/>
      </c>
      <c r="T132" s="49" t="str">
        <f t="shared" si="36"/>
        <v/>
      </c>
      <c r="U132" s="49" t="str">
        <f t="shared" si="37"/>
        <v/>
      </c>
      <c r="V132" s="49" t="str">
        <f t="shared" si="38"/>
        <v/>
      </c>
      <c r="W132" s="49" t="str">
        <f t="shared" si="39"/>
        <v/>
      </c>
      <c r="X132" s="49" t="str">
        <f t="shared" si="40"/>
        <v/>
      </c>
      <c r="Y132" s="49">
        <v>2</v>
      </c>
      <c r="Z132" s="49" t="s">
        <v>114</v>
      </c>
      <c r="AA132" s="49" t="str">
        <f t="shared" si="30"/>
        <v>E</v>
      </c>
      <c r="AB132" s="61"/>
      <c r="AC132" s="61"/>
      <c r="AD132" s="61" t="str">
        <f>IF(O132="개량",ROUND(VLOOKUP($F132,'개량사업비 산정기준'!$A$5:$I$23,2,FALSE)/1000,0),"")</f>
        <v/>
      </c>
      <c r="AE132" s="61"/>
      <c r="AF132" s="61" t="str">
        <f>IF(Q132="개량",ROUND(VLOOKUP($F132,'개량사업비 산정기준'!$A$5:$I$23,6,FALSE)/1000,0),"")</f>
        <v/>
      </c>
      <c r="AG132" s="61" t="str">
        <f>IF(R132="개량",ROUND(VLOOKUP($F132,'개량사업비 산정기준'!$A$5:$I$23,7,FALSE)/1000,0),"")</f>
        <v/>
      </c>
      <c r="AH132" s="61" t="str">
        <f>IF(S132="개량",ROUND(((AB132*'개량사업비 산정기준'!$B$34)+(AC132*'개량사업비 산정기준'!$C$34))/1000000,0),"")</f>
        <v/>
      </c>
      <c r="AI132" s="61"/>
      <c r="AJ132" s="61">
        <f>IF($AA132="D",ROUND('개량사업비 산정기준'!$F$56/1000,0),IF($AA132="E",ROUND('개량사업비 산정기준'!$F$56/1000,0),""))</f>
        <v>48</v>
      </c>
      <c r="AK132" s="61">
        <f t="shared" si="31"/>
        <v>48</v>
      </c>
      <c r="AL132" s="61">
        <v>2</v>
      </c>
      <c r="AM132" s="61">
        <f t="shared" si="32"/>
        <v>0</v>
      </c>
      <c r="AN132" s="61">
        <f t="shared" si="33"/>
        <v>48</v>
      </c>
      <c r="AO132" s="61">
        <f t="shared" si="34"/>
        <v>0</v>
      </c>
      <c r="AP132" s="61">
        <f t="shared" si="35"/>
        <v>0</v>
      </c>
      <c r="AQ132" s="49"/>
    </row>
    <row r="133" spans="1:43" ht="20.100000000000001" customHeight="1">
      <c r="A133" s="49" t="s">
        <v>454</v>
      </c>
      <c r="B133" s="49">
        <v>127</v>
      </c>
      <c r="C133" s="56" t="s">
        <v>338</v>
      </c>
      <c r="D133" s="56" t="s">
        <v>216</v>
      </c>
      <c r="E133" s="56" t="s">
        <v>337</v>
      </c>
      <c r="F133" s="49">
        <f>VLOOKUP(C133,'[1]논산시 마을상수도'!$E$5:$K$171,6,FALSE)</f>
        <v>40</v>
      </c>
      <c r="G133" s="49">
        <f>VLOOKUP(C133,'[1]논산시 마을상수도'!$E$5:$K$171,3,FALSE)</f>
        <v>1982</v>
      </c>
      <c r="H133" s="49">
        <f>VLOOKUP($C133,'[1]논산시 마을상수도'!$E$5:$K$171,4,FALSE)</f>
        <v>19</v>
      </c>
      <c r="I133" s="49">
        <v>2006</v>
      </c>
      <c r="J133" s="49"/>
      <c r="K133" s="49">
        <v>2006</v>
      </c>
      <c r="L133" s="49">
        <f t="shared" si="25"/>
        <v>2006</v>
      </c>
      <c r="M133" s="49">
        <v>2006</v>
      </c>
      <c r="N133" s="49">
        <v>2025</v>
      </c>
      <c r="O133" s="49" t="str">
        <f t="shared" si="26"/>
        <v/>
      </c>
      <c r="P133" s="49"/>
      <c r="Q133" s="49" t="str">
        <f t="shared" si="27"/>
        <v/>
      </c>
      <c r="R133" s="49" t="str">
        <f t="shared" si="28"/>
        <v/>
      </c>
      <c r="S133" s="49" t="str">
        <f t="shared" si="29"/>
        <v/>
      </c>
      <c r="T133" s="49" t="str">
        <f t="shared" si="36"/>
        <v/>
      </c>
      <c r="U133" s="49" t="str">
        <f t="shared" si="37"/>
        <v/>
      </c>
      <c r="V133" s="49" t="str">
        <f t="shared" si="38"/>
        <v/>
      </c>
      <c r="W133" s="49" t="str">
        <f t="shared" si="39"/>
        <v/>
      </c>
      <c r="X133" s="49" t="str">
        <f t="shared" si="40"/>
        <v/>
      </c>
      <c r="Y133" s="49">
        <v>2</v>
      </c>
      <c r="Z133" s="49" t="s">
        <v>114</v>
      </c>
      <c r="AA133" s="49" t="str">
        <f t="shared" si="30"/>
        <v>E</v>
      </c>
      <c r="AB133" s="61"/>
      <c r="AC133" s="61"/>
      <c r="AD133" s="61" t="str">
        <f>IF(O133="개량",ROUND(VLOOKUP($F133,'개량사업비 산정기준'!$A$5:$I$23,2,FALSE)/1000,0),"")</f>
        <v/>
      </c>
      <c r="AE133" s="61"/>
      <c r="AF133" s="61" t="str">
        <f>IF(Q133="개량",ROUND(VLOOKUP($F133,'개량사업비 산정기준'!$A$5:$I$23,6,FALSE)/1000,0),"")</f>
        <v/>
      </c>
      <c r="AG133" s="61" t="str">
        <f>IF(R133="개량",ROUND(VLOOKUP($F133,'개량사업비 산정기준'!$A$5:$I$23,7,FALSE)/1000,0),"")</f>
        <v/>
      </c>
      <c r="AH133" s="61" t="str">
        <f>IF(S133="개량",ROUND(((AB133*'개량사업비 산정기준'!$B$34)+(AC133*'개량사업비 산정기준'!$C$34))/1000000,0),"")</f>
        <v/>
      </c>
      <c r="AI133" s="61"/>
      <c r="AJ133" s="61">
        <f>IF($AA133="D",ROUND('개량사업비 산정기준'!$F$56/1000,0),IF($AA133="E",ROUND('개량사업비 산정기준'!$F$56/1000,0),""))</f>
        <v>48</v>
      </c>
      <c r="AK133" s="61">
        <f t="shared" si="31"/>
        <v>48</v>
      </c>
      <c r="AL133" s="61">
        <v>2</v>
      </c>
      <c r="AM133" s="61">
        <f t="shared" si="32"/>
        <v>0</v>
      </c>
      <c r="AN133" s="61">
        <f t="shared" si="33"/>
        <v>48</v>
      </c>
      <c r="AO133" s="61">
        <f t="shared" si="34"/>
        <v>0</v>
      </c>
      <c r="AP133" s="61">
        <f t="shared" si="35"/>
        <v>0</v>
      </c>
      <c r="AQ133" s="49"/>
    </row>
    <row r="134" spans="1:43" ht="20.100000000000001" customHeight="1">
      <c r="A134" s="49" t="s">
        <v>454</v>
      </c>
      <c r="B134" s="49">
        <v>128</v>
      </c>
      <c r="C134" s="56" t="s">
        <v>340</v>
      </c>
      <c r="D134" s="56" t="s">
        <v>216</v>
      </c>
      <c r="E134" s="56" t="s">
        <v>339</v>
      </c>
      <c r="F134" s="49">
        <f>VLOOKUP(C134,'[1]논산시 마을상수도'!$E$5:$K$171,6,FALSE)</f>
        <v>60</v>
      </c>
      <c r="G134" s="49">
        <f>VLOOKUP(C134,'[1]논산시 마을상수도'!$E$5:$K$171,3,FALSE)</f>
        <v>1984</v>
      </c>
      <c r="H134" s="49">
        <f>VLOOKUP($C134,'[1]논산시 마을상수도'!$E$5:$K$171,4,FALSE)</f>
        <v>42</v>
      </c>
      <c r="I134" s="49">
        <v>2010</v>
      </c>
      <c r="J134" s="49"/>
      <c r="K134" s="49">
        <v>2010</v>
      </c>
      <c r="L134" s="49">
        <f t="shared" si="25"/>
        <v>2010</v>
      </c>
      <c r="M134" s="49">
        <v>2010</v>
      </c>
      <c r="N134" s="49">
        <v>2025</v>
      </c>
      <c r="O134" s="49" t="str">
        <f t="shared" si="26"/>
        <v/>
      </c>
      <c r="P134" s="49"/>
      <c r="Q134" s="49" t="str">
        <f t="shared" si="27"/>
        <v/>
      </c>
      <c r="R134" s="49" t="str">
        <f t="shared" si="28"/>
        <v/>
      </c>
      <c r="S134" s="49" t="str">
        <f t="shared" si="29"/>
        <v/>
      </c>
      <c r="T134" s="49" t="str">
        <f t="shared" si="36"/>
        <v/>
      </c>
      <c r="U134" s="49" t="str">
        <f t="shared" si="37"/>
        <v/>
      </c>
      <c r="V134" s="49" t="str">
        <f t="shared" si="38"/>
        <v/>
      </c>
      <c r="W134" s="49" t="str">
        <f t="shared" si="39"/>
        <v/>
      </c>
      <c r="X134" s="49" t="str">
        <f t="shared" si="40"/>
        <v/>
      </c>
      <c r="Y134" s="49">
        <v>2</v>
      </c>
      <c r="Z134" s="49" t="s">
        <v>114</v>
      </c>
      <c r="AA134" s="49" t="str">
        <f t="shared" si="30"/>
        <v>E</v>
      </c>
      <c r="AB134" s="61"/>
      <c r="AC134" s="61"/>
      <c r="AD134" s="61" t="str">
        <f>IF(O134="개량",ROUND(VLOOKUP($F134,'개량사업비 산정기준'!$A$5:$I$23,2,FALSE)/1000,0),"")</f>
        <v/>
      </c>
      <c r="AE134" s="61"/>
      <c r="AF134" s="61" t="str">
        <f>IF(Q134="개량",ROUND(VLOOKUP($F134,'개량사업비 산정기준'!$A$5:$I$23,6,FALSE)/1000,0),"")</f>
        <v/>
      </c>
      <c r="AG134" s="61" t="str">
        <f>IF(R134="개량",ROUND(VLOOKUP($F134,'개량사업비 산정기준'!$A$5:$I$23,7,FALSE)/1000,0),"")</f>
        <v/>
      </c>
      <c r="AH134" s="61" t="str">
        <f>IF(S134="개량",ROUND(((AB134*'개량사업비 산정기준'!$B$34)+(AC134*'개량사업비 산정기준'!$C$34))/1000000,0),"")</f>
        <v/>
      </c>
      <c r="AI134" s="61"/>
      <c r="AJ134" s="61">
        <f>IF($AA134="D",ROUND('개량사업비 산정기준'!$F$56/1000,0),IF($AA134="E",ROUND('개량사업비 산정기준'!$F$56/1000,0),""))</f>
        <v>48</v>
      </c>
      <c r="AK134" s="61">
        <f t="shared" si="31"/>
        <v>48</v>
      </c>
      <c r="AL134" s="61">
        <v>2</v>
      </c>
      <c r="AM134" s="61">
        <f t="shared" si="32"/>
        <v>0</v>
      </c>
      <c r="AN134" s="61">
        <f t="shared" si="33"/>
        <v>48</v>
      </c>
      <c r="AO134" s="61">
        <f t="shared" si="34"/>
        <v>0</v>
      </c>
      <c r="AP134" s="61">
        <f t="shared" si="35"/>
        <v>0</v>
      </c>
      <c r="AQ134" s="49"/>
    </row>
    <row r="135" spans="1:43" ht="20.100000000000001" customHeight="1">
      <c r="A135" s="49" t="s">
        <v>454</v>
      </c>
      <c r="B135" s="49">
        <v>129</v>
      </c>
      <c r="C135" s="56" t="s">
        <v>341</v>
      </c>
      <c r="D135" s="56" t="s">
        <v>216</v>
      </c>
      <c r="E135" s="56" t="s">
        <v>224</v>
      </c>
      <c r="F135" s="49">
        <f>VLOOKUP(C135,'[1]논산시 마을상수도'!$E$5:$K$171,6,FALSE)</f>
        <v>40</v>
      </c>
      <c r="G135" s="49">
        <f>VLOOKUP(C135,'[1]논산시 마을상수도'!$E$5:$K$171,3,FALSE)</f>
        <v>1985</v>
      </c>
      <c r="H135" s="49">
        <f>VLOOKUP($C135,'[1]논산시 마을상수도'!$E$5:$K$171,4,FALSE)</f>
        <v>25</v>
      </c>
      <c r="I135" s="49">
        <v>2006</v>
      </c>
      <c r="J135" s="49"/>
      <c r="K135" s="49">
        <v>2006</v>
      </c>
      <c r="L135" s="49">
        <f t="shared" si="25"/>
        <v>2006</v>
      </c>
      <c r="M135" s="49">
        <v>2006</v>
      </c>
      <c r="N135" s="49">
        <v>2025</v>
      </c>
      <c r="O135" s="49" t="str">
        <f t="shared" si="26"/>
        <v/>
      </c>
      <c r="P135" s="49"/>
      <c r="Q135" s="49" t="str">
        <f t="shared" si="27"/>
        <v/>
      </c>
      <c r="R135" s="49" t="str">
        <f t="shared" si="28"/>
        <v/>
      </c>
      <c r="S135" s="49" t="str">
        <f t="shared" si="29"/>
        <v/>
      </c>
      <c r="T135" s="49" t="str">
        <f t="shared" si="36"/>
        <v/>
      </c>
      <c r="U135" s="49" t="str">
        <f t="shared" si="37"/>
        <v/>
      </c>
      <c r="V135" s="49" t="str">
        <f t="shared" si="38"/>
        <v/>
      </c>
      <c r="W135" s="49" t="str">
        <f t="shared" si="39"/>
        <v/>
      </c>
      <c r="X135" s="49" t="str">
        <f t="shared" si="40"/>
        <v/>
      </c>
      <c r="Y135" s="49">
        <v>2</v>
      </c>
      <c r="Z135" s="49" t="s">
        <v>114</v>
      </c>
      <c r="AA135" s="49" t="str">
        <f t="shared" si="30"/>
        <v>E</v>
      </c>
      <c r="AB135" s="61"/>
      <c r="AC135" s="61"/>
      <c r="AD135" s="61" t="str">
        <f>IF(O135="개량",ROUND(VLOOKUP($F135,'개량사업비 산정기준'!$A$5:$I$23,2,FALSE)/1000,0),"")</f>
        <v/>
      </c>
      <c r="AE135" s="61"/>
      <c r="AF135" s="61" t="str">
        <f>IF(Q135="개량",ROUND(VLOOKUP($F135,'개량사업비 산정기준'!$A$5:$I$23,6,FALSE)/1000,0),"")</f>
        <v/>
      </c>
      <c r="AG135" s="61" t="str">
        <f>IF(R135="개량",ROUND(VLOOKUP($F135,'개량사업비 산정기준'!$A$5:$I$23,7,FALSE)/1000,0),"")</f>
        <v/>
      </c>
      <c r="AH135" s="61" t="str">
        <f>IF(S135="개량",ROUND(((AB135*'개량사업비 산정기준'!$B$34)+(AC135*'개량사업비 산정기준'!$C$34))/1000000,0),"")</f>
        <v/>
      </c>
      <c r="AI135" s="61"/>
      <c r="AJ135" s="61">
        <f>IF($AA135="D",ROUND('개량사업비 산정기준'!$F$56/1000,0),IF($AA135="E",ROUND('개량사업비 산정기준'!$F$56/1000,0),""))</f>
        <v>48</v>
      </c>
      <c r="AK135" s="61">
        <f t="shared" si="31"/>
        <v>48</v>
      </c>
      <c r="AL135" s="61">
        <v>2</v>
      </c>
      <c r="AM135" s="61">
        <f t="shared" si="32"/>
        <v>0</v>
      </c>
      <c r="AN135" s="61">
        <f t="shared" si="33"/>
        <v>48</v>
      </c>
      <c r="AO135" s="61">
        <f t="shared" si="34"/>
        <v>0</v>
      </c>
      <c r="AP135" s="61">
        <f t="shared" si="35"/>
        <v>0</v>
      </c>
      <c r="AQ135" s="49"/>
    </row>
    <row r="136" spans="1:43" ht="20.100000000000001" customHeight="1">
      <c r="A136" s="49" t="s">
        <v>454</v>
      </c>
      <c r="B136" s="49">
        <v>130</v>
      </c>
      <c r="C136" s="56" t="s">
        <v>342</v>
      </c>
      <c r="D136" s="56" t="s">
        <v>216</v>
      </c>
      <c r="E136" s="56" t="s">
        <v>71</v>
      </c>
      <c r="F136" s="49">
        <f>VLOOKUP(C136,'[1]논산시 마을상수도'!$E$5:$K$171,6,FALSE)</f>
        <v>50</v>
      </c>
      <c r="G136" s="49">
        <f>VLOOKUP(C136,'[1]논산시 마을상수도'!$E$5:$K$171,3,FALSE)</f>
        <v>1985</v>
      </c>
      <c r="H136" s="49">
        <f>VLOOKUP($C136,'[1]논산시 마을상수도'!$E$5:$K$171,4,FALSE)</f>
        <v>54</v>
      </c>
      <c r="I136" s="49">
        <v>2011</v>
      </c>
      <c r="J136" s="49"/>
      <c r="K136" s="49">
        <v>2007</v>
      </c>
      <c r="L136" s="49">
        <f t="shared" ref="L136:L164" si="41">K136</f>
        <v>2007</v>
      </c>
      <c r="M136" s="49">
        <v>1985</v>
      </c>
      <c r="N136" s="49">
        <v>2025</v>
      </c>
      <c r="O136" s="49" t="str">
        <f t="shared" ref="O136:O164" si="42">IF(($N136-5)-I136&gt;=25,"개량","")</f>
        <v/>
      </c>
      <c r="P136" s="49"/>
      <c r="Q136" s="49" t="str">
        <f t="shared" ref="Q136:Q164" si="43">IF(($N136-5)-K136&gt;=25,"개량","")</f>
        <v/>
      </c>
      <c r="R136" s="49" t="str">
        <f t="shared" ref="R136:R164" si="44">IF(($N136-5)-L136&gt;=25,"개량","")</f>
        <v/>
      </c>
      <c r="S136" s="49" t="str">
        <f t="shared" ref="S136:S164" si="45">IF(($N136-5)-M136&gt;=25,"개량","")</f>
        <v>개량</v>
      </c>
      <c r="T136" s="49" t="str">
        <f t="shared" si="36"/>
        <v/>
      </c>
      <c r="U136" s="49" t="str">
        <f t="shared" si="37"/>
        <v/>
      </c>
      <c r="V136" s="49" t="str">
        <f t="shared" si="38"/>
        <v/>
      </c>
      <c r="W136" s="49" t="str">
        <f t="shared" si="39"/>
        <v/>
      </c>
      <c r="X136" s="49">
        <f t="shared" si="40"/>
        <v>1</v>
      </c>
      <c r="Y136" s="49">
        <v>1</v>
      </c>
      <c r="Z136" s="49" t="s">
        <v>114</v>
      </c>
      <c r="AA136" s="49" t="str">
        <f t="shared" ref="AA136:AA164" si="46">IF(O136="개량","D",IF(P136="개량","D",IF(Q136="개량","D",IF(R136="개량","D",IF(S136="개량","D",IF(N136=2025,"E","F"))))))</f>
        <v>D</v>
      </c>
      <c r="AB136" s="61">
        <v>240</v>
      </c>
      <c r="AC136" s="61">
        <v>602</v>
      </c>
      <c r="AD136" s="61" t="str">
        <f>IF(O136="개량",ROUND(VLOOKUP($F136,'개량사업비 산정기준'!$A$5:$I$23,2,FALSE)/1000,0),"")</f>
        <v/>
      </c>
      <c r="AE136" s="61"/>
      <c r="AF136" s="61" t="str">
        <f>IF(Q136="개량",ROUND(VLOOKUP($F136,'개량사업비 산정기준'!$A$5:$I$23,6,FALSE)/1000,0),"")</f>
        <v/>
      </c>
      <c r="AG136" s="61" t="str">
        <f>IF(R136="개량",ROUND(VLOOKUP($F136,'개량사업비 산정기준'!$A$5:$I$23,7,FALSE)/1000,0),"")</f>
        <v/>
      </c>
      <c r="AH136" s="61">
        <f>IF(S136="개량",ROUND(((AB136*'개량사업비 산정기준'!$B$34)+(AC136*'개량사업비 산정기준'!$C$34))/1000000,0),"")</f>
        <v>153</v>
      </c>
      <c r="AI136" s="61">
        <f>IF((AB136+AC136)&lt;=1000,ROUND('개량사업비 산정기준'!$B$47/1000,0),IF((AB136+AC136)&lt;=2000,ROUND('개량사업비 산정기준'!$C$47/1000,0),ROUND('개량사업비 산정기준'!$E$47/1000,0)))</f>
        <v>10</v>
      </c>
      <c r="AJ136" s="61">
        <f>IF($AA136="D",ROUND('개량사업비 산정기준'!$F$56/1000,0),IF($AA136="E",ROUND('개량사업비 산정기준'!$F$56/1000,0),""))</f>
        <v>48</v>
      </c>
      <c r="AK136" s="61">
        <f t="shared" ref="AK136:AK164" si="47">SUM(AD136:AJ136)</f>
        <v>211</v>
      </c>
      <c r="AL136" s="61">
        <v>1</v>
      </c>
      <c r="AM136" s="61">
        <f t="shared" ref="AM136:AM164" si="48">IF($AL136=1,$AK136,0)</f>
        <v>211</v>
      </c>
      <c r="AN136" s="61">
        <f t="shared" ref="AN136:AN164" si="49">IF($AL136=2,$AK136,0)</f>
        <v>0</v>
      </c>
      <c r="AO136" s="61">
        <f t="shared" ref="AO136:AO164" si="50">IF($AL136=3,$AK136,0)</f>
        <v>0</v>
      </c>
      <c r="AP136" s="61">
        <f t="shared" ref="AP136:AP164" si="51">IF($AL136=4,$AK136,0)</f>
        <v>0</v>
      </c>
      <c r="AQ136" s="49"/>
    </row>
    <row r="137" spans="1:43" ht="20.100000000000001" customHeight="1">
      <c r="A137" s="49" t="s">
        <v>454</v>
      </c>
      <c r="B137" s="49">
        <v>131</v>
      </c>
      <c r="C137" s="56" t="s">
        <v>344</v>
      </c>
      <c r="D137" s="56" t="s">
        <v>216</v>
      </c>
      <c r="E137" s="56" t="s">
        <v>343</v>
      </c>
      <c r="F137" s="49">
        <f>VLOOKUP(C137,'[1]논산시 마을상수도'!$E$5:$K$171,6,FALSE)</f>
        <v>30</v>
      </c>
      <c r="G137" s="49">
        <f>VLOOKUP(C137,'[1]논산시 마을상수도'!$E$5:$K$171,3,FALSE)</f>
        <v>2004</v>
      </c>
      <c r="H137" s="49">
        <f>VLOOKUP($C137,'[1]논산시 마을상수도'!$E$5:$K$171,4,FALSE)</f>
        <v>25</v>
      </c>
      <c r="I137" s="49">
        <v>2004</v>
      </c>
      <c r="J137" s="49"/>
      <c r="K137" s="49">
        <v>2004</v>
      </c>
      <c r="L137" s="49">
        <f t="shared" si="41"/>
        <v>2004</v>
      </c>
      <c r="M137" s="49">
        <v>2004</v>
      </c>
      <c r="N137" s="49">
        <v>2025</v>
      </c>
      <c r="O137" s="49" t="str">
        <f t="shared" si="42"/>
        <v/>
      </c>
      <c r="P137" s="49"/>
      <c r="Q137" s="49" t="str">
        <f t="shared" si="43"/>
        <v/>
      </c>
      <c r="R137" s="49" t="str">
        <f t="shared" si="44"/>
        <v/>
      </c>
      <c r="S137" s="49" t="str">
        <f t="shared" si="45"/>
        <v/>
      </c>
      <c r="T137" s="49" t="str">
        <f t="shared" si="36"/>
        <v/>
      </c>
      <c r="U137" s="49" t="str">
        <f t="shared" si="37"/>
        <v/>
      </c>
      <c r="V137" s="49" t="str">
        <f t="shared" si="38"/>
        <v/>
      </c>
      <c r="W137" s="49" t="str">
        <f t="shared" si="39"/>
        <v/>
      </c>
      <c r="X137" s="49" t="str">
        <f t="shared" si="40"/>
        <v/>
      </c>
      <c r="Y137" s="49">
        <v>2</v>
      </c>
      <c r="Z137" s="49" t="s">
        <v>114</v>
      </c>
      <c r="AA137" s="49" t="str">
        <f t="shared" si="46"/>
        <v>E</v>
      </c>
      <c r="AB137" s="61"/>
      <c r="AC137" s="61"/>
      <c r="AD137" s="61" t="str">
        <f>IF(O137="개량",ROUND(VLOOKUP($F137,'개량사업비 산정기준'!$A$5:$I$23,2,FALSE)/1000,0),"")</f>
        <v/>
      </c>
      <c r="AE137" s="61"/>
      <c r="AF137" s="61" t="str">
        <f>IF(Q137="개량",ROUND(VLOOKUP($F137,'개량사업비 산정기준'!$A$5:$I$23,6,FALSE)/1000,0),"")</f>
        <v/>
      </c>
      <c r="AG137" s="61" t="str">
        <f>IF(R137="개량",ROUND(VLOOKUP($F137,'개량사업비 산정기준'!$A$5:$I$23,7,FALSE)/1000,0),"")</f>
        <v/>
      </c>
      <c r="AH137" s="61" t="str">
        <f>IF(S137="개량",ROUND(((AB137*'개량사업비 산정기준'!$B$34)+(AC137*'개량사업비 산정기준'!$C$34))/1000000,0),"")</f>
        <v/>
      </c>
      <c r="AI137" s="61"/>
      <c r="AJ137" s="61">
        <f>IF($AA137="D",ROUND('개량사업비 산정기준'!$F$56/1000,0),IF($AA137="E",ROUND('개량사업비 산정기준'!$F$56/1000,0),""))</f>
        <v>48</v>
      </c>
      <c r="AK137" s="61">
        <f t="shared" si="47"/>
        <v>48</v>
      </c>
      <c r="AL137" s="61">
        <v>2</v>
      </c>
      <c r="AM137" s="61">
        <f t="shared" si="48"/>
        <v>0</v>
      </c>
      <c r="AN137" s="61">
        <f t="shared" si="49"/>
        <v>48</v>
      </c>
      <c r="AO137" s="61">
        <f t="shared" si="50"/>
        <v>0</v>
      </c>
      <c r="AP137" s="61">
        <f t="shared" si="51"/>
        <v>0</v>
      </c>
      <c r="AQ137" s="49"/>
    </row>
    <row r="138" spans="1:43" ht="20.100000000000001" customHeight="1">
      <c r="A138" s="49" t="s">
        <v>454</v>
      </c>
      <c r="B138" s="49">
        <v>132</v>
      </c>
      <c r="C138" s="56" t="s">
        <v>345</v>
      </c>
      <c r="D138" s="56" t="s">
        <v>216</v>
      </c>
      <c r="E138" s="56" t="s">
        <v>343</v>
      </c>
      <c r="F138" s="49">
        <f>VLOOKUP(C138,'[1]논산시 마을상수도'!$E$5:$K$171,6,FALSE)</f>
        <v>20</v>
      </c>
      <c r="G138" s="49">
        <f>VLOOKUP(C138,'[1]논산시 마을상수도'!$E$5:$K$171,3,FALSE)</f>
        <v>2004</v>
      </c>
      <c r="H138" s="49">
        <f>VLOOKUP($C138,'[1]논산시 마을상수도'!$E$5:$K$171,4,FALSE)</f>
        <v>20</v>
      </c>
      <c r="I138" s="49">
        <v>2004</v>
      </c>
      <c r="J138" s="49"/>
      <c r="K138" s="49">
        <v>2004</v>
      </c>
      <c r="L138" s="49">
        <f t="shared" si="41"/>
        <v>2004</v>
      </c>
      <c r="M138" s="49">
        <v>2004</v>
      </c>
      <c r="N138" s="49">
        <v>2025</v>
      </c>
      <c r="O138" s="49" t="str">
        <f t="shared" si="42"/>
        <v/>
      </c>
      <c r="P138" s="49"/>
      <c r="Q138" s="49" t="str">
        <f t="shared" si="43"/>
        <v/>
      </c>
      <c r="R138" s="49" t="str">
        <f t="shared" si="44"/>
        <v/>
      </c>
      <c r="S138" s="49" t="str">
        <f t="shared" si="45"/>
        <v/>
      </c>
      <c r="T138" s="49" t="str">
        <f t="shared" si="36"/>
        <v/>
      </c>
      <c r="U138" s="49" t="str">
        <f t="shared" si="37"/>
        <v/>
      </c>
      <c r="V138" s="49" t="str">
        <f t="shared" si="38"/>
        <v/>
      </c>
      <c r="W138" s="49" t="str">
        <f t="shared" si="39"/>
        <v/>
      </c>
      <c r="X138" s="49" t="str">
        <f t="shared" si="40"/>
        <v/>
      </c>
      <c r="Y138" s="49">
        <v>2</v>
      </c>
      <c r="Z138" s="49" t="s">
        <v>114</v>
      </c>
      <c r="AA138" s="49" t="str">
        <f t="shared" si="46"/>
        <v>E</v>
      </c>
      <c r="AB138" s="61"/>
      <c r="AC138" s="61"/>
      <c r="AD138" s="61" t="str">
        <f>IF(O138="개량",ROUND(VLOOKUP($F138,'개량사업비 산정기준'!$A$5:$I$23,2,FALSE)/1000,0),"")</f>
        <v/>
      </c>
      <c r="AE138" s="61"/>
      <c r="AF138" s="61" t="str">
        <f>IF(Q138="개량",ROUND(VLOOKUP($F138,'개량사업비 산정기준'!$A$5:$I$23,6,FALSE)/1000,0),"")</f>
        <v/>
      </c>
      <c r="AG138" s="61" t="str">
        <f>IF(R138="개량",ROUND(VLOOKUP($F138,'개량사업비 산정기준'!$A$5:$I$23,7,FALSE)/1000,0),"")</f>
        <v/>
      </c>
      <c r="AH138" s="61" t="str">
        <f>IF(S138="개량",ROUND(((AB138*'개량사업비 산정기준'!$B$34)+(AC138*'개량사업비 산정기준'!$C$34))/1000000,0),"")</f>
        <v/>
      </c>
      <c r="AI138" s="61"/>
      <c r="AJ138" s="61">
        <f>IF($AA138="D",ROUND('개량사업비 산정기준'!$F$56/1000,0),IF($AA138="E",ROUND('개량사업비 산정기준'!$F$56/1000,0),""))</f>
        <v>48</v>
      </c>
      <c r="AK138" s="61">
        <f t="shared" si="47"/>
        <v>48</v>
      </c>
      <c r="AL138" s="61">
        <v>2</v>
      </c>
      <c r="AM138" s="61">
        <f t="shared" si="48"/>
        <v>0</v>
      </c>
      <c r="AN138" s="61">
        <f t="shared" si="49"/>
        <v>48</v>
      </c>
      <c r="AO138" s="61">
        <f t="shared" si="50"/>
        <v>0</v>
      </c>
      <c r="AP138" s="61">
        <f t="shared" si="51"/>
        <v>0</v>
      </c>
      <c r="AQ138" s="49"/>
    </row>
    <row r="139" spans="1:43" ht="20.100000000000001" customHeight="1">
      <c r="A139" s="49" t="s">
        <v>454</v>
      </c>
      <c r="B139" s="49">
        <v>133</v>
      </c>
      <c r="C139" s="56" t="s">
        <v>347</v>
      </c>
      <c r="D139" s="56" t="s">
        <v>216</v>
      </c>
      <c r="E139" s="56" t="s">
        <v>346</v>
      </c>
      <c r="F139" s="49">
        <f>VLOOKUP(C139,'[1]논산시 마을상수도'!$E$5:$K$171,6,FALSE)</f>
        <v>40</v>
      </c>
      <c r="G139" s="49">
        <f>VLOOKUP(C139,'[1]논산시 마을상수도'!$E$5:$K$171,3,FALSE)</f>
        <v>2004</v>
      </c>
      <c r="H139" s="49">
        <f>VLOOKUP($C139,'[1]논산시 마을상수도'!$E$5:$K$171,4,FALSE)</f>
        <v>46</v>
      </c>
      <c r="I139" s="49">
        <v>2004</v>
      </c>
      <c r="J139" s="49"/>
      <c r="K139" s="49">
        <v>2004</v>
      </c>
      <c r="L139" s="49">
        <f t="shared" si="41"/>
        <v>2004</v>
      </c>
      <c r="M139" s="49">
        <v>2004</v>
      </c>
      <c r="N139" s="49">
        <v>2025</v>
      </c>
      <c r="O139" s="49" t="str">
        <f t="shared" si="42"/>
        <v/>
      </c>
      <c r="P139" s="49"/>
      <c r="Q139" s="49" t="str">
        <f t="shared" si="43"/>
        <v/>
      </c>
      <c r="R139" s="49" t="str">
        <f t="shared" si="44"/>
        <v/>
      </c>
      <c r="S139" s="49" t="str">
        <f t="shared" si="45"/>
        <v/>
      </c>
      <c r="T139" s="49" t="str">
        <f t="shared" si="36"/>
        <v/>
      </c>
      <c r="U139" s="49" t="str">
        <f t="shared" si="37"/>
        <v/>
      </c>
      <c r="V139" s="49" t="str">
        <f t="shared" si="38"/>
        <v/>
      </c>
      <c r="W139" s="49" t="str">
        <f t="shared" si="39"/>
        <v/>
      </c>
      <c r="X139" s="49" t="str">
        <f t="shared" si="40"/>
        <v/>
      </c>
      <c r="Y139" s="49">
        <v>2</v>
      </c>
      <c r="Z139" s="49" t="s">
        <v>114</v>
      </c>
      <c r="AA139" s="49" t="str">
        <f t="shared" si="46"/>
        <v>E</v>
      </c>
      <c r="AB139" s="61"/>
      <c r="AC139" s="61"/>
      <c r="AD139" s="61" t="str">
        <f>IF(O139="개량",ROUND(VLOOKUP($F139,'개량사업비 산정기준'!$A$5:$I$23,2,FALSE)/1000,0),"")</f>
        <v/>
      </c>
      <c r="AE139" s="61"/>
      <c r="AF139" s="61" t="str">
        <f>IF(Q139="개량",ROUND(VLOOKUP($F139,'개량사업비 산정기준'!$A$5:$I$23,6,FALSE)/1000,0),"")</f>
        <v/>
      </c>
      <c r="AG139" s="61" t="str">
        <f>IF(R139="개량",ROUND(VLOOKUP($F139,'개량사업비 산정기준'!$A$5:$I$23,7,FALSE)/1000,0),"")</f>
        <v/>
      </c>
      <c r="AH139" s="61" t="str">
        <f>IF(S139="개량",ROUND(((AB139*'개량사업비 산정기준'!$B$34)+(AC139*'개량사업비 산정기준'!$C$34))/1000000,0),"")</f>
        <v/>
      </c>
      <c r="AI139" s="61"/>
      <c r="AJ139" s="61">
        <f>IF($AA139="D",ROUND('개량사업비 산정기준'!$F$56/1000,0),IF($AA139="E",ROUND('개량사업비 산정기준'!$F$56/1000,0),""))</f>
        <v>48</v>
      </c>
      <c r="AK139" s="61">
        <f t="shared" si="47"/>
        <v>48</v>
      </c>
      <c r="AL139" s="61">
        <v>2</v>
      </c>
      <c r="AM139" s="61">
        <f t="shared" si="48"/>
        <v>0</v>
      </c>
      <c r="AN139" s="61">
        <f t="shared" si="49"/>
        <v>48</v>
      </c>
      <c r="AO139" s="61">
        <f t="shared" si="50"/>
        <v>0</v>
      </c>
      <c r="AP139" s="61">
        <f t="shared" si="51"/>
        <v>0</v>
      </c>
      <c r="AQ139" s="49"/>
    </row>
    <row r="140" spans="1:43" ht="20.100000000000001" customHeight="1">
      <c r="A140" s="49" t="s">
        <v>454</v>
      </c>
      <c r="B140" s="49">
        <v>134</v>
      </c>
      <c r="C140" s="56" t="s">
        <v>348</v>
      </c>
      <c r="D140" s="56" t="s">
        <v>216</v>
      </c>
      <c r="E140" s="56" t="s">
        <v>334</v>
      </c>
      <c r="F140" s="49">
        <f>VLOOKUP(C140,'[1]논산시 마을상수도'!$E$5:$K$171,6,FALSE)</f>
        <v>20</v>
      </c>
      <c r="G140" s="49">
        <f>VLOOKUP(C140,'[1]논산시 마을상수도'!$E$5:$K$171,3,FALSE)</f>
        <v>2006</v>
      </c>
      <c r="H140" s="49">
        <f>VLOOKUP($C140,'[1]논산시 마을상수도'!$E$5:$K$171,4,FALSE)</f>
        <v>12</v>
      </c>
      <c r="I140" s="49">
        <v>2006</v>
      </c>
      <c r="J140" s="49"/>
      <c r="K140" s="49">
        <v>2006</v>
      </c>
      <c r="L140" s="49">
        <f t="shared" si="41"/>
        <v>2006</v>
      </c>
      <c r="M140" s="49">
        <v>2006</v>
      </c>
      <c r="N140" s="49">
        <v>2030</v>
      </c>
      <c r="O140" s="49" t="str">
        <f t="shared" si="42"/>
        <v/>
      </c>
      <c r="P140" s="49"/>
      <c r="Q140" s="49" t="str">
        <f t="shared" si="43"/>
        <v/>
      </c>
      <c r="R140" s="49" t="str">
        <f t="shared" si="44"/>
        <v/>
      </c>
      <c r="S140" s="49" t="str">
        <f t="shared" si="45"/>
        <v/>
      </c>
      <c r="T140" s="49" t="str">
        <f t="shared" si="36"/>
        <v/>
      </c>
      <c r="U140" s="49" t="str">
        <f t="shared" si="37"/>
        <v/>
      </c>
      <c r="V140" s="49" t="str">
        <f t="shared" si="38"/>
        <v/>
      </c>
      <c r="W140" s="49" t="str">
        <f t="shared" si="39"/>
        <v/>
      </c>
      <c r="X140" s="49" t="str">
        <f t="shared" si="40"/>
        <v/>
      </c>
      <c r="Y140" s="49"/>
      <c r="Z140" s="49" t="s">
        <v>114</v>
      </c>
      <c r="AA140" s="49" t="str">
        <f t="shared" si="46"/>
        <v>F</v>
      </c>
      <c r="AB140" s="61"/>
      <c r="AC140" s="61"/>
      <c r="AD140" s="61" t="str">
        <f>IF(O140="개량",ROUND(VLOOKUP($F140,'개량사업비 산정기준'!$A$5:$I$23,2,FALSE)/1000,0),"")</f>
        <v/>
      </c>
      <c r="AE140" s="61"/>
      <c r="AF140" s="61" t="str">
        <f>IF(Q140="개량",ROUND(VLOOKUP($F140,'개량사업비 산정기준'!$A$5:$I$23,6,FALSE)/1000,0),"")</f>
        <v/>
      </c>
      <c r="AG140" s="61" t="str">
        <f>IF(R140="개량",ROUND(VLOOKUP($F140,'개량사업비 산정기준'!$A$5:$I$23,7,FALSE)/1000,0),"")</f>
        <v/>
      </c>
      <c r="AH140" s="61" t="str">
        <f>IF(S140="개량",ROUND(((AB140*'개량사업비 산정기준'!$B$34)+(AC140*'개량사업비 산정기준'!$C$34))/1000000,0),"")</f>
        <v/>
      </c>
      <c r="AI140" s="61"/>
      <c r="AJ140" s="61" t="str">
        <f>IF($AA140="D",ROUND('개량사업비 산정기준'!$F$56/1000,0),IF($AA140="E",ROUND('개량사업비 산정기준'!$F$56/1000,0),""))</f>
        <v/>
      </c>
      <c r="AK140" s="61">
        <f t="shared" si="47"/>
        <v>0</v>
      </c>
      <c r="AL140" s="61"/>
      <c r="AM140" s="61">
        <f t="shared" si="48"/>
        <v>0</v>
      </c>
      <c r="AN140" s="61">
        <f t="shared" si="49"/>
        <v>0</v>
      </c>
      <c r="AO140" s="61">
        <f t="shared" si="50"/>
        <v>0</v>
      </c>
      <c r="AP140" s="61">
        <f t="shared" si="51"/>
        <v>0</v>
      </c>
      <c r="AQ140" s="49"/>
    </row>
    <row r="141" spans="1:43" ht="20.100000000000001" customHeight="1">
      <c r="A141" s="49" t="s">
        <v>454</v>
      </c>
      <c r="B141" s="49">
        <v>135</v>
      </c>
      <c r="C141" s="56" t="s">
        <v>350</v>
      </c>
      <c r="D141" s="56" t="s">
        <v>216</v>
      </c>
      <c r="E141" s="56" t="s">
        <v>349</v>
      </c>
      <c r="F141" s="49">
        <f>VLOOKUP(C141,'[1]논산시 마을상수도'!$E$5:$K$171,6,FALSE)</f>
        <v>50</v>
      </c>
      <c r="G141" s="49">
        <f>VLOOKUP(C141,'[1]논산시 마을상수도'!$E$5:$K$171,3,FALSE)</f>
        <v>2010</v>
      </c>
      <c r="H141" s="49">
        <f>VLOOKUP($C141,'[1]논산시 마을상수도'!$E$5:$K$171,4,FALSE)</f>
        <v>29</v>
      </c>
      <c r="I141" s="49">
        <v>2010</v>
      </c>
      <c r="J141" s="49"/>
      <c r="K141" s="49">
        <v>2010</v>
      </c>
      <c r="L141" s="49">
        <f t="shared" si="41"/>
        <v>2010</v>
      </c>
      <c r="M141" s="49">
        <v>2010</v>
      </c>
      <c r="N141" s="49">
        <v>2025</v>
      </c>
      <c r="O141" s="49" t="str">
        <f t="shared" si="42"/>
        <v/>
      </c>
      <c r="P141" s="49"/>
      <c r="Q141" s="49" t="str">
        <f t="shared" si="43"/>
        <v/>
      </c>
      <c r="R141" s="49" t="str">
        <f t="shared" si="44"/>
        <v/>
      </c>
      <c r="S141" s="49" t="str">
        <f t="shared" si="45"/>
        <v/>
      </c>
      <c r="T141" s="49" t="str">
        <f t="shared" si="36"/>
        <v/>
      </c>
      <c r="U141" s="49" t="str">
        <f t="shared" si="37"/>
        <v/>
      </c>
      <c r="V141" s="49" t="str">
        <f t="shared" si="38"/>
        <v/>
      </c>
      <c r="W141" s="49" t="str">
        <f t="shared" si="39"/>
        <v/>
      </c>
      <c r="X141" s="49" t="str">
        <f t="shared" si="40"/>
        <v/>
      </c>
      <c r="Y141" s="49">
        <v>2</v>
      </c>
      <c r="Z141" s="49" t="s">
        <v>114</v>
      </c>
      <c r="AA141" s="49" t="str">
        <f t="shared" si="46"/>
        <v>E</v>
      </c>
      <c r="AB141" s="61"/>
      <c r="AC141" s="61"/>
      <c r="AD141" s="61" t="str">
        <f>IF(O141="개량",ROUND(VLOOKUP($F141,'개량사업비 산정기준'!$A$5:$I$23,2,FALSE)/1000,0),"")</f>
        <v/>
      </c>
      <c r="AE141" s="61"/>
      <c r="AF141" s="61" t="str">
        <f>IF(Q141="개량",ROUND(VLOOKUP($F141,'개량사업비 산정기준'!$A$5:$I$23,6,FALSE)/1000,0),"")</f>
        <v/>
      </c>
      <c r="AG141" s="61" t="str">
        <f>IF(R141="개량",ROUND(VLOOKUP($F141,'개량사업비 산정기준'!$A$5:$I$23,7,FALSE)/1000,0),"")</f>
        <v/>
      </c>
      <c r="AH141" s="61" t="str">
        <f>IF(S141="개량",ROUND(((AB141*'개량사업비 산정기준'!$B$34)+(AC141*'개량사업비 산정기준'!$C$34))/1000000,0),"")</f>
        <v/>
      </c>
      <c r="AI141" s="61"/>
      <c r="AJ141" s="61">
        <f>IF($AA141="D",ROUND('개량사업비 산정기준'!$F$56/1000,0),IF($AA141="E",ROUND('개량사업비 산정기준'!$F$56/1000,0),""))</f>
        <v>48</v>
      </c>
      <c r="AK141" s="61">
        <f t="shared" si="47"/>
        <v>48</v>
      </c>
      <c r="AL141" s="61">
        <v>2</v>
      </c>
      <c r="AM141" s="61">
        <f t="shared" si="48"/>
        <v>0</v>
      </c>
      <c r="AN141" s="61">
        <f t="shared" si="49"/>
        <v>48</v>
      </c>
      <c r="AO141" s="61">
        <f t="shared" si="50"/>
        <v>0</v>
      </c>
      <c r="AP141" s="61">
        <f t="shared" si="51"/>
        <v>0</v>
      </c>
      <c r="AQ141" s="49"/>
    </row>
    <row r="142" spans="1:43" ht="20.100000000000001" customHeight="1">
      <c r="A142" s="49" t="s">
        <v>454</v>
      </c>
      <c r="B142" s="49">
        <v>136</v>
      </c>
      <c r="C142" s="56" t="s">
        <v>352</v>
      </c>
      <c r="D142" s="56" t="s">
        <v>216</v>
      </c>
      <c r="E142" s="56" t="s">
        <v>351</v>
      </c>
      <c r="F142" s="49">
        <f>VLOOKUP(C142,'[1]논산시 마을상수도'!$E$5:$K$171,6,FALSE)</f>
        <v>50</v>
      </c>
      <c r="G142" s="49">
        <f>VLOOKUP(C142,'[1]논산시 마을상수도'!$E$5:$K$171,3,FALSE)</f>
        <v>1996</v>
      </c>
      <c r="H142" s="49">
        <f>VLOOKUP($C142,'[1]논산시 마을상수도'!$E$5:$K$171,4,FALSE)</f>
        <v>34</v>
      </c>
      <c r="I142" s="49">
        <v>1996</v>
      </c>
      <c r="J142" s="49"/>
      <c r="K142" s="49">
        <f>VLOOKUP($E142,'[2]마을_소규모 인접거리'!$D$8:$P$167,12,FALSE)</f>
        <v>1996</v>
      </c>
      <c r="L142" s="49">
        <f t="shared" si="41"/>
        <v>1996</v>
      </c>
      <c r="M142" s="49">
        <v>1996</v>
      </c>
      <c r="N142" s="49">
        <v>2025</v>
      </c>
      <c r="O142" s="49" t="str">
        <f t="shared" si="42"/>
        <v/>
      </c>
      <c r="P142" s="49"/>
      <c r="Q142" s="49" t="str">
        <f t="shared" si="43"/>
        <v/>
      </c>
      <c r="R142" s="49" t="str">
        <f t="shared" si="44"/>
        <v/>
      </c>
      <c r="S142" s="49" t="str">
        <f t="shared" si="45"/>
        <v/>
      </c>
      <c r="T142" s="49" t="str">
        <f t="shared" si="36"/>
        <v/>
      </c>
      <c r="U142" s="49" t="str">
        <f t="shared" si="37"/>
        <v/>
      </c>
      <c r="V142" s="49" t="str">
        <f t="shared" si="38"/>
        <v/>
      </c>
      <c r="W142" s="49" t="str">
        <f t="shared" si="39"/>
        <v/>
      </c>
      <c r="X142" s="49" t="str">
        <f t="shared" si="40"/>
        <v/>
      </c>
      <c r="Y142" s="49">
        <v>2</v>
      </c>
      <c r="Z142" s="49" t="s">
        <v>114</v>
      </c>
      <c r="AA142" s="49" t="str">
        <f t="shared" si="46"/>
        <v>E</v>
      </c>
      <c r="AB142" s="61"/>
      <c r="AC142" s="61"/>
      <c r="AD142" s="61" t="str">
        <f>IF(O142="개량",ROUND(VLOOKUP($F142,'개량사업비 산정기준'!$A$5:$I$23,2,FALSE)/1000,0),"")</f>
        <v/>
      </c>
      <c r="AE142" s="61"/>
      <c r="AF142" s="61" t="str">
        <f>IF(Q142="개량",ROUND(VLOOKUP($F142,'개량사업비 산정기준'!$A$5:$I$23,6,FALSE)/1000,0),"")</f>
        <v/>
      </c>
      <c r="AG142" s="61" t="str">
        <f>IF(R142="개량",ROUND(VLOOKUP($F142,'개량사업비 산정기준'!$A$5:$I$23,7,FALSE)/1000,0),"")</f>
        <v/>
      </c>
      <c r="AH142" s="61" t="str">
        <f>IF(S142="개량",ROUND(((AB142*'개량사업비 산정기준'!$B$34)+(AC142*'개량사업비 산정기준'!$C$34))/1000000,0),"")</f>
        <v/>
      </c>
      <c r="AI142" s="61"/>
      <c r="AJ142" s="61">
        <f>IF($AA142="D",ROUND('개량사업비 산정기준'!$F$56/1000,0),IF($AA142="E",ROUND('개량사업비 산정기준'!$F$56/1000,0),""))</f>
        <v>48</v>
      </c>
      <c r="AK142" s="61">
        <f t="shared" si="47"/>
        <v>48</v>
      </c>
      <c r="AL142" s="61">
        <v>2</v>
      </c>
      <c r="AM142" s="61">
        <f t="shared" si="48"/>
        <v>0</v>
      </c>
      <c r="AN142" s="61">
        <f t="shared" si="49"/>
        <v>48</v>
      </c>
      <c r="AO142" s="61">
        <f t="shared" si="50"/>
        <v>0</v>
      </c>
      <c r="AP142" s="61">
        <f t="shared" si="51"/>
        <v>0</v>
      </c>
      <c r="AQ142" s="49"/>
    </row>
    <row r="143" spans="1:43" ht="20.100000000000001" customHeight="1">
      <c r="A143" s="49" t="s">
        <v>454</v>
      </c>
      <c r="B143" s="49">
        <v>137</v>
      </c>
      <c r="C143" s="58" t="s">
        <v>354</v>
      </c>
      <c r="D143" s="58" t="s">
        <v>231</v>
      </c>
      <c r="E143" s="58" t="s">
        <v>353</v>
      </c>
      <c r="F143" s="49">
        <f>VLOOKUP(C143,'[1]논산시 마을상수도'!$E$5:$K$171,6,FALSE)</f>
        <v>40</v>
      </c>
      <c r="G143" s="49">
        <f>VLOOKUP(C143,'[1]논산시 마을상수도'!$E$5:$K$171,3,FALSE)</f>
        <v>1983</v>
      </c>
      <c r="H143" s="49">
        <f>VLOOKUP($C143,'[1]논산시 마을상수도'!$E$5:$K$171,4,FALSE)</f>
        <v>25</v>
      </c>
      <c r="I143" s="49">
        <v>1983</v>
      </c>
      <c r="J143" s="49"/>
      <c r="K143" s="49">
        <v>1983</v>
      </c>
      <c r="L143" s="49">
        <f t="shared" si="41"/>
        <v>1983</v>
      </c>
      <c r="M143" s="49">
        <v>1983</v>
      </c>
      <c r="N143" s="49">
        <v>2020</v>
      </c>
      <c r="O143" s="49" t="str">
        <f t="shared" si="42"/>
        <v>개량</v>
      </c>
      <c r="P143" s="49"/>
      <c r="Q143" s="49" t="str">
        <f t="shared" si="43"/>
        <v>개량</v>
      </c>
      <c r="R143" s="49" t="str">
        <f t="shared" si="44"/>
        <v>개량</v>
      </c>
      <c r="S143" s="49" t="str">
        <f t="shared" si="45"/>
        <v>개량</v>
      </c>
      <c r="T143" s="49">
        <f t="shared" si="36"/>
        <v>1</v>
      </c>
      <c r="U143" s="49" t="str">
        <f t="shared" si="37"/>
        <v/>
      </c>
      <c r="V143" s="49">
        <f t="shared" si="38"/>
        <v>1</v>
      </c>
      <c r="W143" s="49">
        <f t="shared" si="39"/>
        <v>1</v>
      </c>
      <c r="X143" s="49">
        <f t="shared" si="40"/>
        <v>1</v>
      </c>
      <c r="Y143" s="49">
        <v>2</v>
      </c>
      <c r="Z143" s="49" t="s">
        <v>114</v>
      </c>
      <c r="AA143" s="49" t="str">
        <f t="shared" si="46"/>
        <v>D</v>
      </c>
      <c r="AB143" s="61">
        <v>120</v>
      </c>
      <c r="AC143" s="61">
        <v>1231</v>
      </c>
      <c r="AD143" s="61">
        <f>IF(O143="개량",ROUND(VLOOKUP($F143,'개량사업비 산정기준'!$A$5:$I$23,2,FALSE)/1000,0),"")</f>
        <v>39</v>
      </c>
      <c r="AE143" s="61"/>
      <c r="AF143" s="61">
        <f>IF(Q143="개량",ROUND(VLOOKUP($F143,'개량사업비 산정기준'!$A$5:$I$23,6,FALSE)/1000,0),"")</f>
        <v>19</v>
      </c>
      <c r="AG143" s="61">
        <f>IF(R143="개량",ROUND(VLOOKUP($F143,'개량사업비 산정기준'!$A$5:$I$23,7,FALSE)/1000,0),"")</f>
        <v>13</v>
      </c>
      <c r="AH143" s="61">
        <f>IF(S143="개량",ROUND(((AB143*'개량사업비 산정기준'!$B$34)+(AC143*'개량사업비 산정기준'!$C$34))/1000000,0),"")</f>
        <v>294</v>
      </c>
      <c r="AI143" s="61">
        <f>IF((AB143+AC143)&lt;=1000,ROUND('개량사업비 산정기준'!$B$45/1000,0),IF((AB143+AC143)&lt;=2000,ROUND('개량사업비 산정기준'!$C$45/1000,0),ROUND('개량사업비 산정기준'!$E$45/1000,0)))</f>
        <v>11</v>
      </c>
      <c r="AJ143" s="61">
        <f>IF($AA143="D",ROUND('개량사업비 산정기준'!$F$56/1000,0),IF($AA143="E",ROUND('개량사업비 산정기준'!$F$56/1000,0),""))</f>
        <v>48</v>
      </c>
      <c r="AK143" s="61">
        <f t="shared" si="47"/>
        <v>424</v>
      </c>
      <c r="AL143" s="61">
        <v>1</v>
      </c>
      <c r="AM143" s="61">
        <f t="shared" si="48"/>
        <v>424</v>
      </c>
      <c r="AN143" s="61">
        <f t="shared" si="49"/>
        <v>0</v>
      </c>
      <c r="AO143" s="61">
        <f t="shared" si="50"/>
        <v>0</v>
      </c>
      <c r="AP143" s="61">
        <f t="shared" si="51"/>
        <v>0</v>
      </c>
      <c r="AQ143" s="49"/>
    </row>
    <row r="144" spans="1:43" ht="20.100000000000001" customHeight="1">
      <c r="A144" s="49" t="s">
        <v>454</v>
      </c>
      <c r="B144" s="49">
        <v>138</v>
      </c>
      <c r="C144" s="58" t="s">
        <v>356</v>
      </c>
      <c r="D144" s="58" t="s">
        <v>231</v>
      </c>
      <c r="E144" s="58" t="s">
        <v>355</v>
      </c>
      <c r="F144" s="49">
        <f>VLOOKUP(C144,'[1]논산시 마을상수도'!$E$5:$K$171,6,FALSE)</f>
        <v>40</v>
      </c>
      <c r="G144" s="49">
        <f>VLOOKUP(C144,'[1]논산시 마을상수도'!$E$5:$K$171,3,FALSE)</f>
        <v>1984</v>
      </c>
      <c r="H144" s="49">
        <f>VLOOKUP($C144,'[1]논산시 마을상수도'!$E$5:$K$171,4,FALSE)</f>
        <v>19</v>
      </c>
      <c r="I144" s="49">
        <v>2008</v>
      </c>
      <c r="J144" s="49"/>
      <c r="K144" s="49">
        <v>2008</v>
      </c>
      <c r="L144" s="49">
        <f t="shared" si="41"/>
        <v>2008</v>
      </c>
      <c r="M144" s="49">
        <v>2008</v>
      </c>
      <c r="N144" s="49">
        <v>2025</v>
      </c>
      <c r="O144" s="49" t="str">
        <f t="shared" si="42"/>
        <v/>
      </c>
      <c r="P144" s="49"/>
      <c r="Q144" s="49" t="str">
        <f t="shared" si="43"/>
        <v/>
      </c>
      <c r="R144" s="49" t="str">
        <f t="shared" si="44"/>
        <v/>
      </c>
      <c r="S144" s="49" t="str">
        <f t="shared" si="45"/>
        <v/>
      </c>
      <c r="T144" s="49" t="str">
        <f t="shared" si="36"/>
        <v/>
      </c>
      <c r="U144" s="49" t="str">
        <f t="shared" si="37"/>
        <v/>
      </c>
      <c r="V144" s="49" t="str">
        <f t="shared" si="38"/>
        <v/>
      </c>
      <c r="W144" s="49" t="str">
        <f t="shared" si="39"/>
        <v/>
      </c>
      <c r="X144" s="49" t="str">
        <f t="shared" si="40"/>
        <v/>
      </c>
      <c r="Y144" s="49">
        <v>2</v>
      </c>
      <c r="Z144" s="49" t="s">
        <v>114</v>
      </c>
      <c r="AA144" s="49" t="str">
        <f t="shared" si="46"/>
        <v>E</v>
      </c>
      <c r="AB144" s="61"/>
      <c r="AC144" s="61"/>
      <c r="AD144" s="61" t="str">
        <f>IF(O144="개량",ROUND(VLOOKUP($F144,'개량사업비 산정기준'!$A$5:$I$23,2,FALSE)/1000,0),"")</f>
        <v/>
      </c>
      <c r="AE144" s="61"/>
      <c r="AF144" s="61" t="str">
        <f>IF(Q144="개량",ROUND(VLOOKUP($F144,'개량사업비 산정기준'!$A$5:$I$23,6,FALSE)/1000,0),"")</f>
        <v/>
      </c>
      <c r="AG144" s="61" t="str">
        <f>IF(R144="개량",ROUND(VLOOKUP($F144,'개량사업비 산정기준'!$A$5:$I$23,7,FALSE)/1000,0),"")</f>
        <v/>
      </c>
      <c r="AH144" s="61" t="str">
        <f>IF(S144="개량",ROUND(((AB144*'개량사업비 산정기준'!$B$34)+(AC144*'개량사업비 산정기준'!$C$34))/1000000,0),"")</f>
        <v/>
      </c>
      <c r="AI144" s="61"/>
      <c r="AJ144" s="61">
        <f>IF($AA144="D",ROUND('개량사업비 산정기준'!$F$56/1000,0),IF($AA144="E",ROUND('개량사업비 산정기준'!$F$56/1000,0),""))</f>
        <v>48</v>
      </c>
      <c r="AK144" s="61">
        <f t="shared" si="47"/>
        <v>48</v>
      </c>
      <c r="AL144" s="61">
        <v>2</v>
      </c>
      <c r="AM144" s="61">
        <f t="shared" si="48"/>
        <v>0</v>
      </c>
      <c r="AN144" s="61">
        <f t="shared" si="49"/>
        <v>48</v>
      </c>
      <c r="AO144" s="61">
        <f t="shared" si="50"/>
        <v>0</v>
      </c>
      <c r="AP144" s="61">
        <f t="shared" si="51"/>
        <v>0</v>
      </c>
      <c r="AQ144" s="49"/>
    </row>
    <row r="145" spans="1:43" ht="20.100000000000001" customHeight="1">
      <c r="A145" s="49" t="s">
        <v>454</v>
      </c>
      <c r="B145" s="49">
        <v>139</v>
      </c>
      <c r="C145" s="58" t="s">
        <v>358</v>
      </c>
      <c r="D145" s="58" t="s">
        <v>231</v>
      </c>
      <c r="E145" s="58" t="s">
        <v>357</v>
      </c>
      <c r="F145" s="49">
        <f>VLOOKUP(C145,'[1]논산시 마을상수도'!$E$5:$K$171,6,FALSE)</f>
        <v>10</v>
      </c>
      <c r="G145" s="49">
        <f>VLOOKUP(C145,'[1]논산시 마을상수도'!$E$5:$K$171,3,FALSE)</f>
        <v>1984</v>
      </c>
      <c r="H145" s="49">
        <f>VLOOKUP($C145,'[1]논산시 마을상수도'!$E$5:$K$171,4,FALSE)</f>
        <v>10</v>
      </c>
      <c r="I145" s="49">
        <v>1984</v>
      </c>
      <c r="J145" s="49"/>
      <c r="K145" s="49">
        <v>1984</v>
      </c>
      <c r="L145" s="49">
        <f t="shared" si="41"/>
        <v>1984</v>
      </c>
      <c r="M145" s="49">
        <v>1984</v>
      </c>
      <c r="N145" s="49">
        <v>2020</v>
      </c>
      <c r="O145" s="49" t="str">
        <f t="shared" si="42"/>
        <v>개량</v>
      </c>
      <c r="P145" s="49"/>
      <c r="Q145" s="49" t="str">
        <f t="shared" si="43"/>
        <v>개량</v>
      </c>
      <c r="R145" s="49" t="str">
        <f t="shared" si="44"/>
        <v>개량</v>
      </c>
      <c r="S145" s="49" t="str">
        <f t="shared" si="45"/>
        <v>개량</v>
      </c>
      <c r="T145" s="49">
        <f t="shared" si="36"/>
        <v>1</v>
      </c>
      <c r="U145" s="49" t="str">
        <f t="shared" si="37"/>
        <v/>
      </c>
      <c r="V145" s="49">
        <f t="shared" si="38"/>
        <v>1</v>
      </c>
      <c r="W145" s="49">
        <f t="shared" si="39"/>
        <v>1</v>
      </c>
      <c r="X145" s="49">
        <f t="shared" si="40"/>
        <v>1</v>
      </c>
      <c r="Y145" s="49">
        <v>2</v>
      </c>
      <c r="Z145" s="49" t="s">
        <v>114</v>
      </c>
      <c r="AA145" s="49" t="str">
        <f t="shared" si="46"/>
        <v>D</v>
      </c>
      <c r="AB145" s="61">
        <v>240</v>
      </c>
      <c r="AC145" s="61">
        <v>823</v>
      </c>
      <c r="AD145" s="61">
        <f>IF(O145="개량",ROUND(VLOOKUP($F145,'개량사업비 산정기준'!$A$5:$I$23,2,FALSE)/1000,0),"")</f>
        <v>39</v>
      </c>
      <c r="AE145" s="61"/>
      <c r="AF145" s="61">
        <f>IF(Q145="개량",ROUND(VLOOKUP($F145,'개량사업비 산정기준'!$A$5:$I$23,6,FALSE)/1000,0),"")</f>
        <v>11</v>
      </c>
      <c r="AG145" s="61">
        <f>IF(R145="개량",ROUND(VLOOKUP($F145,'개량사업비 산정기준'!$A$5:$I$23,7,FALSE)/1000,0),"")</f>
        <v>6</v>
      </c>
      <c r="AH145" s="61">
        <f>IF(S145="개량",ROUND(((AB145*'개량사업비 산정기준'!$B$34)+(AC145*'개량사업비 산정기준'!$C$34))/1000000,0),"")</f>
        <v>205</v>
      </c>
      <c r="AI145" s="61">
        <f>IF((AB145+AC145)&lt;=1000,ROUND('개량사업비 산정기준'!$B$45/1000,0),IF((AB145+AC145)&lt;=2000,ROUND('개량사업비 산정기준'!$C$45/1000,0),ROUND('개량사업비 산정기준'!$E$45/1000,0)))</f>
        <v>11</v>
      </c>
      <c r="AJ145" s="61">
        <f>IF($AA145="D",ROUND('개량사업비 산정기준'!$F$56/1000,0),IF($AA145="E",ROUND('개량사업비 산정기준'!$F$56/1000,0),""))</f>
        <v>48</v>
      </c>
      <c r="AK145" s="61">
        <f t="shared" si="47"/>
        <v>320</v>
      </c>
      <c r="AL145" s="61">
        <v>1</v>
      </c>
      <c r="AM145" s="61">
        <f t="shared" si="48"/>
        <v>320</v>
      </c>
      <c r="AN145" s="61">
        <f t="shared" si="49"/>
        <v>0</v>
      </c>
      <c r="AO145" s="61">
        <f t="shared" si="50"/>
        <v>0</v>
      </c>
      <c r="AP145" s="61">
        <f t="shared" si="51"/>
        <v>0</v>
      </c>
      <c r="AQ145" s="49"/>
    </row>
    <row r="146" spans="1:43" ht="20.100000000000001" customHeight="1">
      <c r="A146" s="49" t="s">
        <v>454</v>
      </c>
      <c r="B146" s="49">
        <v>140</v>
      </c>
      <c r="C146" s="58" t="s">
        <v>359</v>
      </c>
      <c r="D146" s="58" t="s">
        <v>231</v>
      </c>
      <c r="E146" s="58" t="s">
        <v>357</v>
      </c>
      <c r="F146" s="49">
        <f>VLOOKUP(C146,'[1]논산시 마을상수도'!$E$5:$K$171,6,FALSE)</f>
        <v>20</v>
      </c>
      <c r="G146" s="49">
        <f>VLOOKUP(C146,'[1]논산시 마을상수도'!$E$5:$K$171,3,FALSE)</f>
        <v>1985</v>
      </c>
      <c r="H146" s="49">
        <f>VLOOKUP($C146,'[1]논산시 마을상수도'!$E$5:$K$171,4,FALSE)</f>
        <v>18</v>
      </c>
      <c r="I146" s="49">
        <v>1985</v>
      </c>
      <c r="J146" s="49"/>
      <c r="K146" s="49">
        <v>1985</v>
      </c>
      <c r="L146" s="49">
        <f t="shared" si="41"/>
        <v>1985</v>
      </c>
      <c r="M146" s="49">
        <v>1985</v>
      </c>
      <c r="N146" s="49">
        <v>2020</v>
      </c>
      <c r="O146" s="49" t="str">
        <f t="shared" si="42"/>
        <v>개량</v>
      </c>
      <c r="P146" s="49"/>
      <c r="Q146" s="49" t="str">
        <f t="shared" si="43"/>
        <v>개량</v>
      </c>
      <c r="R146" s="49" t="str">
        <f t="shared" si="44"/>
        <v>개량</v>
      </c>
      <c r="S146" s="49" t="str">
        <f t="shared" si="45"/>
        <v>개량</v>
      </c>
      <c r="T146" s="49">
        <f t="shared" si="36"/>
        <v>1</v>
      </c>
      <c r="U146" s="49" t="str">
        <f t="shared" si="37"/>
        <v/>
      </c>
      <c r="V146" s="49">
        <f t="shared" si="38"/>
        <v>1</v>
      </c>
      <c r="W146" s="49">
        <f t="shared" si="39"/>
        <v>1</v>
      </c>
      <c r="X146" s="49">
        <f t="shared" si="40"/>
        <v>1</v>
      </c>
      <c r="Y146" s="49">
        <v>2</v>
      </c>
      <c r="Z146" s="49" t="s">
        <v>114</v>
      </c>
      <c r="AA146" s="49" t="str">
        <f t="shared" si="46"/>
        <v>D</v>
      </c>
      <c r="AB146" s="61">
        <v>280</v>
      </c>
      <c r="AC146" s="61">
        <v>1235</v>
      </c>
      <c r="AD146" s="61">
        <f>IF(O146="개량",ROUND(VLOOKUP($F146,'개량사업비 산정기준'!$A$5:$I$23,2,FALSE)/1000,0),"")</f>
        <v>39</v>
      </c>
      <c r="AE146" s="61"/>
      <c r="AF146" s="61">
        <f>IF(Q146="개량",ROUND(VLOOKUP($F146,'개량사업비 산정기준'!$A$5:$I$23,6,FALSE)/1000,0),"")</f>
        <v>13</v>
      </c>
      <c r="AG146" s="61">
        <f>IF(R146="개량",ROUND(VLOOKUP($F146,'개량사업비 산정기준'!$A$5:$I$23,7,FALSE)/1000,0),"")</f>
        <v>9</v>
      </c>
      <c r="AH146" s="61">
        <f>IF(S146="개량",ROUND(((AB146*'개량사업비 산정기준'!$B$34)+(AC146*'개량사업비 산정기준'!$C$34))/1000000,0),"")</f>
        <v>303</v>
      </c>
      <c r="AI146" s="61">
        <f>IF((AB146+AC146)&lt;=1000,ROUND('개량사업비 산정기준'!$B$45/1000,0),IF((AB146+AC146)&lt;=2000,ROUND('개량사업비 산정기준'!$C$45/1000,0),ROUND('개량사업비 산정기준'!$E$45/1000,0)))</f>
        <v>11</v>
      </c>
      <c r="AJ146" s="61">
        <f>IF($AA146="D",ROUND('개량사업비 산정기준'!$F$56/1000,0),IF($AA146="E",ROUND('개량사업비 산정기준'!$F$56/1000,0),""))</f>
        <v>48</v>
      </c>
      <c r="AK146" s="61">
        <f t="shared" si="47"/>
        <v>423</v>
      </c>
      <c r="AL146" s="61">
        <v>1</v>
      </c>
      <c r="AM146" s="61">
        <f t="shared" si="48"/>
        <v>423</v>
      </c>
      <c r="AN146" s="61">
        <f t="shared" si="49"/>
        <v>0</v>
      </c>
      <c r="AO146" s="61">
        <f t="shared" si="50"/>
        <v>0</v>
      </c>
      <c r="AP146" s="61">
        <f t="shared" si="51"/>
        <v>0</v>
      </c>
      <c r="AQ146" s="49"/>
    </row>
    <row r="147" spans="1:43" ht="20.100000000000001" customHeight="1">
      <c r="A147" s="49" t="s">
        <v>454</v>
      </c>
      <c r="B147" s="49">
        <v>141</v>
      </c>
      <c r="C147" s="58" t="s">
        <v>360</v>
      </c>
      <c r="D147" s="58" t="s">
        <v>231</v>
      </c>
      <c r="E147" s="58" t="s">
        <v>355</v>
      </c>
      <c r="F147" s="49">
        <f>VLOOKUP(C147,'[1]논산시 마을상수도'!$E$5:$K$171,6,FALSE)</f>
        <v>30</v>
      </c>
      <c r="G147" s="49">
        <f>VLOOKUP(C147,'[1]논산시 마을상수도'!$E$5:$K$171,3,FALSE)</f>
        <v>1996</v>
      </c>
      <c r="H147" s="49">
        <f>VLOOKUP($C147,'[1]논산시 마을상수도'!$E$5:$K$171,4,FALSE)</f>
        <v>20</v>
      </c>
      <c r="I147" s="49">
        <v>2008</v>
      </c>
      <c r="J147" s="49"/>
      <c r="K147" s="49">
        <v>2008</v>
      </c>
      <c r="L147" s="49">
        <f t="shared" si="41"/>
        <v>2008</v>
      </c>
      <c r="M147" s="49">
        <v>2008</v>
      </c>
      <c r="N147" s="49">
        <v>2025</v>
      </c>
      <c r="O147" s="49" t="str">
        <f t="shared" si="42"/>
        <v/>
      </c>
      <c r="P147" s="49"/>
      <c r="Q147" s="49" t="str">
        <f t="shared" si="43"/>
        <v/>
      </c>
      <c r="R147" s="49" t="str">
        <f t="shared" si="44"/>
        <v/>
      </c>
      <c r="S147" s="49" t="str">
        <f t="shared" si="45"/>
        <v/>
      </c>
      <c r="T147" s="49" t="str">
        <f t="shared" si="36"/>
        <v/>
      </c>
      <c r="U147" s="49" t="str">
        <f t="shared" si="37"/>
        <v/>
      </c>
      <c r="V147" s="49" t="str">
        <f t="shared" si="38"/>
        <v/>
      </c>
      <c r="W147" s="49" t="str">
        <f t="shared" si="39"/>
        <v/>
      </c>
      <c r="X147" s="49" t="str">
        <f t="shared" si="40"/>
        <v/>
      </c>
      <c r="Y147" s="49">
        <v>2</v>
      </c>
      <c r="Z147" s="49" t="s">
        <v>114</v>
      </c>
      <c r="AA147" s="49" t="str">
        <f t="shared" si="46"/>
        <v>E</v>
      </c>
      <c r="AB147" s="61"/>
      <c r="AC147" s="61"/>
      <c r="AD147" s="61" t="str">
        <f>IF(O147="개량",ROUND(VLOOKUP($F147,'개량사업비 산정기준'!$A$5:$I$23,2,FALSE)/1000,0),"")</f>
        <v/>
      </c>
      <c r="AE147" s="61"/>
      <c r="AF147" s="61" t="str">
        <f>IF(Q147="개량",ROUND(VLOOKUP($F147,'개량사업비 산정기준'!$A$5:$I$23,6,FALSE)/1000,0),"")</f>
        <v/>
      </c>
      <c r="AG147" s="61" t="str">
        <f>IF(R147="개량",ROUND(VLOOKUP($F147,'개량사업비 산정기준'!$A$5:$I$23,7,FALSE)/1000,0),"")</f>
        <v/>
      </c>
      <c r="AH147" s="61" t="str">
        <f>IF(S147="개량",ROUND(((AB147*'개량사업비 산정기준'!$B$34)+(AC147*'개량사업비 산정기준'!$C$34))/1000000,0),"")</f>
        <v/>
      </c>
      <c r="AI147" s="61"/>
      <c r="AJ147" s="61">
        <f>IF($AA147="D",ROUND('개량사업비 산정기준'!$F$56/1000,0),IF($AA147="E",ROUND('개량사업비 산정기준'!$F$56/1000,0),""))</f>
        <v>48</v>
      </c>
      <c r="AK147" s="61">
        <f t="shared" si="47"/>
        <v>48</v>
      </c>
      <c r="AL147" s="61">
        <v>2</v>
      </c>
      <c r="AM147" s="61">
        <f t="shared" si="48"/>
        <v>0</v>
      </c>
      <c r="AN147" s="61">
        <f t="shared" si="49"/>
        <v>48</v>
      </c>
      <c r="AO147" s="61">
        <f t="shared" si="50"/>
        <v>0</v>
      </c>
      <c r="AP147" s="61">
        <f t="shared" si="51"/>
        <v>0</v>
      </c>
      <c r="AQ147" s="49"/>
    </row>
    <row r="148" spans="1:43" ht="20.100000000000001" customHeight="1">
      <c r="A148" s="49" t="s">
        <v>454</v>
      </c>
      <c r="B148" s="49">
        <v>142</v>
      </c>
      <c r="C148" s="58" t="s">
        <v>362</v>
      </c>
      <c r="D148" s="58" t="s">
        <v>231</v>
      </c>
      <c r="E148" s="58" t="s">
        <v>361</v>
      </c>
      <c r="F148" s="49">
        <f>VLOOKUP(C148,'[1]논산시 마을상수도'!$E$5:$K$171,6,FALSE)</f>
        <v>50</v>
      </c>
      <c r="G148" s="49">
        <f>VLOOKUP(C148,'[1]논산시 마을상수도'!$E$5:$K$171,3,FALSE)</f>
        <v>2011</v>
      </c>
      <c r="H148" s="49">
        <f>VLOOKUP($C148,'[1]논산시 마을상수도'!$E$5:$K$171,4,FALSE)</f>
        <v>35</v>
      </c>
      <c r="I148" s="49">
        <v>2011</v>
      </c>
      <c r="J148" s="49"/>
      <c r="K148" s="49">
        <v>2011</v>
      </c>
      <c r="L148" s="49">
        <f t="shared" si="41"/>
        <v>2011</v>
      </c>
      <c r="M148" s="49">
        <v>2011</v>
      </c>
      <c r="N148" s="49">
        <v>2025</v>
      </c>
      <c r="O148" s="49" t="str">
        <f t="shared" si="42"/>
        <v/>
      </c>
      <c r="P148" s="49"/>
      <c r="Q148" s="49" t="str">
        <f t="shared" si="43"/>
        <v/>
      </c>
      <c r="R148" s="49" t="str">
        <f t="shared" si="44"/>
        <v/>
      </c>
      <c r="S148" s="49" t="str">
        <f t="shared" si="45"/>
        <v/>
      </c>
      <c r="T148" s="49" t="str">
        <f t="shared" si="36"/>
        <v/>
      </c>
      <c r="U148" s="49" t="str">
        <f t="shared" si="37"/>
        <v/>
      </c>
      <c r="V148" s="49" t="str">
        <f t="shared" si="38"/>
        <v/>
      </c>
      <c r="W148" s="49" t="str">
        <f t="shared" si="39"/>
        <v/>
      </c>
      <c r="X148" s="49" t="str">
        <f t="shared" si="40"/>
        <v/>
      </c>
      <c r="Y148" s="49">
        <v>2</v>
      </c>
      <c r="Z148" s="49" t="s">
        <v>114</v>
      </c>
      <c r="AA148" s="49" t="str">
        <f t="shared" si="46"/>
        <v>E</v>
      </c>
      <c r="AB148" s="61"/>
      <c r="AC148" s="61"/>
      <c r="AD148" s="61" t="str">
        <f>IF(O148="개량",ROUND(VLOOKUP($F148,'개량사업비 산정기준'!$A$5:$I$23,2,FALSE)/1000,0),"")</f>
        <v/>
      </c>
      <c r="AE148" s="61"/>
      <c r="AF148" s="61" t="str">
        <f>IF(Q148="개량",ROUND(VLOOKUP($F148,'개량사업비 산정기준'!$A$5:$I$23,6,FALSE)/1000,0),"")</f>
        <v/>
      </c>
      <c r="AG148" s="61" t="str">
        <f>IF(R148="개량",ROUND(VLOOKUP($F148,'개량사업비 산정기준'!$A$5:$I$23,7,FALSE)/1000,0),"")</f>
        <v/>
      </c>
      <c r="AH148" s="61" t="str">
        <f>IF(S148="개량",ROUND(((AB148*'개량사업비 산정기준'!$B$34)+(AC148*'개량사업비 산정기준'!$C$34))/1000000,0),"")</f>
        <v/>
      </c>
      <c r="AI148" s="61"/>
      <c r="AJ148" s="61">
        <f>IF($AA148="D",ROUND('개량사업비 산정기준'!$F$56/1000,0),IF($AA148="E",ROUND('개량사업비 산정기준'!$F$56/1000,0),""))</f>
        <v>48</v>
      </c>
      <c r="AK148" s="61">
        <f t="shared" si="47"/>
        <v>48</v>
      </c>
      <c r="AL148" s="61">
        <v>2</v>
      </c>
      <c r="AM148" s="61">
        <f t="shared" si="48"/>
        <v>0</v>
      </c>
      <c r="AN148" s="61">
        <f t="shared" si="49"/>
        <v>48</v>
      </c>
      <c r="AO148" s="61">
        <f t="shared" si="50"/>
        <v>0</v>
      </c>
      <c r="AP148" s="61">
        <f t="shared" si="51"/>
        <v>0</v>
      </c>
      <c r="AQ148" s="49"/>
    </row>
    <row r="149" spans="1:43" ht="20.100000000000001" customHeight="1">
      <c r="A149" s="49" t="s">
        <v>454</v>
      </c>
      <c r="B149" s="49">
        <v>143</v>
      </c>
      <c r="C149" s="58" t="s">
        <v>364</v>
      </c>
      <c r="D149" s="58" t="s">
        <v>231</v>
      </c>
      <c r="E149" s="58" t="s">
        <v>363</v>
      </c>
      <c r="F149" s="49">
        <f>VLOOKUP(C149,'[1]논산시 마을상수도'!$E$5:$K$171,6,FALSE)</f>
        <v>40</v>
      </c>
      <c r="G149" s="49">
        <f>VLOOKUP(C149,'[1]논산시 마을상수도'!$E$5:$K$171,3,FALSE)</f>
        <v>2006</v>
      </c>
      <c r="H149" s="49">
        <f>VLOOKUP($C149,'[1]논산시 마을상수도'!$E$5:$K$171,4,FALSE)</f>
        <v>24</v>
      </c>
      <c r="I149" s="49">
        <v>2006</v>
      </c>
      <c r="J149" s="49"/>
      <c r="K149" s="49">
        <v>2006</v>
      </c>
      <c r="L149" s="49">
        <f t="shared" si="41"/>
        <v>2006</v>
      </c>
      <c r="M149" s="49">
        <v>2006</v>
      </c>
      <c r="N149" s="49">
        <v>2025</v>
      </c>
      <c r="O149" s="49" t="str">
        <f t="shared" si="42"/>
        <v/>
      </c>
      <c r="P149" s="49"/>
      <c r="Q149" s="49" t="str">
        <f t="shared" si="43"/>
        <v/>
      </c>
      <c r="R149" s="49" t="str">
        <f t="shared" si="44"/>
        <v/>
      </c>
      <c r="S149" s="49" t="str">
        <f t="shared" si="45"/>
        <v/>
      </c>
      <c r="T149" s="49" t="str">
        <f t="shared" si="36"/>
        <v/>
      </c>
      <c r="U149" s="49" t="str">
        <f t="shared" si="37"/>
        <v/>
      </c>
      <c r="V149" s="49" t="str">
        <f t="shared" si="38"/>
        <v/>
      </c>
      <c r="W149" s="49" t="str">
        <f t="shared" si="39"/>
        <v/>
      </c>
      <c r="X149" s="49" t="str">
        <f t="shared" si="40"/>
        <v/>
      </c>
      <c r="Y149" s="49">
        <v>2</v>
      </c>
      <c r="Z149" s="49" t="s">
        <v>114</v>
      </c>
      <c r="AA149" s="49" t="str">
        <f t="shared" si="46"/>
        <v>E</v>
      </c>
      <c r="AB149" s="61"/>
      <c r="AC149" s="61"/>
      <c r="AD149" s="61" t="str">
        <f>IF(O149="개량",ROUND(VLOOKUP($F149,'개량사업비 산정기준'!$A$5:$I$23,2,FALSE)/1000,0),"")</f>
        <v/>
      </c>
      <c r="AE149" s="61"/>
      <c r="AF149" s="61" t="str">
        <f>IF(Q149="개량",ROUND(VLOOKUP($F149,'개량사업비 산정기준'!$A$5:$I$23,6,FALSE)/1000,0),"")</f>
        <v/>
      </c>
      <c r="AG149" s="61" t="str">
        <f>IF(R149="개량",ROUND(VLOOKUP($F149,'개량사업비 산정기준'!$A$5:$I$23,7,FALSE)/1000,0),"")</f>
        <v/>
      </c>
      <c r="AH149" s="61" t="str">
        <f>IF(S149="개량",ROUND(((AB149*'개량사업비 산정기준'!$B$34)+(AC149*'개량사업비 산정기준'!$C$34))/1000000,0),"")</f>
        <v/>
      </c>
      <c r="AI149" s="61"/>
      <c r="AJ149" s="61">
        <f>IF($AA149="D",ROUND('개량사업비 산정기준'!$F$56/1000,0),IF($AA149="E",ROUND('개량사업비 산정기준'!$F$56/1000,0),""))</f>
        <v>48</v>
      </c>
      <c r="AK149" s="61">
        <f t="shared" si="47"/>
        <v>48</v>
      </c>
      <c r="AL149" s="61">
        <v>2</v>
      </c>
      <c r="AM149" s="61">
        <f t="shared" si="48"/>
        <v>0</v>
      </c>
      <c r="AN149" s="61">
        <f t="shared" si="49"/>
        <v>48</v>
      </c>
      <c r="AO149" s="61">
        <f t="shared" si="50"/>
        <v>0</v>
      </c>
      <c r="AP149" s="61">
        <f t="shared" si="51"/>
        <v>0</v>
      </c>
      <c r="AQ149" s="49"/>
    </row>
    <row r="150" spans="1:43" ht="20.100000000000001" customHeight="1">
      <c r="A150" s="49" t="s">
        <v>454</v>
      </c>
      <c r="B150" s="49">
        <v>144</v>
      </c>
      <c r="C150" s="58" t="s">
        <v>366</v>
      </c>
      <c r="D150" s="58" t="s">
        <v>231</v>
      </c>
      <c r="E150" s="58" t="s">
        <v>365</v>
      </c>
      <c r="F150" s="49">
        <f>VLOOKUP(C150,'[1]논산시 마을상수도'!$E$5:$K$171,6,FALSE)</f>
        <v>40</v>
      </c>
      <c r="G150" s="49">
        <f>VLOOKUP(C150,'[1]논산시 마을상수도'!$E$5:$K$171,3,FALSE)</f>
        <v>2008</v>
      </c>
      <c r="H150" s="49">
        <f>VLOOKUP($C150,'[1]논산시 마을상수도'!$E$5:$K$171,4,FALSE)</f>
        <v>18</v>
      </c>
      <c r="I150" s="49">
        <v>2008</v>
      </c>
      <c r="J150" s="49"/>
      <c r="K150" s="49">
        <v>2008</v>
      </c>
      <c r="L150" s="49">
        <f t="shared" si="41"/>
        <v>2008</v>
      </c>
      <c r="M150" s="49">
        <v>2008</v>
      </c>
      <c r="N150" s="49">
        <v>2020</v>
      </c>
      <c r="O150" s="49" t="str">
        <f t="shared" si="42"/>
        <v/>
      </c>
      <c r="P150" s="49"/>
      <c r="Q150" s="49" t="str">
        <f t="shared" si="43"/>
        <v/>
      </c>
      <c r="R150" s="49" t="str">
        <f t="shared" si="44"/>
        <v/>
      </c>
      <c r="S150" s="49" t="str">
        <f t="shared" si="45"/>
        <v/>
      </c>
      <c r="T150" s="49" t="str">
        <f t="shared" si="36"/>
        <v/>
      </c>
      <c r="U150" s="49" t="str">
        <f t="shared" si="37"/>
        <v/>
      </c>
      <c r="V150" s="49" t="str">
        <f t="shared" si="38"/>
        <v/>
      </c>
      <c r="W150" s="49" t="str">
        <f t="shared" si="39"/>
        <v/>
      </c>
      <c r="X150" s="49" t="str">
        <f t="shared" si="40"/>
        <v/>
      </c>
      <c r="Y150" s="49"/>
      <c r="Z150" s="49" t="s">
        <v>114</v>
      </c>
      <c r="AA150" s="49" t="str">
        <f t="shared" si="46"/>
        <v>F</v>
      </c>
      <c r="AB150" s="61"/>
      <c r="AC150" s="61"/>
      <c r="AD150" s="61" t="str">
        <f>IF(O150="개량",ROUND(VLOOKUP($F150,'개량사업비 산정기준'!$A$5:$I$23,2,FALSE)/1000,0),"")</f>
        <v/>
      </c>
      <c r="AE150" s="61"/>
      <c r="AF150" s="61" t="str">
        <f>IF(Q150="개량",ROUND(VLOOKUP($F150,'개량사업비 산정기준'!$A$5:$I$23,6,FALSE)/1000,0),"")</f>
        <v/>
      </c>
      <c r="AG150" s="61" t="str">
        <f>IF(R150="개량",ROUND(VLOOKUP($F150,'개량사업비 산정기준'!$A$5:$I$23,7,FALSE)/1000,0),"")</f>
        <v/>
      </c>
      <c r="AH150" s="61" t="str">
        <f>IF(S150="개량",ROUND(((AB150*'개량사업비 산정기준'!$B$34)+(AC150*'개량사업비 산정기준'!$C$34))/1000000,0),"")</f>
        <v/>
      </c>
      <c r="AI150" s="61"/>
      <c r="AJ150" s="61" t="str">
        <f>IF($AA150="D",ROUND('개량사업비 산정기준'!$F$56/1000,0),IF($AA150="E",ROUND('개량사업비 산정기준'!$F$56/1000,0),""))</f>
        <v/>
      </c>
      <c r="AK150" s="61">
        <f t="shared" si="47"/>
        <v>0</v>
      </c>
      <c r="AL150" s="61"/>
      <c r="AM150" s="61">
        <f t="shared" si="48"/>
        <v>0</v>
      </c>
      <c r="AN150" s="61">
        <f t="shared" si="49"/>
        <v>0</v>
      </c>
      <c r="AO150" s="61">
        <f t="shared" si="50"/>
        <v>0</v>
      </c>
      <c r="AP150" s="61">
        <f t="shared" si="51"/>
        <v>0</v>
      </c>
      <c r="AQ150" s="49"/>
    </row>
    <row r="151" spans="1:43" ht="20.100000000000001" customHeight="1">
      <c r="A151" s="49" t="s">
        <v>454</v>
      </c>
      <c r="B151" s="49">
        <v>145</v>
      </c>
      <c r="C151" s="58" t="s">
        <v>369</v>
      </c>
      <c r="D151" s="58" t="s">
        <v>251</v>
      </c>
      <c r="E151" s="58" t="s">
        <v>368</v>
      </c>
      <c r="F151" s="49">
        <f>VLOOKUP(C151,'[1]논산시 마을상수도'!$E$5:$K$171,6,FALSE)</f>
        <v>50</v>
      </c>
      <c r="G151" s="49">
        <f>VLOOKUP(C151,'[1]논산시 마을상수도'!$E$5:$K$171,3,FALSE)</f>
        <v>1979</v>
      </c>
      <c r="H151" s="49">
        <f>VLOOKUP($C151,'[1]논산시 마을상수도'!$E$5:$K$171,4,FALSE)</f>
        <v>31</v>
      </c>
      <c r="I151" s="49">
        <v>2002</v>
      </c>
      <c r="J151" s="49"/>
      <c r="K151" s="49">
        <v>2002</v>
      </c>
      <c r="L151" s="49">
        <f t="shared" si="41"/>
        <v>2002</v>
      </c>
      <c r="M151" s="49">
        <v>2002</v>
      </c>
      <c r="N151" s="49">
        <v>2025</v>
      </c>
      <c r="O151" s="49" t="str">
        <f t="shared" si="42"/>
        <v/>
      </c>
      <c r="P151" s="49"/>
      <c r="Q151" s="49" t="str">
        <f t="shared" si="43"/>
        <v/>
      </c>
      <c r="R151" s="49" t="str">
        <f t="shared" si="44"/>
        <v/>
      </c>
      <c r="S151" s="49" t="str">
        <f t="shared" si="45"/>
        <v/>
      </c>
      <c r="T151" s="49" t="str">
        <f t="shared" si="36"/>
        <v/>
      </c>
      <c r="U151" s="49" t="str">
        <f t="shared" si="37"/>
        <v/>
      </c>
      <c r="V151" s="49" t="str">
        <f t="shared" si="38"/>
        <v/>
      </c>
      <c r="W151" s="49" t="str">
        <f t="shared" si="39"/>
        <v/>
      </c>
      <c r="X151" s="49" t="str">
        <f t="shared" si="40"/>
        <v/>
      </c>
      <c r="Y151" s="49">
        <v>2</v>
      </c>
      <c r="Z151" s="49" t="s">
        <v>114</v>
      </c>
      <c r="AA151" s="49" t="str">
        <f t="shared" si="46"/>
        <v>E</v>
      </c>
      <c r="AB151" s="61"/>
      <c r="AC151" s="61"/>
      <c r="AD151" s="61" t="str">
        <f>IF(O151="개량",ROUND(VLOOKUP($F151,'개량사업비 산정기준'!$A$5:$I$23,2,FALSE)/1000,0),"")</f>
        <v/>
      </c>
      <c r="AE151" s="61"/>
      <c r="AF151" s="61" t="str">
        <f>IF(Q151="개량",ROUND(VLOOKUP($F151,'개량사업비 산정기준'!$A$5:$I$23,6,FALSE)/1000,0),"")</f>
        <v/>
      </c>
      <c r="AG151" s="61" t="str">
        <f>IF(R151="개량",ROUND(VLOOKUP($F151,'개량사업비 산정기준'!$A$5:$I$23,7,FALSE)/1000,0),"")</f>
        <v/>
      </c>
      <c r="AH151" s="61" t="str">
        <f>IF(S151="개량",ROUND(((AB151*'개량사업비 산정기준'!$B$34)+(AC151*'개량사업비 산정기준'!$C$34))/1000000,0),"")</f>
        <v/>
      </c>
      <c r="AI151" s="61"/>
      <c r="AJ151" s="61">
        <f>IF($AA151="D",ROUND('개량사업비 산정기준'!$F$56/1000,0),IF($AA151="E",ROUND('개량사업비 산정기준'!$F$56/1000,0),""))</f>
        <v>48</v>
      </c>
      <c r="AK151" s="61">
        <f t="shared" si="47"/>
        <v>48</v>
      </c>
      <c r="AL151" s="61">
        <v>2</v>
      </c>
      <c r="AM151" s="61">
        <f t="shared" si="48"/>
        <v>0</v>
      </c>
      <c r="AN151" s="61">
        <f t="shared" si="49"/>
        <v>48</v>
      </c>
      <c r="AO151" s="61">
        <f t="shared" si="50"/>
        <v>0</v>
      </c>
      <c r="AP151" s="61">
        <f t="shared" si="51"/>
        <v>0</v>
      </c>
      <c r="AQ151" s="49"/>
    </row>
    <row r="152" spans="1:43" ht="20.100000000000001" customHeight="1">
      <c r="A152" s="49" t="s">
        <v>454</v>
      </c>
      <c r="B152" s="49">
        <v>146</v>
      </c>
      <c r="C152" s="58" t="s">
        <v>371</v>
      </c>
      <c r="D152" s="58" t="s">
        <v>251</v>
      </c>
      <c r="E152" s="58" t="s">
        <v>370</v>
      </c>
      <c r="F152" s="49">
        <f>VLOOKUP(C152,'[1]논산시 마을상수도'!$E$5:$K$171,6,FALSE)</f>
        <v>30</v>
      </c>
      <c r="G152" s="49">
        <f>VLOOKUP(C152,'[1]논산시 마을상수도'!$E$5:$K$171,3,FALSE)</f>
        <v>1980</v>
      </c>
      <c r="H152" s="49">
        <f>VLOOKUP($C152,'[1]논산시 마을상수도'!$E$5:$K$171,4,FALSE)</f>
        <v>15</v>
      </c>
      <c r="I152" s="49">
        <v>2006</v>
      </c>
      <c r="J152" s="49"/>
      <c r="K152" s="49">
        <v>2006</v>
      </c>
      <c r="L152" s="49">
        <f t="shared" si="41"/>
        <v>2006</v>
      </c>
      <c r="M152" s="49">
        <v>2006</v>
      </c>
      <c r="N152" s="49">
        <v>2025</v>
      </c>
      <c r="O152" s="49" t="str">
        <f t="shared" si="42"/>
        <v/>
      </c>
      <c r="P152" s="49"/>
      <c r="Q152" s="49" t="str">
        <f t="shared" si="43"/>
        <v/>
      </c>
      <c r="R152" s="49" t="str">
        <f t="shared" si="44"/>
        <v/>
      </c>
      <c r="S152" s="49" t="str">
        <f t="shared" si="45"/>
        <v/>
      </c>
      <c r="T152" s="49" t="str">
        <f t="shared" si="36"/>
        <v/>
      </c>
      <c r="U152" s="49" t="str">
        <f t="shared" si="37"/>
        <v/>
      </c>
      <c r="V152" s="49" t="str">
        <f t="shared" si="38"/>
        <v/>
      </c>
      <c r="W152" s="49" t="str">
        <f t="shared" si="39"/>
        <v/>
      </c>
      <c r="X152" s="49" t="str">
        <f t="shared" si="40"/>
        <v/>
      </c>
      <c r="Y152" s="49">
        <v>2</v>
      </c>
      <c r="Z152" s="49" t="s">
        <v>114</v>
      </c>
      <c r="AA152" s="49" t="str">
        <f t="shared" si="46"/>
        <v>E</v>
      </c>
      <c r="AB152" s="61"/>
      <c r="AC152" s="61"/>
      <c r="AD152" s="61" t="str">
        <f>IF(O152="개량",ROUND(VLOOKUP($F152,'개량사업비 산정기준'!$A$5:$I$23,2,FALSE)/1000,0),"")</f>
        <v/>
      </c>
      <c r="AE152" s="61"/>
      <c r="AF152" s="61" t="str">
        <f>IF(Q152="개량",ROUND(VLOOKUP($F152,'개량사업비 산정기준'!$A$5:$I$23,6,FALSE)/1000,0),"")</f>
        <v/>
      </c>
      <c r="AG152" s="61" t="str">
        <f>IF(R152="개량",ROUND(VLOOKUP($F152,'개량사업비 산정기준'!$A$5:$I$23,7,FALSE)/1000,0),"")</f>
        <v/>
      </c>
      <c r="AH152" s="61" t="str">
        <f>IF(S152="개량",ROUND(((AB152*'개량사업비 산정기준'!$B$34)+(AC152*'개량사업비 산정기준'!$C$34))/1000000,0),"")</f>
        <v/>
      </c>
      <c r="AI152" s="61"/>
      <c r="AJ152" s="61">
        <f>IF($AA152="D",ROUND('개량사업비 산정기준'!$F$56/1000,0),IF($AA152="E",ROUND('개량사업비 산정기준'!$F$56/1000,0),""))</f>
        <v>48</v>
      </c>
      <c r="AK152" s="61">
        <f t="shared" si="47"/>
        <v>48</v>
      </c>
      <c r="AL152" s="61">
        <v>2</v>
      </c>
      <c r="AM152" s="61">
        <f t="shared" si="48"/>
        <v>0</v>
      </c>
      <c r="AN152" s="61">
        <f t="shared" si="49"/>
        <v>48</v>
      </c>
      <c r="AO152" s="61">
        <f t="shared" si="50"/>
        <v>0</v>
      </c>
      <c r="AP152" s="61">
        <f t="shared" si="51"/>
        <v>0</v>
      </c>
      <c r="AQ152" s="49"/>
    </row>
    <row r="153" spans="1:43" ht="20.100000000000001" customHeight="1">
      <c r="A153" s="49" t="s">
        <v>454</v>
      </c>
      <c r="B153" s="49">
        <v>147</v>
      </c>
      <c r="C153" s="58" t="s">
        <v>373</v>
      </c>
      <c r="D153" s="58" t="s">
        <v>251</v>
      </c>
      <c r="E153" s="58" t="s">
        <v>372</v>
      </c>
      <c r="F153" s="49">
        <f>VLOOKUP(C153,'[1]논산시 마을상수도'!$E$5:$K$171,6,FALSE)</f>
        <v>30</v>
      </c>
      <c r="G153" s="49">
        <f>VLOOKUP(C153,'[1]논산시 마을상수도'!$E$5:$K$171,3,FALSE)</f>
        <v>1980</v>
      </c>
      <c r="H153" s="49">
        <f>VLOOKUP($C153,'[1]논산시 마을상수도'!$E$5:$K$171,4,FALSE)</f>
        <v>19</v>
      </c>
      <c r="I153" s="49">
        <v>2011</v>
      </c>
      <c r="J153" s="49"/>
      <c r="K153" s="49">
        <v>2011</v>
      </c>
      <c r="L153" s="49">
        <f t="shared" si="41"/>
        <v>2011</v>
      </c>
      <c r="M153" s="49">
        <v>1980</v>
      </c>
      <c r="N153" s="49">
        <v>2025</v>
      </c>
      <c r="O153" s="49" t="str">
        <f t="shared" si="42"/>
        <v/>
      </c>
      <c r="P153" s="49"/>
      <c r="Q153" s="49" t="str">
        <f t="shared" si="43"/>
        <v/>
      </c>
      <c r="R153" s="49" t="str">
        <f t="shared" si="44"/>
        <v/>
      </c>
      <c r="S153" s="49" t="str">
        <f t="shared" si="45"/>
        <v>개량</v>
      </c>
      <c r="T153" s="49" t="str">
        <f t="shared" si="36"/>
        <v/>
      </c>
      <c r="U153" s="49" t="str">
        <f t="shared" si="37"/>
        <v/>
      </c>
      <c r="V153" s="49" t="str">
        <f t="shared" si="38"/>
        <v/>
      </c>
      <c r="W153" s="49" t="str">
        <f t="shared" si="39"/>
        <v/>
      </c>
      <c r="X153" s="49">
        <f t="shared" si="40"/>
        <v>1</v>
      </c>
      <c r="Y153" s="49">
        <v>1</v>
      </c>
      <c r="Z153" s="49" t="s">
        <v>114</v>
      </c>
      <c r="AA153" s="49" t="str">
        <f t="shared" si="46"/>
        <v>D</v>
      </c>
      <c r="AB153" s="61">
        <v>140</v>
      </c>
      <c r="AC153" s="61">
        <v>596</v>
      </c>
      <c r="AD153" s="61" t="str">
        <f>IF(O153="개량",ROUND(VLOOKUP($F153,'개량사업비 산정기준'!$A$5:$I$23,2,FALSE)/1000,0),"")</f>
        <v/>
      </c>
      <c r="AE153" s="61"/>
      <c r="AF153" s="61" t="str">
        <f>IF(Q153="개량",ROUND(VLOOKUP($F153,'개량사업비 산정기준'!$A$5:$I$23,6,FALSE)/1000,0),"")</f>
        <v/>
      </c>
      <c r="AG153" s="61" t="str">
        <f>IF(R153="개량",ROUND(VLOOKUP($F153,'개량사업비 산정기준'!$A$5:$I$23,7,FALSE)/1000,0),"")</f>
        <v/>
      </c>
      <c r="AH153" s="61">
        <f>IF(S153="개량",ROUND(((AB153*'개량사업비 산정기준'!$B$34)+(AC153*'개량사업비 산정기준'!$C$34))/1000000,0),"")</f>
        <v>146</v>
      </c>
      <c r="AI153" s="61">
        <f>IF((AB153+AC153)&lt;=1000,ROUND('개량사업비 산정기준'!$B$45/1000,0),IF((AB153+AC153)&lt;=2000,ROUND('개량사업비 산정기준'!$C$45/1000,0),ROUND('개량사업비 산정기준'!$E$45/1000,0)))</f>
        <v>9</v>
      </c>
      <c r="AJ153" s="61">
        <f>IF($AA153="D",ROUND('개량사업비 산정기준'!$F$56/1000,0),IF($AA153="E",ROUND('개량사업비 산정기준'!$F$56/1000,0),""))</f>
        <v>48</v>
      </c>
      <c r="AK153" s="61">
        <f t="shared" si="47"/>
        <v>203</v>
      </c>
      <c r="AL153" s="61">
        <v>1</v>
      </c>
      <c r="AM153" s="61">
        <f t="shared" si="48"/>
        <v>203</v>
      </c>
      <c r="AN153" s="61">
        <f t="shared" si="49"/>
        <v>0</v>
      </c>
      <c r="AO153" s="61">
        <f t="shared" si="50"/>
        <v>0</v>
      </c>
      <c r="AP153" s="61">
        <f t="shared" si="51"/>
        <v>0</v>
      </c>
      <c r="AQ153" s="49"/>
    </row>
    <row r="154" spans="1:43" ht="20.100000000000001" customHeight="1">
      <c r="A154" s="49" t="s">
        <v>454</v>
      </c>
      <c r="B154" s="49">
        <v>148</v>
      </c>
      <c r="C154" s="58" t="s">
        <v>375</v>
      </c>
      <c r="D154" s="58" t="s">
        <v>251</v>
      </c>
      <c r="E154" s="58" t="s">
        <v>374</v>
      </c>
      <c r="F154" s="49">
        <f>VLOOKUP(C154,'[1]논산시 마을상수도'!$E$5:$K$171,6,FALSE)</f>
        <v>20</v>
      </c>
      <c r="G154" s="49">
        <f>VLOOKUP(C154,'[1]논산시 마을상수도'!$E$5:$K$171,3,FALSE)</f>
        <v>1981</v>
      </c>
      <c r="H154" s="49">
        <f>VLOOKUP($C154,'[1]논산시 마을상수도'!$E$5:$K$171,4,FALSE)</f>
        <v>10</v>
      </c>
      <c r="I154" s="49">
        <v>1981</v>
      </c>
      <c r="J154" s="49"/>
      <c r="K154" s="49">
        <v>2001</v>
      </c>
      <c r="L154" s="49">
        <f t="shared" si="41"/>
        <v>2001</v>
      </c>
      <c r="M154" s="49">
        <v>1981</v>
      </c>
      <c r="N154" s="49">
        <v>2020</v>
      </c>
      <c r="O154" s="49" t="str">
        <f t="shared" si="42"/>
        <v>개량</v>
      </c>
      <c r="P154" s="49"/>
      <c r="Q154" s="49" t="str">
        <f t="shared" si="43"/>
        <v/>
      </c>
      <c r="R154" s="49" t="str">
        <f t="shared" si="44"/>
        <v/>
      </c>
      <c r="S154" s="49" t="str">
        <f t="shared" si="45"/>
        <v>개량</v>
      </c>
      <c r="T154" s="49">
        <f t="shared" si="36"/>
        <v>1</v>
      </c>
      <c r="U154" s="49" t="str">
        <f t="shared" si="37"/>
        <v/>
      </c>
      <c r="V154" s="49" t="str">
        <f t="shared" si="38"/>
        <v/>
      </c>
      <c r="W154" s="49" t="str">
        <f t="shared" si="39"/>
        <v/>
      </c>
      <c r="X154" s="49">
        <f t="shared" si="40"/>
        <v>1</v>
      </c>
      <c r="Y154" s="49">
        <v>2</v>
      </c>
      <c r="Z154" s="49" t="s">
        <v>114</v>
      </c>
      <c r="AA154" s="49" t="str">
        <f t="shared" si="46"/>
        <v>D</v>
      </c>
      <c r="AB154" s="61">
        <v>120</v>
      </c>
      <c r="AC154" s="61">
        <v>547</v>
      </c>
      <c r="AD154" s="61">
        <f>IF(O154="개량",ROUND(VLOOKUP($F154,'개량사업비 산정기준'!$A$5:$I$23,2,FALSE)/1000,0),"")</f>
        <v>39</v>
      </c>
      <c r="AE154" s="61"/>
      <c r="AF154" s="61" t="str">
        <f>IF(Q154="개량",ROUND(VLOOKUP($F154,'개량사업비 산정기준'!$A$5:$I$23,6,FALSE)/1000,0),"")</f>
        <v/>
      </c>
      <c r="AG154" s="61" t="str">
        <f>IF(R154="개량",ROUND(VLOOKUP($F154,'개량사업비 산정기준'!$A$5:$I$23,7,FALSE)/1000,0),"")</f>
        <v/>
      </c>
      <c r="AH154" s="61">
        <f>IF(S154="개량",ROUND(((AB154*'개량사업비 산정기준'!$B$34)+(AC154*'개량사업비 산정기준'!$C$34))/1000000,0),"")</f>
        <v>134</v>
      </c>
      <c r="AI154" s="61">
        <f>IF((AB154+AC154)&lt;=1000,ROUND('개량사업비 산정기준'!$B$45/1000,0),IF((AB154+AC154)&lt;=2000,ROUND('개량사업비 산정기준'!$C$45/1000,0),ROUND('개량사업비 산정기준'!$E$45/1000,0)))</f>
        <v>9</v>
      </c>
      <c r="AJ154" s="61">
        <f>IF($AA154="D",ROUND('개량사업비 산정기준'!$F$56/1000,0),IF($AA154="E",ROUND('개량사업비 산정기준'!$F$56/1000,0),""))</f>
        <v>48</v>
      </c>
      <c r="AK154" s="61">
        <f t="shared" si="47"/>
        <v>230</v>
      </c>
      <c r="AL154" s="61">
        <v>1</v>
      </c>
      <c r="AM154" s="61">
        <f t="shared" si="48"/>
        <v>230</v>
      </c>
      <c r="AN154" s="61">
        <f t="shared" si="49"/>
        <v>0</v>
      </c>
      <c r="AO154" s="61">
        <f t="shared" si="50"/>
        <v>0</v>
      </c>
      <c r="AP154" s="61">
        <f t="shared" si="51"/>
        <v>0</v>
      </c>
      <c r="AQ154" s="49"/>
    </row>
    <row r="155" spans="1:43" ht="20.100000000000001" customHeight="1">
      <c r="A155" s="49" t="s">
        <v>454</v>
      </c>
      <c r="B155" s="49">
        <v>149</v>
      </c>
      <c r="C155" s="58" t="s">
        <v>376</v>
      </c>
      <c r="D155" s="58" t="s">
        <v>251</v>
      </c>
      <c r="E155" s="58" t="s">
        <v>372</v>
      </c>
      <c r="F155" s="49">
        <f>VLOOKUP(C155,'[1]논산시 마을상수도'!$E$5:$K$171,6,FALSE)</f>
        <v>30</v>
      </c>
      <c r="G155" s="49">
        <f>VLOOKUP(C155,'[1]논산시 마을상수도'!$E$5:$K$171,3,FALSE)</f>
        <v>1982</v>
      </c>
      <c r="H155" s="49">
        <f>VLOOKUP($C155,'[1]논산시 마을상수도'!$E$5:$K$171,4,FALSE)</f>
        <v>13</v>
      </c>
      <c r="I155" s="49">
        <v>2007</v>
      </c>
      <c r="J155" s="49"/>
      <c r="K155" s="49">
        <v>2007</v>
      </c>
      <c r="L155" s="49">
        <f t="shared" si="41"/>
        <v>2007</v>
      </c>
      <c r="M155" s="49">
        <v>2007</v>
      </c>
      <c r="N155" s="49">
        <v>2025</v>
      </c>
      <c r="O155" s="49" t="str">
        <f t="shared" si="42"/>
        <v/>
      </c>
      <c r="P155" s="49"/>
      <c r="Q155" s="49" t="str">
        <f t="shared" si="43"/>
        <v/>
      </c>
      <c r="R155" s="49" t="str">
        <f t="shared" si="44"/>
        <v/>
      </c>
      <c r="S155" s="49" t="str">
        <f t="shared" si="45"/>
        <v/>
      </c>
      <c r="T155" s="49" t="str">
        <f t="shared" si="36"/>
        <v/>
      </c>
      <c r="U155" s="49" t="str">
        <f t="shared" si="37"/>
        <v/>
      </c>
      <c r="V155" s="49" t="str">
        <f t="shared" si="38"/>
        <v/>
      </c>
      <c r="W155" s="49" t="str">
        <f t="shared" si="39"/>
        <v/>
      </c>
      <c r="X155" s="49" t="str">
        <f t="shared" si="40"/>
        <v/>
      </c>
      <c r="Y155" s="49">
        <v>2</v>
      </c>
      <c r="Z155" s="49" t="s">
        <v>114</v>
      </c>
      <c r="AA155" s="49" t="str">
        <f t="shared" si="46"/>
        <v>E</v>
      </c>
      <c r="AB155" s="61"/>
      <c r="AC155" s="61"/>
      <c r="AD155" s="61" t="str">
        <f>IF(O155="개량",ROUND(VLOOKUP($F155,'개량사업비 산정기준'!$A$5:$I$23,2,FALSE)/1000,0),"")</f>
        <v/>
      </c>
      <c r="AE155" s="61"/>
      <c r="AF155" s="61" t="str">
        <f>IF(Q155="개량",ROUND(VLOOKUP($F155,'개량사업비 산정기준'!$A$5:$I$23,6,FALSE)/1000,0),"")</f>
        <v/>
      </c>
      <c r="AG155" s="61" t="str">
        <f>IF(R155="개량",ROUND(VLOOKUP($F155,'개량사업비 산정기준'!$A$5:$I$23,7,FALSE)/1000,0),"")</f>
        <v/>
      </c>
      <c r="AH155" s="61" t="str">
        <f>IF(S155="개량",ROUND(((AB155*'개량사업비 산정기준'!$B$34)+(AC155*'개량사업비 산정기준'!$C$34))/1000000,0),"")</f>
        <v/>
      </c>
      <c r="AI155" s="61"/>
      <c r="AJ155" s="61">
        <f>IF($AA155="D",ROUND('개량사업비 산정기준'!$F$56/1000,0),IF($AA155="E",ROUND('개량사업비 산정기준'!$F$56/1000,0),""))</f>
        <v>48</v>
      </c>
      <c r="AK155" s="61">
        <f t="shared" si="47"/>
        <v>48</v>
      </c>
      <c r="AL155" s="61">
        <v>2</v>
      </c>
      <c r="AM155" s="61">
        <f t="shared" si="48"/>
        <v>0</v>
      </c>
      <c r="AN155" s="61">
        <f t="shared" si="49"/>
        <v>48</v>
      </c>
      <c r="AO155" s="61">
        <f t="shared" si="50"/>
        <v>0</v>
      </c>
      <c r="AP155" s="61">
        <f t="shared" si="51"/>
        <v>0</v>
      </c>
      <c r="AQ155" s="49"/>
    </row>
    <row r="156" spans="1:43" ht="20.100000000000001" customHeight="1">
      <c r="A156" s="49" t="s">
        <v>454</v>
      </c>
      <c r="B156" s="49">
        <v>150</v>
      </c>
      <c r="C156" s="58" t="s">
        <v>377</v>
      </c>
      <c r="D156" s="58" t="s">
        <v>251</v>
      </c>
      <c r="E156" s="58" t="s">
        <v>372</v>
      </c>
      <c r="F156" s="49">
        <f>VLOOKUP(C156,'[1]논산시 마을상수도'!$E$5:$K$171,6,FALSE)</f>
        <v>20</v>
      </c>
      <c r="G156" s="49">
        <f>VLOOKUP(C156,'[1]논산시 마을상수도'!$E$5:$K$171,3,FALSE)</f>
        <v>1983</v>
      </c>
      <c r="H156" s="49">
        <f>VLOOKUP($C156,'[1]논산시 마을상수도'!$E$5:$K$171,4,FALSE)</f>
        <v>14</v>
      </c>
      <c r="I156" s="49">
        <v>2001</v>
      </c>
      <c r="J156" s="49"/>
      <c r="K156" s="49">
        <v>2006</v>
      </c>
      <c r="L156" s="49">
        <f t="shared" si="41"/>
        <v>2006</v>
      </c>
      <c r="M156" s="49">
        <v>1983</v>
      </c>
      <c r="N156" s="49">
        <v>2025</v>
      </c>
      <c r="O156" s="49" t="str">
        <f t="shared" si="42"/>
        <v/>
      </c>
      <c r="P156" s="49"/>
      <c r="Q156" s="49" t="str">
        <f t="shared" si="43"/>
        <v/>
      </c>
      <c r="R156" s="49" t="str">
        <f t="shared" si="44"/>
        <v/>
      </c>
      <c r="S156" s="49" t="str">
        <f t="shared" si="45"/>
        <v>개량</v>
      </c>
      <c r="T156" s="49" t="str">
        <f t="shared" si="36"/>
        <v/>
      </c>
      <c r="U156" s="49" t="str">
        <f t="shared" si="37"/>
        <v/>
      </c>
      <c r="V156" s="49" t="str">
        <f t="shared" si="38"/>
        <v/>
      </c>
      <c r="W156" s="49" t="str">
        <f t="shared" si="39"/>
        <v/>
      </c>
      <c r="X156" s="49">
        <f t="shared" si="40"/>
        <v>1</v>
      </c>
      <c r="Y156" s="49">
        <v>1</v>
      </c>
      <c r="Z156" s="49" t="s">
        <v>114</v>
      </c>
      <c r="AA156" s="49" t="str">
        <f t="shared" si="46"/>
        <v>D</v>
      </c>
      <c r="AB156" s="61">
        <v>90</v>
      </c>
      <c r="AC156" s="61">
        <v>491</v>
      </c>
      <c r="AD156" s="61" t="str">
        <f>IF(O156="개량",ROUND(VLOOKUP($F156,'개량사업비 산정기준'!$A$5:$I$23,2,FALSE)/1000,0),"")</f>
        <v/>
      </c>
      <c r="AE156" s="61"/>
      <c r="AF156" s="61" t="str">
        <f>IF(Q156="개량",ROUND(VLOOKUP($F156,'개량사업비 산정기준'!$A$5:$I$23,6,FALSE)/1000,0),"")</f>
        <v/>
      </c>
      <c r="AG156" s="61" t="str">
        <f>IF(R156="개량",ROUND(VLOOKUP($F156,'개량사업비 산정기준'!$A$5:$I$23,7,FALSE)/1000,0),"")</f>
        <v/>
      </c>
      <c r="AH156" s="61">
        <f>IF(S156="개량",ROUND(((AB156*'개량사업비 산정기준'!$B$34)+(AC156*'개량사업비 산정기준'!$C$34))/1000000,0),"")</f>
        <v>119</v>
      </c>
      <c r="AI156" s="61">
        <f>IF((AB156+AC156)&lt;=1000,ROUND('개량사업비 산정기준'!$B$45/1000,0),IF((AB156+AC156)&lt;=2000,ROUND('개량사업비 산정기준'!$C$45/1000,0),ROUND('개량사업비 산정기준'!$E$45/1000,0)))</f>
        <v>9</v>
      </c>
      <c r="AJ156" s="61">
        <f>IF($AA156="D",ROUND('개량사업비 산정기준'!$F$56/1000,0),IF($AA156="E",ROUND('개량사업비 산정기준'!$F$56/1000,0),""))</f>
        <v>48</v>
      </c>
      <c r="AK156" s="61">
        <f t="shared" si="47"/>
        <v>176</v>
      </c>
      <c r="AL156" s="61">
        <v>1</v>
      </c>
      <c r="AM156" s="61">
        <f t="shared" si="48"/>
        <v>176</v>
      </c>
      <c r="AN156" s="61">
        <f t="shared" si="49"/>
        <v>0</v>
      </c>
      <c r="AO156" s="61">
        <f t="shared" si="50"/>
        <v>0</v>
      </c>
      <c r="AP156" s="61">
        <f t="shared" si="51"/>
        <v>0</v>
      </c>
      <c r="AQ156" s="49"/>
    </row>
    <row r="157" spans="1:43" ht="20.100000000000001" customHeight="1">
      <c r="A157" s="49" t="s">
        <v>454</v>
      </c>
      <c r="B157" s="49">
        <v>151</v>
      </c>
      <c r="C157" s="58" t="s">
        <v>378</v>
      </c>
      <c r="D157" s="58" t="s">
        <v>251</v>
      </c>
      <c r="E157" s="58" t="s">
        <v>374</v>
      </c>
      <c r="F157" s="49">
        <f>VLOOKUP(C157,'[1]논산시 마을상수도'!$E$5:$K$171,6,FALSE)</f>
        <v>20</v>
      </c>
      <c r="G157" s="49">
        <f>VLOOKUP(C157,'[1]논산시 마을상수도'!$E$5:$K$171,3,FALSE)</f>
        <v>1983</v>
      </c>
      <c r="H157" s="49">
        <f>VLOOKUP($C157,'[1]논산시 마을상수도'!$E$5:$K$171,4,FALSE)</f>
        <v>14</v>
      </c>
      <c r="I157" s="49">
        <v>2010</v>
      </c>
      <c r="J157" s="49"/>
      <c r="K157" s="49">
        <v>2010</v>
      </c>
      <c r="L157" s="49">
        <f t="shared" si="41"/>
        <v>2010</v>
      </c>
      <c r="M157" s="49">
        <v>2010</v>
      </c>
      <c r="N157" s="49">
        <v>2020</v>
      </c>
      <c r="O157" s="49" t="str">
        <f t="shared" si="42"/>
        <v/>
      </c>
      <c r="P157" s="49"/>
      <c r="Q157" s="49" t="str">
        <f t="shared" si="43"/>
        <v/>
      </c>
      <c r="R157" s="49" t="str">
        <f t="shared" si="44"/>
        <v/>
      </c>
      <c r="S157" s="49" t="str">
        <f t="shared" si="45"/>
        <v/>
      </c>
      <c r="T157" s="49" t="str">
        <f t="shared" si="36"/>
        <v/>
      </c>
      <c r="U157" s="49" t="str">
        <f t="shared" si="37"/>
        <v/>
      </c>
      <c r="V157" s="49" t="str">
        <f t="shared" si="38"/>
        <v/>
      </c>
      <c r="W157" s="49" t="str">
        <f t="shared" si="39"/>
        <v/>
      </c>
      <c r="X157" s="49" t="str">
        <f t="shared" si="40"/>
        <v/>
      </c>
      <c r="Y157" s="49"/>
      <c r="Z157" s="49" t="s">
        <v>114</v>
      </c>
      <c r="AA157" s="49" t="str">
        <f t="shared" si="46"/>
        <v>F</v>
      </c>
      <c r="AB157" s="61"/>
      <c r="AC157" s="61"/>
      <c r="AD157" s="61" t="str">
        <f>IF(O157="개량",ROUND(VLOOKUP($F157,'개량사업비 산정기준'!$A$5:$I$23,2,FALSE)/1000,0),"")</f>
        <v/>
      </c>
      <c r="AE157" s="61"/>
      <c r="AF157" s="61" t="str">
        <f>IF(Q157="개량",ROUND(VLOOKUP($F157,'개량사업비 산정기준'!$A$5:$I$23,6,FALSE)/1000,0),"")</f>
        <v/>
      </c>
      <c r="AG157" s="61" t="str">
        <f>IF(R157="개량",ROUND(VLOOKUP($F157,'개량사업비 산정기준'!$A$5:$I$23,7,FALSE)/1000,0),"")</f>
        <v/>
      </c>
      <c r="AH157" s="61" t="str">
        <f>IF(S157="개량",ROUND(((AB157*'개량사업비 산정기준'!$B$34)+(AC157*'개량사업비 산정기준'!$C$34))/1000000,0),"")</f>
        <v/>
      </c>
      <c r="AI157" s="61"/>
      <c r="AJ157" s="61" t="str">
        <f>IF($AA157="D",ROUND('개량사업비 산정기준'!$F$56/1000,0),IF($AA157="E",ROUND('개량사업비 산정기준'!$F$56/1000,0),""))</f>
        <v/>
      </c>
      <c r="AK157" s="61">
        <f t="shared" si="47"/>
        <v>0</v>
      </c>
      <c r="AL157" s="61"/>
      <c r="AM157" s="61">
        <f t="shared" si="48"/>
        <v>0</v>
      </c>
      <c r="AN157" s="61">
        <f t="shared" si="49"/>
        <v>0</v>
      </c>
      <c r="AO157" s="61">
        <f t="shared" si="50"/>
        <v>0</v>
      </c>
      <c r="AP157" s="61">
        <f t="shared" si="51"/>
        <v>0</v>
      </c>
      <c r="AQ157" s="49"/>
    </row>
    <row r="158" spans="1:43" ht="20.100000000000001" customHeight="1">
      <c r="A158" s="49" t="s">
        <v>454</v>
      </c>
      <c r="B158" s="49">
        <v>152</v>
      </c>
      <c r="C158" s="58" t="s">
        <v>379</v>
      </c>
      <c r="D158" s="58" t="s">
        <v>251</v>
      </c>
      <c r="E158" s="58" t="s">
        <v>372</v>
      </c>
      <c r="F158" s="49">
        <f>VLOOKUP(C158,'[1]논산시 마을상수도'!$E$5:$K$171,6,FALSE)</f>
        <v>30</v>
      </c>
      <c r="G158" s="49">
        <f>VLOOKUP(C158,'[1]논산시 마을상수도'!$E$5:$K$171,3,FALSE)</f>
        <v>1983</v>
      </c>
      <c r="H158" s="49">
        <f>VLOOKUP($C158,'[1]논산시 마을상수도'!$E$5:$K$171,4,FALSE)</f>
        <v>14</v>
      </c>
      <c r="I158" s="49">
        <v>2007</v>
      </c>
      <c r="J158" s="49"/>
      <c r="K158" s="49">
        <v>2007</v>
      </c>
      <c r="L158" s="49">
        <f t="shared" si="41"/>
        <v>2007</v>
      </c>
      <c r="M158" s="49">
        <v>2007</v>
      </c>
      <c r="N158" s="49">
        <v>2025</v>
      </c>
      <c r="O158" s="49" t="str">
        <f t="shared" si="42"/>
        <v/>
      </c>
      <c r="P158" s="49"/>
      <c r="Q158" s="49" t="str">
        <f t="shared" si="43"/>
        <v/>
      </c>
      <c r="R158" s="49" t="str">
        <f t="shared" si="44"/>
        <v/>
      </c>
      <c r="S158" s="49" t="str">
        <f t="shared" si="45"/>
        <v/>
      </c>
      <c r="T158" s="49" t="str">
        <f t="shared" si="36"/>
        <v/>
      </c>
      <c r="U158" s="49" t="str">
        <f t="shared" si="37"/>
        <v/>
      </c>
      <c r="V158" s="49" t="str">
        <f t="shared" si="38"/>
        <v/>
      </c>
      <c r="W158" s="49" t="str">
        <f t="shared" si="39"/>
        <v/>
      </c>
      <c r="X158" s="49" t="str">
        <f t="shared" si="40"/>
        <v/>
      </c>
      <c r="Y158" s="49">
        <v>2</v>
      </c>
      <c r="Z158" s="49" t="s">
        <v>114</v>
      </c>
      <c r="AA158" s="49" t="str">
        <f t="shared" si="46"/>
        <v>E</v>
      </c>
      <c r="AB158" s="61"/>
      <c r="AC158" s="61"/>
      <c r="AD158" s="61" t="str">
        <f>IF(O158="개량",ROUND(VLOOKUP($F158,'개량사업비 산정기준'!$A$5:$I$23,2,FALSE)/1000,0),"")</f>
        <v/>
      </c>
      <c r="AE158" s="61"/>
      <c r="AF158" s="61" t="str">
        <f>IF(Q158="개량",ROUND(VLOOKUP($F158,'개량사업비 산정기준'!$A$5:$I$23,6,FALSE)/1000,0),"")</f>
        <v/>
      </c>
      <c r="AG158" s="61" t="str">
        <f>IF(R158="개량",ROUND(VLOOKUP($F158,'개량사업비 산정기준'!$A$5:$I$23,7,FALSE)/1000,0),"")</f>
        <v/>
      </c>
      <c r="AH158" s="61" t="str">
        <f>IF(S158="개량",ROUND(((AB158*'개량사업비 산정기준'!$B$34)+(AC158*'개량사업비 산정기준'!$C$34))/1000000,0),"")</f>
        <v/>
      </c>
      <c r="AI158" s="61"/>
      <c r="AJ158" s="61">
        <f>IF($AA158="D",ROUND('개량사업비 산정기준'!$F$56/1000,0),IF($AA158="E",ROUND('개량사업비 산정기준'!$F$56/1000,0),""))</f>
        <v>48</v>
      </c>
      <c r="AK158" s="61">
        <f t="shared" si="47"/>
        <v>48</v>
      </c>
      <c r="AL158" s="61">
        <v>2</v>
      </c>
      <c r="AM158" s="61">
        <f t="shared" si="48"/>
        <v>0</v>
      </c>
      <c r="AN158" s="61">
        <f t="shared" si="49"/>
        <v>48</v>
      </c>
      <c r="AO158" s="61">
        <f t="shared" si="50"/>
        <v>0</v>
      </c>
      <c r="AP158" s="61">
        <f t="shared" si="51"/>
        <v>0</v>
      </c>
      <c r="AQ158" s="49"/>
    </row>
    <row r="159" spans="1:43" ht="20.100000000000001" customHeight="1">
      <c r="A159" s="49" t="s">
        <v>454</v>
      </c>
      <c r="B159" s="49">
        <v>153</v>
      </c>
      <c r="C159" s="58" t="s">
        <v>381</v>
      </c>
      <c r="D159" s="58" t="s">
        <v>251</v>
      </c>
      <c r="E159" s="58" t="s">
        <v>380</v>
      </c>
      <c r="F159" s="49">
        <f>VLOOKUP(C159,'[1]논산시 마을상수도'!$E$5:$K$171,6,FALSE)</f>
        <v>20</v>
      </c>
      <c r="G159" s="49">
        <f>VLOOKUP(C159,'[1]논산시 마을상수도'!$E$5:$K$171,3,FALSE)</f>
        <v>1985</v>
      </c>
      <c r="H159" s="49">
        <f>VLOOKUP($C159,'[1]논산시 마을상수도'!$E$5:$K$171,4,FALSE)</f>
        <v>22</v>
      </c>
      <c r="I159" s="49">
        <v>1985</v>
      </c>
      <c r="J159" s="49"/>
      <c r="K159" s="49">
        <v>1985</v>
      </c>
      <c r="L159" s="49">
        <f t="shared" si="41"/>
        <v>1985</v>
      </c>
      <c r="M159" s="49">
        <v>1985</v>
      </c>
      <c r="N159" s="49">
        <v>2025</v>
      </c>
      <c r="O159" s="49" t="str">
        <f t="shared" si="42"/>
        <v>개량</v>
      </c>
      <c r="P159" s="49"/>
      <c r="Q159" s="49" t="str">
        <f t="shared" si="43"/>
        <v>개량</v>
      </c>
      <c r="R159" s="49" t="str">
        <f t="shared" si="44"/>
        <v>개량</v>
      </c>
      <c r="S159" s="49" t="str">
        <f t="shared" si="45"/>
        <v>개량</v>
      </c>
      <c r="T159" s="49">
        <f t="shared" ref="T159:T164" si="52">IF(O159="","",IF((I159+25)&lt;=2015,1,IF((I159+25)&lt;=2020,2,IF((I159+25)&lt;=2025,3,4))))</f>
        <v>1</v>
      </c>
      <c r="U159" s="49" t="str">
        <f t="shared" ref="U159:U164" si="53">IF(P159="","",IF((J159+25)&lt;=2015,1,IF((J159+25)&lt;=2020,2,IF((J159+25)&lt;=2025,3,4))))</f>
        <v/>
      </c>
      <c r="V159" s="49">
        <f t="shared" ref="V159:V164" si="54">IF(Q159="","",IF((K159+25)&lt;=2015,1,IF((K159+25)&lt;=2020,2,IF((K159+25)&lt;=2025,3,4))))</f>
        <v>1</v>
      </c>
      <c r="W159" s="49">
        <f t="shared" ref="W159:W164" si="55">IF(R159="","",IF((L159+25)&lt;=2015,1,IF((L159+25)&lt;=2020,2,IF((L159+25)&lt;=2025,3,4))))</f>
        <v>1</v>
      </c>
      <c r="X159" s="49">
        <f t="shared" ref="X159:X164" si="56">IF(S159="","",IF((M159+25)&lt;=2015,1,IF((M159+25)&lt;=2020,2,IF((M159+25)&lt;=2025,3,4))))</f>
        <v>1</v>
      </c>
      <c r="Y159" s="49">
        <v>1</v>
      </c>
      <c r="Z159" s="49" t="s">
        <v>114</v>
      </c>
      <c r="AA159" s="49" t="str">
        <f t="shared" si="46"/>
        <v>D</v>
      </c>
      <c r="AB159" s="61">
        <v>110</v>
      </c>
      <c r="AC159" s="61">
        <v>1091</v>
      </c>
      <c r="AD159" s="61">
        <f>IF(O159="개량",ROUND(VLOOKUP($F159,'개량사업비 산정기준'!$A$5:$I$23,2,FALSE)/1000,0),"")</f>
        <v>39</v>
      </c>
      <c r="AE159" s="61"/>
      <c r="AF159" s="61">
        <f>IF(Q159="개량",ROUND(VLOOKUP($F159,'개량사업비 산정기준'!$A$5:$I$23,6,FALSE)/1000,0),"")</f>
        <v>13</v>
      </c>
      <c r="AG159" s="61">
        <f>IF(R159="개량",ROUND(VLOOKUP($F159,'개량사업비 산정기준'!$A$5:$I$23,7,FALSE)/1000,0),"")</f>
        <v>9</v>
      </c>
      <c r="AH159" s="61">
        <f>IF(S159="개량",ROUND(((AB159*'개량사업비 산정기준'!$B$34)+(AC159*'개량사업비 산정기준'!$C$34))/1000000,0),"")</f>
        <v>260</v>
      </c>
      <c r="AI159" s="61">
        <f>IF((AB159+AC159)&lt;=1000,ROUND('개량사업비 산정기준'!$B$45/1000,0),IF((AB159+AC159)&lt;=2000,ROUND('개량사업비 산정기준'!$C$45/1000,0),ROUND('개량사업비 산정기준'!$E$45/1000,0)))</f>
        <v>11</v>
      </c>
      <c r="AJ159" s="61">
        <f>IF($AA159="D",ROUND('개량사업비 산정기준'!$F$56/1000,0),IF($AA159="E",ROUND('개량사업비 산정기준'!$F$56/1000,0),""))</f>
        <v>48</v>
      </c>
      <c r="AK159" s="61">
        <f t="shared" si="47"/>
        <v>380</v>
      </c>
      <c r="AL159" s="61">
        <v>1</v>
      </c>
      <c r="AM159" s="61">
        <f t="shared" si="48"/>
        <v>380</v>
      </c>
      <c r="AN159" s="61">
        <f t="shared" si="49"/>
        <v>0</v>
      </c>
      <c r="AO159" s="61">
        <f t="shared" si="50"/>
        <v>0</v>
      </c>
      <c r="AP159" s="61">
        <f t="shared" si="51"/>
        <v>0</v>
      </c>
      <c r="AQ159" s="49"/>
    </row>
    <row r="160" spans="1:43" ht="20.100000000000001" customHeight="1">
      <c r="A160" s="49" t="s">
        <v>454</v>
      </c>
      <c r="B160" s="49">
        <v>154</v>
      </c>
      <c r="C160" s="58" t="s">
        <v>383</v>
      </c>
      <c r="D160" s="58" t="s">
        <v>251</v>
      </c>
      <c r="E160" s="58" t="s">
        <v>382</v>
      </c>
      <c r="F160" s="49">
        <f>VLOOKUP(C160,'[1]논산시 마을상수도'!$E$5:$K$171,6,FALSE)</f>
        <v>40</v>
      </c>
      <c r="G160" s="49">
        <f>VLOOKUP(C160,'[1]논산시 마을상수도'!$E$5:$K$171,3,FALSE)</f>
        <v>1985</v>
      </c>
      <c r="H160" s="49">
        <f>VLOOKUP($C160,'[1]논산시 마을상수도'!$E$5:$K$171,4,FALSE)</f>
        <v>22</v>
      </c>
      <c r="I160" s="49">
        <v>1985</v>
      </c>
      <c r="J160" s="49"/>
      <c r="K160" s="49">
        <v>2006</v>
      </c>
      <c r="L160" s="49">
        <f t="shared" si="41"/>
        <v>2006</v>
      </c>
      <c r="M160" s="49">
        <v>1985</v>
      </c>
      <c r="N160" s="49">
        <v>2020</v>
      </c>
      <c r="O160" s="49" t="str">
        <f t="shared" si="42"/>
        <v>개량</v>
      </c>
      <c r="P160" s="49"/>
      <c r="Q160" s="49" t="str">
        <f t="shared" si="43"/>
        <v/>
      </c>
      <c r="R160" s="49" t="str">
        <f t="shared" si="44"/>
        <v/>
      </c>
      <c r="S160" s="49" t="str">
        <f t="shared" si="45"/>
        <v>개량</v>
      </c>
      <c r="T160" s="49">
        <f t="shared" si="52"/>
        <v>1</v>
      </c>
      <c r="U160" s="49" t="str">
        <f t="shared" si="53"/>
        <v/>
      </c>
      <c r="V160" s="49" t="str">
        <f t="shared" si="54"/>
        <v/>
      </c>
      <c r="W160" s="49" t="str">
        <f t="shared" si="55"/>
        <v/>
      </c>
      <c r="X160" s="49">
        <f t="shared" si="56"/>
        <v>1</v>
      </c>
      <c r="Y160" s="49">
        <v>2</v>
      </c>
      <c r="Z160" s="49" t="s">
        <v>114</v>
      </c>
      <c r="AA160" s="49" t="str">
        <f t="shared" si="46"/>
        <v>D</v>
      </c>
      <c r="AB160" s="61">
        <v>140</v>
      </c>
      <c r="AC160" s="61">
        <v>1001</v>
      </c>
      <c r="AD160" s="61">
        <f>IF(O160="개량",ROUND(VLOOKUP($F160,'개량사업비 산정기준'!$A$5:$I$23,2,FALSE)/1000,0),"")</f>
        <v>39</v>
      </c>
      <c r="AE160" s="61"/>
      <c r="AF160" s="61" t="str">
        <f>IF(Q160="개량",ROUND(VLOOKUP($F160,'개량사업비 산정기준'!$A$5:$I$23,6,FALSE)/1000,0),"")</f>
        <v/>
      </c>
      <c r="AG160" s="61" t="str">
        <f>IF(R160="개량",ROUND(VLOOKUP($F160,'개량사업비 산정기준'!$A$5:$I$23,7,FALSE)/1000,0),"")</f>
        <v/>
      </c>
      <c r="AH160" s="61">
        <f>IF(S160="개량",ROUND(((AB160*'개량사업비 산정기준'!$B$34)+(AC160*'개량사업비 산정기준'!$C$34))/1000000,0),"")</f>
        <v>241</v>
      </c>
      <c r="AI160" s="61">
        <f>IF((AB160+AC160)&lt;=1000,ROUND('개량사업비 산정기준'!$B$45/1000,0),IF((AB160+AC160)&lt;=2000,ROUND('개량사업비 산정기준'!$C$45/1000,0),ROUND('개량사업비 산정기준'!$E$45/1000,0)))</f>
        <v>11</v>
      </c>
      <c r="AJ160" s="61">
        <f>IF($AA160="D",ROUND('개량사업비 산정기준'!$F$56/1000,0),IF($AA160="E",ROUND('개량사업비 산정기준'!$F$56/1000,0),""))</f>
        <v>48</v>
      </c>
      <c r="AK160" s="61">
        <f t="shared" si="47"/>
        <v>339</v>
      </c>
      <c r="AL160" s="61">
        <v>1</v>
      </c>
      <c r="AM160" s="61">
        <f t="shared" si="48"/>
        <v>339</v>
      </c>
      <c r="AN160" s="61">
        <f t="shared" si="49"/>
        <v>0</v>
      </c>
      <c r="AO160" s="61">
        <f t="shared" si="50"/>
        <v>0</v>
      </c>
      <c r="AP160" s="61">
        <f t="shared" si="51"/>
        <v>0</v>
      </c>
      <c r="AQ160" s="49"/>
    </row>
    <row r="161" spans="1:43" ht="20.100000000000001" customHeight="1">
      <c r="A161" s="49" t="s">
        <v>454</v>
      </c>
      <c r="B161" s="49">
        <v>155</v>
      </c>
      <c r="C161" s="58" t="s">
        <v>385</v>
      </c>
      <c r="D161" s="58" t="s">
        <v>251</v>
      </c>
      <c r="E161" s="58" t="s">
        <v>384</v>
      </c>
      <c r="F161" s="49">
        <f>VLOOKUP(C161,'[1]논산시 마을상수도'!$E$5:$K$171,6,FALSE)</f>
        <v>20</v>
      </c>
      <c r="G161" s="49">
        <f>VLOOKUP(C161,'[1]논산시 마을상수도'!$E$5:$K$171,3,FALSE)</f>
        <v>1992</v>
      </c>
      <c r="H161" s="49">
        <f>VLOOKUP($C161,'[1]논산시 마을상수도'!$E$5:$K$171,4,FALSE)</f>
        <v>20</v>
      </c>
      <c r="I161" s="49">
        <v>2008</v>
      </c>
      <c r="J161" s="49"/>
      <c r="K161" s="49">
        <v>2008</v>
      </c>
      <c r="L161" s="49">
        <f t="shared" si="41"/>
        <v>2008</v>
      </c>
      <c r="M161" s="49">
        <v>2008</v>
      </c>
      <c r="N161" s="49">
        <v>2025</v>
      </c>
      <c r="O161" s="49" t="str">
        <f t="shared" si="42"/>
        <v/>
      </c>
      <c r="P161" s="49"/>
      <c r="Q161" s="49" t="str">
        <f t="shared" si="43"/>
        <v/>
      </c>
      <c r="R161" s="49" t="str">
        <f t="shared" si="44"/>
        <v/>
      </c>
      <c r="S161" s="49" t="str">
        <f t="shared" si="45"/>
        <v/>
      </c>
      <c r="T161" s="49" t="str">
        <f t="shared" si="52"/>
        <v/>
      </c>
      <c r="U161" s="49" t="str">
        <f t="shared" si="53"/>
        <v/>
      </c>
      <c r="V161" s="49" t="str">
        <f t="shared" si="54"/>
        <v/>
      </c>
      <c r="W161" s="49" t="str">
        <f t="shared" si="55"/>
        <v/>
      </c>
      <c r="X161" s="49" t="str">
        <f t="shared" si="56"/>
        <v/>
      </c>
      <c r="Y161" s="49">
        <v>2</v>
      </c>
      <c r="Z161" s="49" t="s">
        <v>114</v>
      </c>
      <c r="AA161" s="49" t="str">
        <f t="shared" si="46"/>
        <v>E</v>
      </c>
      <c r="AB161" s="61"/>
      <c r="AC161" s="61"/>
      <c r="AD161" s="61" t="str">
        <f>IF(O161="개량",ROUND(VLOOKUP($F161,'개량사업비 산정기준'!$A$5:$I$23,2,FALSE)/1000,0),"")</f>
        <v/>
      </c>
      <c r="AE161" s="61"/>
      <c r="AF161" s="61" t="str">
        <f>IF(Q161="개량",ROUND(VLOOKUP($F161,'개량사업비 산정기준'!$A$5:$I$23,6,FALSE)/1000,0),"")</f>
        <v/>
      </c>
      <c r="AG161" s="61" t="str">
        <f>IF(R161="개량",ROUND(VLOOKUP($F161,'개량사업비 산정기준'!$A$5:$I$23,7,FALSE)/1000,0),"")</f>
        <v/>
      </c>
      <c r="AH161" s="61" t="str">
        <f>IF(S161="개량",ROUND(((AB161*'개량사업비 산정기준'!$B$34)+(AC161*'개량사업비 산정기준'!$C$34))/1000000,0),"")</f>
        <v/>
      </c>
      <c r="AI161" s="61"/>
      <c r="AJ161" s="61">
        <f>IF($AA161="D",ROUND('개량사업비 산정기준'!$F$56/1000,0),IF($AA161="E",ROUND('개량사업비 산정기준'!$F$56/1000,0),""))</f>
        <v>48</v>
      </c>
      <c r="AK161" s="61">
        <f t="shared" si="47"/>
        <v>48</v>
      </c>
      <c r="AL161" s="61">
        <v>2</v>
      </c>
      <c r="AM161" s="61">
        <f t="shared" si="48"/>
        <v>0</v>
      </c>
      <c r="AN161" s="61">
        <f t="shared" si="49"/>
        <v>48</v>
      </c>
      <c r="AO161" s="61">
        <f t="shared" si="50"/>
        <v>0</v>
      </c>
      <c r="AP161" s="61">
        <f t="shared" si="51"/>
        <v>0</v>
      </c>
      <c r="AQ161" s="49"/>
    </row>
    <row r="162" spans="1:43" ht="20.100000000000001" customHeight="1">
      <c r="A162" s="49" t="s">
        <v>454</v>
      </c>
      <c r="B162" s="49">
        <v>156</v>
      </c>
      <c r="C162" s="56" t="s">
        <v>387</v>
      </c>
      <c r="D162" s="56" t="s">
        <v>251</v>
      </c>
      <c r="E162" s="56" t="s">
        <v>386</v>
      </c>
      <c r="F162" s="49">
        <f>VLOOKUP(C162,'[1]논산시 마을상수도'!$E$5:$K$171,6,FALSE)</f>
        <v>20</v>
      </c>
      <c r="G162" s="49">
        <f>VLOOKUP(C162,'[1]논산시 마을상수도'!$E$5:$K$171,3,FALSE)</f>
        <v>1994</v>
      </c>
      <c r="H162" s="49">
        <f>VLOOKUP($C162,'[1]논산시 마을상수도'!$E$5:$K$171,4,FALSE)</f>
        <v>18</v>
      </c>
      <c r="I162" s="49">
        <v>2010</v>
      </c>
      <c r="J162" s="49"/>
      <c r="K162" s="49">
        <v>2010</v>
      </c>
      <c r="L162" s="49">
        <f t="shared" si="41"/>
        <v>2010</v>
      </c>
      <c r="M162" s="49">
        <v>2010</v>
      </c>
      <c r="N162" s="49">
        <v>2020</v>
      </c>
      <c r="O162" s="49" t="str">
        <f t="shared" si="42"/>
        <v/>
      </c>
      <c r="P162" s="49"/>
      <c r="Q162" s="49" t="str">
        <f t="shared" si="43"/>
        <v/>
      </c>
      <c r="R162" s="49" t="str">
        <f t="shared" si="44"/>
        <v/>
      </c>
      <c r="S162" s="49" t="str">
        <f t="shared" si="45"/>
        <v/>
      </c>
      <c r="T162" s="49" t="str">
        <f t="shared" si="52"/>
        <v/>
      </c>
      <c r="U162" s="49" t="str">
        <f t="shared" si="53"/>
        <v/>
      </c>
      <c r="V162" s="49" t="str">
        <f t="shared" si="54"/>
        <v/>
      </c>
      <c r="W162" s="49" t="str">
        <f t="shared" si="55"/>
        <v/>
      </c>
      <c r="X162" s="49" t="str">
        <f t="shared" si="56"/>
        <v/>
      </c>
      <c r="Y162" s="49"/>
      <c r="Z162" s="49" t="s">
        <v>114</v>
      </c>
      <c r="AA162" s="49" t="str">
        <f t="shared" si="46"/>
        <v>F</v>
      </c>
      <c r="AB162" s="61"/>
      <c r="AC162" s="61"/>
      <c r="AD162" s="61" t="str">
        <f>IF(O162="개량",ROUND(VLOOKUP($F162,'개량사업비 산정기준'!$A$5:$I$23,2,FALSE)/1000,0),"")</f>
        <v/>
      </c>
      <c r="AE162" s="61"/>
      <c r="AF162" s="61" t="str">
        <f>IF(Q162="개량",ROUND(VLOOKUP($F162,'개량사업비 산정기준'!$A$5:$I$23,6,FALSE)/1000,0),"")</f>
        <v/>
      </c>
      <c r="AG162" s="61" t="str">
        <f>IF(R162="개량",ROUND(VLOOKUP($F162,'개량사업비 산정기준'!$A$5:$I$23,7,FALSE)/1000,0),"")</f>
        <v/>
      </c>
      <c r="AH162" s="61" t="str">
        <f>IF(S162="개량",ROUND(((AB162*'개량사업비 산정기준'!$B$34)+(AC162*'개량사업비 산정기준'!$C$34))/1000000,0),"")</f>
        <v/>
      </c>
      <c r="AI162" s="61"/>
      <c r="AJ162" s="61" t="str">
        <f>IF($AA162="D",ROUND('개량사업비 산정기준'!$F$56/1000,0),IF($AA162="E",ROUND('개량사업비 산정기준'!$F$56/1000,0),""))</f>
        <v/>
      </c>
      <c r="AK162" s="61">
        <f t="shared" si="47"/>
        <v>0</v>
      </c>
      <c r="AL162" s="61"/>
      <c r="AM162" s="61">
        <f t="shared" si="48"/>
        <v>0</v>
      </c>
      <c r="AN162" s="61">
        <f t="shared" si="49"/>
        <v>0</v>
      </c>
      <c r="AO162" s="61">
        <f t="shared" si="50"/>
        <v>0</v>
      </c>
      <c r="AP162" s="61">
        <f t="shared" si="51"/>
        <v>0</v>
      </c>
      <c r="AQ162" s="49"/>
    </row>
    <row r="163" spans="1:43" ht="20.100000000000001" customHeight="1">
      <c r="A163" s="49" t="s">
        <v>454</v>
      </c>
      <c r="B163" s="49">
        <v>157</v>
      </c>
      <c r="C163" s="56" t="s">
        <v>389</v>
      </c>
      <c r="D163" s="56" t="s">
        <v>251</v>
      </c>
      <c r="E163" s="56" t="s">
        <v>388</v>
      </c>
      <c r="F163" s="49">
        <f>VLOOKUP(C163,'[1]논산시 마을상수도'!$E$5:$K$171,6,FALSE)</f>
        <v>40</v>
      </c>
      <c r="G163" s="49">
        <f>VLOOKUP(C163,'[1]논산시 마을상수도'!$E$5:$K$171,3,FALSE)</f>
        <v>1997</v>
      </c>
      <c r="H163" s="49">
        <f>VLOOKUP($C163,'[1]논산시 마을상수도'!$E$5:$K$171,4,FALSE)</f>
        <v>30</v>
      </c>
      <c r="I163" s="49">
        <v>2006</v>
      </c>
      <c r="J163" s="49"/>
      <c r="K163" s="49">
        <v>2006</v>
      </c>
      <c r="L163" s="49">
        <f t="shared" si="41"/>
        <v>2006</v>
      </c>
      <c r="M163" s="49">
        <v>2006</v>
      </c>
      <c r="N163" s="49">
        <v>2025</v>
      </c>
      <c r="O163" s="49" t="str">
        <f t="shared" si="42"/>
        <v/>
      </c>
      <c r="P163" s="49"/>
      <c r="Q163" s="49" t="str">
        <f t="shared" si="43"/>
        <v/>
      </c>
      <c r="R163" s="49" t="str">
        <f t="shared" si="44"/>
        <v/>
      </c>
      <c r="S163" s="49" t="str">
        <f t="shared" si="45"/>
        <v/>
      </c>
      <c r="T163" s="49" t="str">
        <f t="shared" si="52"/>
        <v/>
      </c>
      <c r="U163" s="49" t="str">
        <f t="shared" si="53"/>
        <v/>
      </c>
      <c r="V163" s="49" t="str">
        <f t="shared" si="54"/>
        <v/>
      </c>
      <c r="W163" s="49" t="str">
        <f t="shared" si="55"/>
        <v/>
      </c>
      <c r="X163" s="49" t="str">
        <f t="shared" si="56"/>
        <v/>
      </c>
      <c r="Y163" s="49">
        <v>2</v>
      </c>
      <c r="Z163" s="49" t="s">
        <v>114</v>
      </c>
      <c r="AA163" s="49" t="str">
        <f t="shared" si="46"/>
        <v>E</v>
      </c>
      <c r="AB163" s="61"/>
      <c r="AC163" s="61"/>
      <c r="AD163" s="61" t="str">
        <f>IF(O163="개량",ROUND(VLOOKUP($F163,'개량사업비 산정기준'!$A$5:$I$23,2,FALSE)/1000,0),"")</f>
        <v/>
      </c>
      <c r="AE163" s="61"/>
      <c r="AF163" s="61" t="str">
        <f>IF(Q163="개량",ROUND(VLOOKUP($F163,'개량사업비 산정기준'!$A$5:$I$23,6,FALSE)/1000,0),"")</f>
        <v/>
      </c>
      <c r="AG163" s="61" t="str">
        <f>IF(R163="개량",ROUND(VLOOKUP($F163,'개량사업비 산정기준'!$A$5:$I$23,7,FALSE)/1000,0),"")</f>
        <v/>
      </c>
      <c r="AH163" s="61" t="str">
        <f>IF(S163="개량",ROUND(((AB163*'개량사업비 산정기준'!$B$34)+(AC163*'개량사업비 산정기준'!$C$34))/1000000,0),"")</f>
        <v/>
      </c>
      <c r="AI163" s="61"/>
      <c r="AJ163" s="61">
        <f>IF($AA163="D",ROUND('개량사업비 산정기준'!$F$56/1000,0),IF($AA163="E",ROUND('개량사업비 산정기준'!$F$56/1000,0),""))</f>
        <v>48</v>
      </c>
      <c r="AK163" s="61">
        <f t="shared" si="47"/>
        <v>48</v>
      </c>
      <c r="AL163" s="61">
        <v>2</v>
      </c>
      <c r="AM163" s="61">
        <f t="shared" si="48"/>
        <v>0</v>
      </c>
      <c r="AN163" s="61">
        <f t="shared" si="49"/>
        <v>48</v>
      </c>
      <c r="AO163" s="61">
        <f t="shared" si="50"/>
        <v>0</v>
      </c>
      <c r="AP163" s="61">
        <f t="shared" si="51"/>
        <v>0</v>
      </c>
      <c r="AQ163" s="49"/>
    </row>
    <row r="164" spans="1:43" ht="20.100000000000001" customHeight="1">
      <c r="A164" s="49" t="s">
        <v>454</v>
      </c>
      <c r="B164" s="49">
        <v>158</v>
      </c>
      <c r="C164" s="56" t="s">
        <v>390</v>
      </c>
      <c r="D164" s="56" t="s">
        <v>251</v>
      </c>
      <c r="E164" s="56" t="s">
        <v>372</v>
      </c>
      <c r="F164" s="49">
        <f>VLOOKUP(C164,'[1]논산시 마을상수도'!$E$5:$K$171,6,FALSE)</f>
        <v>30</v>
      </c>
      <c r="G164" s="49">
        <f>VLOOKUP(C164,'[1]논산시 마을상수도'!$E$5:$K$171,3,FALSE)</f>
        <v>2013</v>
      </c>
      <c r="H164" s="49">
        <f>VLOOKUP($C164,'[1]논산시 마을상수도'!$E$5:$K$171,4,FALSE)</f>
        <v>20</v>
      </c>
      <c r="I164" s="49">
        <v>2013</v>
      </c>
      <c r="J164" s="49"/>
      <c r="K164" s="49">
        <v>2013</v>
      </c>
      <c r="L164" s="49">
        <f t="shared" si="41"/>
        <v>2013</v>
      </c>
      <c r="M164" s="49">
        <v>2013</v>
      </c>
      <c r="N164" s="49">
        <v>2025</v>
      </c>
      <c r="O164" s="49" t="str">
        <f t="shared" si="42"/>
        <v/>
      </c>
      <c r="P164" s="49"/>
      <c r="Q164" s="49" t="str">
        <f t="shared" si="43"/>
        <v/>
      </c>
      <c r="R164" s="49" t="str">
        <f t="shared" si="44"/>
        <v/>
      </c>
      <c r="S164" s="49" t="str">
        <f t="shared" si="45"/>
        <v/>
      </c>
      <c r="T164" s="49" t="str">
        <f t="shared" si="52"/>
        <v/>
      </c>
      <c r="U164" s="49" t="str">
        <f t="shared" si="53"/>
        <v/>
      </c>
      <c r="V164" s="49" t="str">
        <f t="shared" si="54"/>
        <v/>
      </c>
      <c r="W164" s="49" t="str">
        <f t="shared" si="55"/>
        <v/>
      </c>
      <c r="X164" s="49" t="str">
        <f t="shared" si="56"/>
        <v/>
      </c>
      <c r="Y164" s="49">
        <v>2</v>
      </c>
      <c r="Z164" s="49" t="s">
        <v>114</v>
      </c>
      <c r="AA164" s="49" t="str">
        <f t="shared" si="46"/>
        <v>E</v>
      </c>
      <c r="AB164" s="61"/>
      <c r="AC164" s="61"/>
      <c r="AD164" s="61" t="str">
        <f>IF(O164="개량",ROUND(VLOOKUP($F164,'개량사업비 산정기준'!$A$5:$I$23,2,FALSE)/1000,0),"")</f>
        <v/>
      </c>
      <c r="AE164" s="61"/>
      <c r="AF164" s="61" t="str">
        <f>IF(Q164="개량",ROUND(VLOOKUP($F164,'개량사업비 산정기준'!$A$5:$I$23,6,FALSE)/1000,0),"")</f>
        <v/>
      </c>
      <c r="AG164" s="61" t="str">
        <f>IF(R164="개량",ROUND(VLOOKUP($F164,'개량사업비 산정기준'!$A$5:$I$23,7,FALSE)/1000,0),"")</f>
        <v/>
      </c>
      <c r="AH164" s="61" t="str">
        <f>IF(S164="개량",ROUND(((AB164*'개량사업비 산정기준'!$B$34)+(AC164*'개량사업비 산정기준'!$C$34))/1000000,0),"")</f>
        <v/>
      </c>
      <c r="AI164" s="61"/>
      <c r="AJ164" s="61">
        <f>IF($AA164="D",ROUND('개량사업비 산정기준'!$F$56/1000,0),IF($AA164="E",ROUND('개량사업비 산정기준'!$F$56/1000,0),""))</f>
        <v>48</v>
      </c>
      <c r="AK164" s="61">
        <f t="shared" si="47"/>
        <v>48</v>
      </c>
      <c r="AL164" s="61">
        <v>2</v>
      </c>
      <c r="AM164" s="61">
        <f t="shared" si="48"/>
        <v>0</v>
      </c>
      <c r="AN164" s="61">
        <f t="shared" si="49"/>
        <v>48</v>
      </c>
      <c r="AO164" s="61">
        <f t="shared" si="50"/>
        <v>0</v>
      </c>
      <c r="AP164" s="61">
        <f t="shared" si="51"/>
        <v>0</v>
      </c>
      <c r="AQ164" s="49"/>
    </row>
  </sheetData>
  <autoFilter ref="A3:AP164">
    <filterColumn colId="3" showButton="0"/>
    <filterColumn colId="7"/>
    <filterColumn colId="19"/>
    <filterColumn colId="20"/>
    <filterColumn colId="21"/>
    <filterColumn colId="22"/>
    <filterColumn colId="23"/>
    <filterColumn colId="24"/>
    <filterColumn colId="26"/>
    <filterColumn colId="27"/>
    <filterColumn colId="34"/>
    <filterColumn colId="35"/>
    <filterColumn colId="37"/>
    <filterColumn colId="38"/>
    <filterColumn colId="39"/>
    <filterColumn colId="40"/>
    <filterColumn colId="41"/>
  </autoFilter>
  <mergeCells count="20">
    <mergeCell ref="H2:H3"/>
    <mergeCell ref="A2:A3"/>
    <mergeCell ref="B2:B3"/>
    <mergeCell ref="C2:C3"/>
    <mergeCell ref="F2:F3"/>
    <mergeCell ref="G2:G3"/>
    <mergeCell ref="I2:M2"/>
    <mergeCell ref="AQ2:AQ3"/>
    <mergeCell ref="A4:E6"/>
    <mergeCell ref="AB2:AC2"/>
    <mergeCell ref="AM2:AP2"/>
    <mergeCell ref="F4:Z4"/>
    <mergeCell ref="T2:Y2"/>
    <mergeCell ref="AL2:AL3"/>
    <mergeCell ref="Z2:Z3"/>
    <mergeCell ref="AA2:AA3"/>
    <mergeCell ref="AD2:AK2"/>
    <mergeCell ref="D2:E3"/>
    <mergeCell ref="N2:N3"/>
    <mergeCell ref="O2:S2"/>
  </mergeCells>
  <phoneticPr fontId="3" type="noConversion"/>
  <printOptions horizontalCentered="1"/>
  <pageMargins left="0.62992125984251968" right="0.62992125984251968" top="0.78740157480314965" bottom="0.78740157480314965" header="0.31496062992125984" footer="0.31496062992125984"/>
  <pageSetup paperSize="9" scale="75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K186"/>
  <sheetViews>
    <sheetView tabSelected="1" view="pageBreakPreview" zoomScale="85" zoomScaleSheetLayoutView="85" workbookViewId="0">
      <selection activeCell="S27" sqref="S27"/>
    </sheetView>
  </sheetViews>
  <sheetFormatPr defaultRowHeight="16.5"/>
  <cols>
    <col min="1" max="1" width="6.625" style="6" customWidth="1"/>
    <col min="2" max="2" width="9" style="6"/>
    <col min="3" max="3" width="14.125" style="6" customWidth="1"/>
    <col min="4" max="9" width="9" style="6"/>
    <col min="10" max="10" width="0" style="6" hidden="1" customWidth="1"/>
    <col min="11" max="11" width="9" style="6"/>
  </cols>
  <sheetData>
    <row r="1" spans="1:11" ht="29.25" customHeight="1">
      <c r="A1" s="140" t="s">
        <v>274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</row>
    <row r="2" spans="1:11" ht="16.5" customHeight="1">
      <c r="A2" s="137" t="s">
        <v>99</v>
      </c>
      <c r="B2" s="141" t="s">
        <v>126</v>
      </c>
      <c r="C2" s="142"/>
      <c r="D2" s="137" t="s">
        <v>127</v>
      </c>
      <c r="E2" s="137" t="s">
        <v>93</v>
      </c>
      <c r="F2" s="137" t="s">
        <v>128</v>
      </c>
      <c r="G2" s="145" t="s">
        <v>129</v>
      </c>
      <c r="H2" s="146"/>
      <c r="I2" s="146"/>
      <c r="J2" s="147"/>
      <c r="K2" s="137" t="s">
        <v>130</v>
      </c>
    </row>
    <row r="3" spans="1:11">
      <c r="A3" s="138"/>
      <c r="B3" s="148"/>
      <c r="C3" s="149"/>
      <c r="D3" s="138"/>
      <c r="E3" s="138"/>
      <c r="F3" s="138"/>
      <c r="G3" s="28" t="s">
        <v>118</v>
      </c>
      <c r="H3" s="28" t="s">
        <v>121</v>
      </c>
      <c r="I3" s="28" t="s">
        <v>123</v>
      </c>
      <c r="J3" s="21"/>
      <c r="K3" s="138"/>
    </row>
    <row r="4" spans="1:11">
      <c r="A4" s="139"/>
      <c r="B4" s="18" t="s">
        <v>134</v>
      </c>
      <c r="C4" s="18" t="s">
        <v>102</v>
      </c>
      <c r="D4" s="139"/>
      <c r="E4" s="139"/>
      <c r="F4" s="139"/>
      <c r="G4" s="29" t="s">
        <v>131</v>
      </c>
      <c r="H4" s="29" t="s">
        <v>132</v>
      </c>
      <c r="I4" s="29" t="s">
        <v>133</v>
      </c>
      <c r="J4" s="22"/>
      <c r="K4" s="139"/>
    </row>
    <row r="5" spans="1:11">
      <c r="A5" s="22"/>
      <c r="B5" s="18"/>
      <c r="C5" s="18"/>
      <c r="D5" s="27">
        <f>D6+D10+D20+D32+D43+D46+D62+D73+D91+D99</f>
        <v>88</v>
      </c>
      <c r="E5" s="22"/>
      <c r="F5" s="22"/>
      <c r="G5" s="27">
        <f>G6+G10+G20+G32+G43+G46+G62+G73+G91+G99</f>
        <v>44</v>
      </c>
      <c r="H5" s="27">
        <f>H6+H10+H20+H32+H43+H46+H62+H73+H91+H99</f>
        <v>44</v>
      </c>
      <c r="I5" s="27">
        <f>I6+I10+I20+I32+I43+I46+I62+I73+I91+I99</f>
        <v>0</v>
      </c>
      <c r="J5" s="22"/>
      <c r="K5" s="22"/>
    </row>
    <row r="6" spans="1:11">
      <c r="A6" s="23"/>
      <c r="B6" s="23" t="s">
        <v>135</v>
      </c>
      <c r="C6" s="23"/>
      <c r="D6" s="26">
        <f>COUNT(A7:A9)</f>
        <v>3</v>
      </c>
      <c r="E6" s="23"/>
      <c r="F6" s="23"/>
      <c r="G6" s="26">
        <f>COUNTA(G7:G9)</f>
        <v>3</v>
      </c>
      <c r="H6" s="26">
        <f>COUNTA(H7:H9)</f>
        <v>0</v>
      </c>
      <c r="I6" s="26"/>
      <c r="J6" s="23"/>
      <c r="K6" s="23"/>
    </row>
    <row r="7" spans="1:11">
      <c r="A7" s="18">
        <v>1</v>
      </c>
      <c r="B7" s="18" t="s">
        <v>135</v>
      </c>
      <c r="C7" s="18" t="s">
        <v>136</v>
      </c>
      <c r="D7" s="18" t="s">
        <v>137</v>
      </c>
      <c r="E7" s="18">
        <v>60</v>
      </c>
      <c r="F7" s="18">
        <v>1978</v>
      </c>
      <c r="G7" s="18" t="s">
        <v>138</v>
      </c>
      <c r="H7" s="18"/>
      <c r="I7" s="18"/>
      <c r="J7" s="18"/>
      <c r="K7" s="18"/>
    </row>
    <row r="8" spans="1:11">
      <c r="A8" s="18">
        <v>2</v>
      </c>
      <c r="B8" s="18" t="s">
        <v>135</v>
      </c>
      <c r="C8" s="18" t="s">
        <v>139</v>
      </c>
      <c r="D8" s="18" t="s">
        <v>140</v>
      </c>
      <c r="E8" s="18">
        <v>120</v>
      </c>
      <c r="F8" s="18">
        <v>2002</v>
      </c>
      <c r="G8" s="18" t="s">
        <v>138</v>
      </c>
      <c r="H8" s="18"/>
      <c r="I8" s="18"/>
      <c r="J8" s="18"/>
      <c r="K8" s="18"/>
    </row>
    <row r="9" spans="1:11">
      <c r="A9" s="18">
        <v>3</v>
      </c>
      <c r="B9" s="18" t="s">
        <v>135</v>
      </c>
      <c r="C9" s="18" t="s">
        <v>141</v>
      </c>
      <c r="D9" s="18" t="s">
        <v>142</v>
      </c>
      <c r="E9" s="18">
        <v>120</v>
      </c>
      <c r="F9" s="18">
        <v>2005</v>
      </c>
      <c r="G9" s="18" t="s">
        <v>138</v>
      </c>
      <c r="H9" s="18"/>
      <c r="I9" s="18"/>
      <c r="J9" s="18"/>
      <c r="K9" s="18"/>
    </row>
    <row r="10" spans="1:11">
      <c r="A10" s="23"/>
      <c r="B10" s="23" t="s">
        <v>143</v>
      </c>
      <c r="C10" s="23"/>
      <c r="D10" s="26">
        <f>COUNT(A11:A19)</f>
        <v>9</v>
      </c>
      <c r="E10" s="23"/>
      <c r="F10" s="23"/>
      <c r="G10" s="26">
        <f>COUNTA(G11:G19)</f>
        <v>8</v>
      </c>
      <c r="H10" s="26">
        <f>COUNTA(H11:H19)</f>
        <v>1</v>
      </c>
      <c r="I10" s="26"/>
      <c r="J10" s="23"/>
      <c r="K10" s="23"/>
    </row>
    <row r="11" spans="1:11">
      <c r="A11" s="18">
        <v>1</v>
      </c>
      <c r="B11" s="18" t="s">
        <v>143</v>
      </c>
      <c r="C11" s="18" t="s">
        <v>144</v>
      </c>
      <c r="D11" s="18" t="s">
        <v>145</v>
      </c>
      <c r="E11" s="18">
        <v>80</v>
      </c>
      <c r="F11" s="18">
        <v>1995</v>
      </c>
      <c r="G11" s="18" t="s">
        <v>138</v>
      </c>
      <c r="H11" s="18"/>
      <c r="I11" s="18"/>
      <c r="J11" s="18"/>
      <c r="K11" s="18"/>
    </row>
    <row r="12" spans="1:11">
      <c r="A12" s="18">
        <v>2</v>
      </c>
      <c r="B12" s="18" t="s">
        <v>143</v>
      </c>
      <c r="C12" s="18" t="s">
        <v>3</v>
      </c>
      <c r="D12" s="18" t="s">
        <v>146</v>
      </c>
      <c r="E12" s="18">
        <v>80</v>
      </c>
      <c r="F12" s="18">
        <v>1999</v>
      </c>
      <c r="G12" s="18"/>
      <c r="H12" s="18" t="s">
        <v>138</v>
      </c>
      <c r="I12" s="18"/>
      <c r="J12" s="18"/>
      <c r="K12" s="18"/>
    </row>
    <row r="13" spans="1:11">
      <c r="A13" s="18">
        <v>3</v>
      </c>
      <c r="B13" s="18" t="s">
        <v>143</v>
      </c>
      <c r="C13" s="18" t="s">
        <v>147</v>
      </c>
      <c r="D13" s="18" t="s">
        <v>148</v>
      </c>
      <c r="E13" s="18">
        <v>70</v>
      </c>
      <c r="F13" s="18">
        <v>2000</v>
      </c>
      <c r="G13" s="18" t="s">
        <v>138</v>
      </c>
      <c r="H13" s="18"/>
      <c r="I13" s="18"/>
      <c r="J13" s="18"/>
      <c r="K13" s="18"/>
    </row>
    <row r="14" spans="1:11">
      <c r="A14" s="18">
        <v>4</v>
      </c>
      <c r="B14" s="18" t="s">
        <v>143</v>
      </c>
      <c r="C14" s="18" t="s">
        <v>149</v>
      </c>
      <c r="D14" s="18" t="s">
        <v>150</v>
      </c>
      <c r="E14" s="18">
        <v>80</v>
      </c>
      <c r="F14" s="18">
        <v>2003</v>
      </c>
      <c r="G14" s="18" t="s">
        <v>138</v>
      </c>
      <c r="H14" s="18"/>
      <c r="I14" s="18"/>
      <c r="J14" s="18"/>
      <c r="K14" s="18"/>
    </row>
    <row r="15" spans="1:11">
      <c r="A15" s="18">
        <v>5</v>
      </c>
      <c r="B15" s="18" t="s">
        <v>143</v>
      </c>
      <c r="C15" s="18" t="s">
        <v>4</v>
      </c>
      <c r="D15" s="18" t="s">
        <v>151</v>
      </c>
      <c r="E15" s="18">
        <v>120</v>
      </c>
      <c r="F15" s="18">
        <v>2005</v>
      </c>
      <c r="G15" s="18" t="s">
        <v>138</v>
      </c>
      <c r="H15" s="18"/>
      <c r="I15" s="18"/>
      <c r="J15" s="18"/>
      <c r="K15" s="18"/>
    </row>
    <row r="16" spans="1:11">
      <c r="A16" s="18">
        <v>6</v>
      </c>
      <c r="B16" s="18" t="s">
        <v>143</v>
      </c>
      <c r="C16" s="18" t="s">
        <v>5</v>
      </c>
      <c r="D16" s="18" t="s">
        <v>152</v>
      </c>
      <c r="E16" s="18">
        <v>60</v>
      </c>
      <c r="F16" s="18">
        <v>2006</v>
      </c>
      <c r="G16" s="18" t="s">
        <v>138</v>
      </c>
      <c r="H16" s="18"/>
      <c r="I16" s="18"/>
      <c r="J16" s="18"/>
      <c r="K16" s="18"/>
    </row>
    <row r="17" spans="1:11">
      <c r="A17" s="18">
        <v>7</v>
      </c>
      <c r="B17" s="18" t="s">
        <v>143</v>
      </c>
      <c r="C17" s="18" t="s">
        <v>6</v>
      </c>
      <c r="D17" s="18" t="s">
        <v>153</v>
      </c>
      <c r="E17" s="18">
        <v>80</v>
      </c>
      <c r="F17" s="18">
        <v>2007</v>
      </c>
      <c r="G17" s="18" t="s">
        <v>138</v>
      </c>
      <c r="H17" s="18"/>
      <c r="I17" s="18"/>
      <c r="J17" s="18"/>
      <c r="K17" s="18"/>
    </row>
    <row r="18" spans="1:11" ht="12.75" customHeight="1">
      <c r="A18" s="18">
        <v>8</v>
      </c>
      <c r="B18" s="18" t="s">
        <v>143</v>
      </c>
      <c r="C18" s="18" t="s">
        <v>7</v>
      </c>
      <c r="D18" s="18" t="s">
        <v>154</v>
      </c>
      <c r="E18" s="18">
        <v>130</v>
      </c>
      <c r="F18" s="18">
        <v>2008</v>
      </c>
      <c r="G18" s="18" t="s">
        <v>138</v>
      </c>
      <c r="H18" s="18"/>
      <c r="I18" s="18"/>
      <c r="J18" s="18"/>
      <c r="K18" s="18"/>
    </row>
    <row r="19" spans="1:11">
      <c r="A19" s="18">
        <v>9</v>
      </c>
      <c r="B19" s="18" t="s">
        <v>143</v>
      </c>
      <c r="C19" s="18" t="s">
        <v>155</v>
      </c>
      <c r="D19" s="18" t="s">
        <v>156</v>
      </c>
      <c r="E19" s="18">
        <v>70</v>
      </c>
      <c r="F19" s="18">
        <v>1995</v>
      </c>
      <c r="G19" s="18" t="s">
        <v>138</v>
      </c>
      <c r="H19" s="18"/>
      <c r="I19" s="18"/>
      <c r="J19" s="18"/>
      <c r="K19" s="18"/>
    </row>
    <row r="20" spans="1:11">
      <c r="A20" s="23"/>
      <c r="B20" s="23" t="s">
        <v>157</v>
      </c>
      <c r="C20" s="23"/>
      <c r="D20" s="26">
        <f>COUNT(A21:A31)</f>
        <v>11</v>
      </c>
      <c r="E20" s="23"/>
      <c r="F20" s="23"/>
      <c r="G20" s="26">
        <f>COUNTA(G21:G31)</f>
        <v>5</v>
      </c>
      <c r="H20" s="26">
        <f>COUNTA(H21:H31)</f>
        <v>6</v>
      </c>
      <c r="I20" s="26"/>
      <c r="J20" s="23"/>
      <c r="K20" s="23"/>
    </row>
    <row r="21" spans="1:11">
      <c r="A21" s="18">
        <v>1</v>
      </c>
      <c r="B21" s="18" t="s">
        <v>157</v>
      </c>
      <c r="C21" s="18" t="s">
        <v>158</v>
      </c>
      <c r="D21" s="24" t="s">
        <v>159</v>
      </c>
      <c r="E21" s="18">
        <v>140</v>
      </c>
      <c r="F21" s="18">
        <v>2000</v>
      </c>
      <c r="G21" s="18" t="s">
        <v>138</v>
      </c>
      <c r="H21" s="18"/>
      <c r="I21" s="18"/>
      <c r="J21" s="18"/>
      <c r="K21" s="18"/>
    </row>
    <row r="22" spans="1:11">
      <c r="A22" s="18">
        <v>2</v>
      </c>
      <c r="B22" s="18" t="s">
        <v>157</v>
      </c>
      <c r="C22" s="18" t="s">
        <v>160</v>
      </c>
      <c r="D22" s="24" t="s">
        <v>161</v>
      </c>
      <c r="E22" s="18">
        <v>140</v>
      </c>
      <c r="F22" s="18">
        <v>2001</v>
      </c>
      <c r="G22" s="18" t="s">
        <v>138</v>
      </c>
      <c r="H22" s="18"/>
      <c r="I22" s="18"/>
      <c r="J22" s="18"/>
      <c r="K22" s="18"/>
    </row>
    <row r="23" spans="1:11">
      <c r="A23" s="18">
        <v>3</v>
      </c>
      <c r="B23" s="18" t="s">
        <v>157</v>
      </c>
      <c r="C23" s="18" t="s">
        <v>9</v>
      </c>
      <c r="D23" s="24" t="s">
        <v>162</v>
      </c>
      <c r="E23" s="18">
        <v>200</v>
      </c>
      <c r="F23" s="18">
        <v>2004</v>
      </c>
      <c r="G23" s="18" t="s">
        <v>138</v>
      </c>
      <c r="H23" s="18"/>
      <c r="I23" s="18"/>
      <c r="J23" s="18"/>
      <c r="K23" s="18"/>
    </row>
    <row r="24" spans="1:11">
      <c r="A24" s="18">
        <v>4</v>
      </c>
      <c r="B24" s="18" t="s">
        <v>157</v>
      </c>
      <c r="C24" s="18" t="s">
        <v>163</v>
      </c>
      <c r="D24" s="24" t="s">
        <v>164</v>
      </c>
      <c r="E24" s="18">
        <v>60</v>
      </c>
      <c r="F24" s="18">
        <v>2006</v>
      </c>
      <c r="G24" s="18"/>
      <c r="H24" s="18" t="s">
        <v>138</v>
      </c>
      <c r="I24" s="18"/>
      <c r="J24" s="18"/>
      <c r="K24" s="18"/>
    </row>
    <row r="25" spans="1:11">
      <c r="A25" s="18">
        <v>5</v>
      </c>
      <c r="B25" s="18" t="s">
        <v>157</v>
      </c>
      <c r="C25" s="18" t="s">
        <v>10</v>
      </c>
      <c r="D25" s="24" t="s">
        <v>165</v>
      </c>
      <c r="E25" s="18">
        <v>80</v>
      </c>
      <c r="F25" s="18">
        <v>2007</v>
      </c>
      <c r="G25" s="18"/>
      <c r="H25" s="18" t="s">
        <v>138</v>
      </c>
      <c r="I25" s="18"/>
      <c r="J25" s="18"/>
      <c r="K25" s="18"/>
    </row>
    <row r="26" spans="1:11">
      <c r="A26" s="18">
        <v>6</v>
      </c>
      <c r="B26" s="18" t="s">
        <v>157</v>
      </c>
      <c r="C26" s="18" t="s">
        <v>11</v>
      </c>
      <c r="D26" s="24" t="s">
        <v>166</v>
      </c>
      <c r="E26" s="18">
        <v>70</v>
      </c>
      <c r="F26" s="18">
        <v>2008</v>
      </c>
      <c r="G26" s="18" t="s">
        <v>138</v>
      </c>
      <c r="H26" s="18"/>
      <c r="I26" s="18"/>
      <c r="J26" s="18"/>
      <c r="K26" s="18"/>
    </row>
    <row r="27" spans="1:11">
      <c r="A27" s="18">
        <v>7</v>
      </c>
      <c r="B27" s="18" t="s">
        <v>157</v>
      </c>
      <c r="C27" s="18" t="s">
        <v>12</v>
      </c>
      <c r="D27" s="24" t="s">
        <v>167</v>
      </c>
      <c r="E27" s="18">
        <v>90</v>
      </c>
      <c r="F27" s="18">
        <v>2009</v>
      </c>
      <c r="G27" s="18"/>
      <c r="H27" s="18" t="s">
        <v>138</v>
      </c>
      <c r="I27" s="18"/>
      <c r="J27" s="18"/>
      <c r="K27" s="18"/>
    </row>
    <row r="28" spans="1:11">
      <c r="A28" s="18">
        <v>8</v>
      </c>
      <c r="B28" s="18" t="s">
        <v>157</v>
      </c>
      <c r="C28" s="18" t="s">
        <v>168</v>
      </c>
      <c r="D28" s="24" t="s">
        <v>169</v>
      </c>
      <c r="E28" s="18">
        <v>60</v>
      </c>
      <c r="F28" s="18">
        <v>2010</v>
      </c>
      <c r="G28" s="18"/>
      <c r="H28" s="18" t="s">
        <v>138</v>
      </c>
      <c r="I28" s="18"/>
      <c r="J28" s="18"/>
      <c r="K28" s="18"/>
    </row>
    <row r="29" spans="1:11">
      <c r="A29" s="18">
        <v>9</v>
      </c>
      <c r="B29" s="18" t="s">
        <v>157</v>
      </c>
      <c r="C29" s="18" t="s">
        <v>160</v>
      </c>
      <c r="D29" s="24" t="s">
        <v>170</v>
      </c>
      <c r="E29" s="18">
        <v>80</v>
      </c>
      <c r="F29" s="18">
        <v>2010</v>
      </c>
      <c r="G29" s="18" t="s">
        <v>138</v>
      </c>
      <c r="H29" s="18"/>
      <c r="I29" s="18"/>
      <c r="J29" s="18"/>
      <c r="K29" s="18"/>
    </row>
    <row r="30" spans="1:11">
      <c r="A30" s="18">
        <v>10</v>
      </c>
      <c r="B30" s="18" t="s">
        <v>157</v>
      </c>
      <c r="C30" s="18" t="s">
        <v>13</v>
      </c>
      <c r="D30" s="24" t="s">
        <v>171</v>
      </c>
      <c r="E30" s="18">
        <v>80</v>
      </c>
      <c r="F30" s="18">
        <v>2012</v>
      </c>
      <c r="G30" s="18"/>
      <c r="H30" s="18" t="s">
        <v>138</v>
      </c>
      <c r="I30" s="18"/>
      <c r="J30" s="18"/>
      <c r="K30" s="18"/>
    </row>
    <row r="31" spans="1:11">
      <c r="A31" s="18">
        <v>11</v>
      </c>
      <c r="B31" s="18" t="s">
        <v>157</v>
      </c>
      <c r="C31" s="18" t="s">
        <v>14</v>
      </c>
      <c r="D31" s="24" t="s">
        <v>172</v>
      </c>
      <c r="E31" s="18">
        <v>60</v>
      </c>
      <c r="F31" s="18">
        <v>2012</v>
      </c>
      <c r="G31" s="18"/>
      <c r="H31" s="18" t="s">
        <v>138</v>
      </c>
      <c r="I31" s="18"/>
      <c r="J31" s="18"/>
      <c r="K31" s="18"/>
    </row>
    <row r="32" spans="1:11">
      <c r="A32" s="23"/>
      <c r="B32" s="23" t="s">
        <v>173</v>
      </c>
      <c r="C32" s="23"/>
      <c r="D32" s="26">
        <f>COUNT(A33:A42)</f>
        <v>10</v>
      </c>
      <c r="E32" s="23"/>
      <c r="F32" s="23"/>
      <c r="G32" s="26">
        <f>COUNTA(G33:G42)</f>
        <v>6</v>
      </c>
      <c r="H32" s="26">
        <f>COUNTA(H33:H42)</f>
        <v>4</v>
      </c>
      <c r="I32" s="26"/>
      <c r="J32" s="23"/>
      <c r="K32" s="23"/>
    </row>
    <row r="33" spans="1:11">
      <c r="A33" s="18">
        <v>1</v>
      </c>
      <c r="B33" s="18" t="s">
        <v>173</v>
      </c>
      <c r="C33" s="18" t="s">
        <v>16</v>
      </c>
      <c r="D33" s="18" t="s">
        <v>174</v>
      </c>
      <c r="E33" s="18">
        <v>90</v>
      </c>
      <c r="F33" s="18">
        <v>1975</v>
      </c>
      <c r="G33" s="18" t="s">
        <v>138</v>
      </c>
      <c r="H33" s="18"/>
      <c r="I33" s="18"/>
      <c r="J33" s="18"/>
      <c r="K33" s="18"/>
    </row>
    <row r="34" spans="1:11" s="20" customFormat="1">
      <c r="A34" s="25">
        <v>2</v>
      </c>
      <c r="B34" s="25" t="s">
        <v>173</v>
      </c>
      <c r="C34" s="25" t="s">
        <v>175</v>
      </c>
      <c r="D34" s="25" t="s">
        <v>176</v>
      </c>
      <c r="E34" s="25">
        <v>80</v>
      </c>
      <c r="F34" s="25">
        <v>1987</v>
      </c>
      <c r="G34" s="18" t="s">
        <v>138</v>
      </c>
      <c r="H34" s="25"/>
      <c r="I34" s="25"/>
      <c r="J34" s="25"/>
      <c r="K34" s="25" t="s">
        <v>177</v>
      </c>
    </row>
    <row r="35" spans="1:11">
      <c r="A35" s="18">
        <v>3</v>
      </c>
      <c r="B35" s="18" t="s">
        <v>173</v>
      </c>
      <c r="C35" s="18" t="s">
        <v>178</v>
      </c>
      <c r="D35" s="18" t="s">
        <v>179</v>
      </c>
      <c r="E35" s="18">
        <v>100</v>
      </c>
      <c r="F35" s="18">
        <v>2000</v>
      </c>
      <c r="G35" s="18"/>
      <c r="H35" s="18" t="s">
        <v>138</v>
      </c>
      <c r="I35" s="18"/>
      <c r="J35" s="18"/>
      <c r="K35" s="18"/>
    </row>
    <row r="36" spans="1:11">
      <c r="A36" s="18">
        <v>4</v>
      </c>
      <c r="B36" s="18" t="s">
        <v>173</v>
      </c>
      <c r="C36" s="18" t="s">
        <v>19</v>
      </c>
      <c r="D36" s="18" t="s">
        <v>180</v>
      </c>
      <c r="E36" s="18">
        <v>100</v>
      </c>
      <c r="F36" s="18">
        <v>2001</v>
      </c>
      <c r="G36" s="18" t="s">
        <v>138</v>
      </c>
      <c r="H36" s="18"/>
      <c r="I36" s="18"/>
      <c r="J36" s="18"/>
      <c r="K36" s="18"/>
    </row>
    <row r="37" spans="1:11">
      <c r="A37" s="18">
        <v>5</v>
      </c>
      <c r="B37" s="18" t="s">
        <v>173</v>
      </c>
      <c r="C37" s="18" t="s">
        <v>20</v>
      </c>
      <c r="D37" s="18" t="s">
        <v>181</v>
      </c>
      <c r="E37" s="18">
        <v>70</v>
      </c>
      <c r="F37" s="18">
        <v>2003</v>
      </c>
      <c r="G37" s="18" t="s">
        <v>138</v>
      </c>
      <c r="H37" s="18"/>
      <c r="I37" s="18"/>
      <c r="J37" s="18"/>
      <c r="K37" s="18"/>
    </row>
    <row r="38" spans="1:11">
      <c r="A38" s="18">
        <v>6</v>
      </c>
      <c r="B38" s="18" t="s">
        <v>173</v>
      </c>
      <c r="C38" s="18" t="s">
        <v>21</v>
      </c>
      <c r="D38" s="18" t="s">
        <v>182</v>
      </c>
      <c r="E38" s="18">
        <v>80</v>
      </c>
      <c r="F38" s="18">
        <v>2003</v>
      </c>
      <c r="G38" s="18"/>
      <c r="H38" s="18" t="s">
        <v>138</v>
      </c>
      <c r="I38" s="18"/>
      <c r="J38" s="18"/>
      <c r="K38" s="18"/>
    </row>
    <row r="39" spans="1:11">
      <c r="A39" s="18">
        <v>7</v>
      </c>
      <c r="B39" s="18" t="s">
        <v>173</v>
      </c>
      <c r="C39" s="18" t="s">
        <v>22</v>
      </c>
      <c r="D39" s="18" t="s">
        <v>183</v>
      </c>
      <c r="E39" s="18">
        <v>110</v>
      </c>
      <c r="F39" s="18">
        <v>2005</v>
      </c>
      <c r="G39" s="18" t="s">
        <v>138</v>
      </c>
      <c r="H39" s="18"/>
      <c r="I39" s="18"/>
      <c r="J39" s="18"/>
      <c r="K39" s="18"/>
    </row>
    <row r="40" spans="1:11">
      <c r="A40" s="18">
        <v>8</v>
      </c>
      <c r="B40" s="18" t="s">
        <v>173</v>
      </c>
      <c r="C40" s="18" t="s">
        <v>23</v>
      </c>
      <c r="D40" s="18" t="s">
        <v>184</v>
      </c>
      <c r="E40" s="18">
        <v>50</v>
      </c>
      <c r="F40" s="18">
        <v>2006</v>
      </c>
      <c r="G40" s="18"/>
      <c r="H40" s="18" t="s">
        <v>138</v>
      </c>
      <c r="I40" s="18"/>
      <c r="J40" s="18"/>
      <c r="K40" s="18"/>
    </row>
    <row r="41" spans="1:11">
      <c r="A41" s="18">
        <v>9</v>
      </c>
      <c r="B41" s="18" t="s">
        <v>173</v>
      </c>
      <c r="C41" s="18" t="s">
        <v>24</v>
      </c>
      <c r="D41" s="18" t="s">
        <v>185</v>
      </c>
      <c r="E41" s="18">
        <v>100</v>
      </c>
      <c r="F41" s="18">
        <v>2009</v>
      </c>
      <c r="G41" s="18" t="s">
        <v>138</v>
      </c>
      <c r="H41" s="18"/>
      <c r="I41" s="18"/>
      <c r="J41" s="18"/>
      <c r="K41" s="18"/>
    </row>
    <row r="42" spans="1:11">
      <c r="A42" s="18">
        <v>10</v>
      </c>
      <c r="B42" s="18" t="s">
        <v>173</v>
      </c>
      <c r="C42" s="18" t="s">
        <v>186</v>
      </c>
      <c r="D42" s="18" t="s">
        <v>187</v>
      </c>
      <c r="E42" s="18">
        <v>110</v>
      </c>
      <c r="F42" s="18">
        <v>2010</v>
      </c>
      <c r="G42" s="18"/>
      <c r="H42" s="18" t="s">
        <v>138</v>
      </c>
      <c r="I42" s="18"/>
      <c r="J42" s="18"/>
      <c r="K42" s="18"/>
    </row>
    <row r="43" spans="1:11">
      <c r="A43" s="23"/>
      <c r="B43" s="23" t="s">
        <v>188</v>
      </c>
      <c r="C43" s="23"/>
      <c r="D43" s="26">
        <f>COUNT(A44:A45)</f>
        <v>2</v>
      </c>
      <c r="E43" s="23"/>
      <c r="F43" s="23"/>
      <c r="G43" s="26">
        <f>COUNTA(G44:G45)</f>
        <v>2</v>
      </c>
      <c r="H43" s="26">
        <f>COUNTA(H44:H45)</f>
        <v>0</v>
      </c>
      <c r="I43" s="26"/>
      <c r="J43" s="23"/>
      <c r="K43" s="23"/>
    </row>
    <row r="44" spans="1:11">
      <c r="A44" s="18">
        <v>1</v>
      </c>
      <c r="B44" s="18" t="s">
        <v>188</v>
      </c>
      <c r="C44" s="18" t="s">
        <v>25</v>
      </c>
      <c r="D44" s="18" t="s">
        <v>189</v>
      </c>
      <c r="E44" s="18">
        <v>130</v>
      </c>
      <c r="F44" s="18">
        <v>2000</v>
      </c>
      <c r="G44" s="18" t="s">
        <v>138</v>
      </c>
      <c r="H44" s="18"/>
      <c r="I44" s="18"/>
      <c r="J44" s="18"/>
      <c r="K44" s="18"/>
    </row>
    <row r="45" spans="1:11">
      <c r="A45" s="18">
        <v>2</v>
      </c>
      <c r="B45" s="18" t="s">
        <v>188</v>
      </c>
      <c r="C45" s="18" t="s">
        <v>190</v>
      </c>
      <c r="D45" s="18" t="s">
        <v>191</v>
      </c>
      <c r="E45" s="18">
        <v>50</v>
      </c>
      <c r="F45" s="18">
        <v>2009</v>
      </c>
      <c r="G45" s="18" t="s">
        <v>138</v>
      </c>
      <c r="H45" s="18"/>
      <c r="I45" s="18"/>
      <c r="J45" s="18"/>
      <c r="K45" s="18"/>
    </row>
    <row r="46" spans="1:11">
      <c r="A46" s="23"/>
      <c r="B46" s="23" t="s">
        <v>192</v>
      </c>
      <c r="C46" s="23"/>
      <c r="D46" s="26">
        <f>COUNT(A47:A61)</f>
        <v>15</v>
      </c>
      <c r="E46" s="23"/>
      <c r="F46" s="23"/>
      <c r="G46" s="26">
        <f>COUNTA(G47:G61)</f>
        <v>7</v>
      </c>
      <c r="H46" s="26">
        <f>COUNTA(H47:H61)</f>
        <v>8</v>
      </c>
      <c r="I46" s="26"/>
      <c r="J46" s="23"/>
      <c r="K46" s="23"/>
    </row>
    <row r="47" spans="1:11">
      <c r="A47" s="18">
        <v>1</v>
      </c>
      <c r="B47" s="18" t="s">
        <v>192</v>
      </c>
      <c r="C47" s="18" t="s">
        <v>26</v>
      </c>
      <c r="D47" s="18" t="s">
        <v>193</v>
      </c>
      <c r="E47" s="18">
        <v>120</v>
      </c>
      <c r="F47" s="18">
        <v>1998</v>
      </c>
      <c r="G47" s="18"/>
      <c r="H47" s="18" t="s">
        <v>138</v>
      </c>
      <c r="I47" s="18"/>
      <c r="J47" s="18"/>
      <c r="K47" s="18"/>
    </row>
    <row r="48" spans="1:11">
      <c r="A48" s="18">
        <v>2</v>
      </c>
      <c r="B48" s="18" t="s">
        <v>192</v>
      </c>
      <c r="C48" s="18" t="s">
        <v>27</v>
      </c>
      <c r="D48" s="18" t="s">
        <v>194</v>
      </c>
      <c r="E48" s="18">
        <v>130</v>
      </c>
      <c r="F48" s="18">
        <v>2001</v>
      </c>
      <c r="G48" s="18"/>
      <c r="H48" s="18" t="s">
        <v>138</v>
      </c>
      <c r="I48" s="18"/>
      <c r="J48" s="18"/>
      <c r="K48" s="18"/>
    </row>
    <row r="49" spans="1:11">
      <c r="A49" s="18">
        <v>3</v>
      </c>
      <c r="B49" s="18" t="s">
        <v>192</v>
      </c>
      <c r="C49" s="18" t="s">
        <v>28</v>
      </c>
      <c r="D49" s="18" t="s">
        <v>195</v>
      </c>
      <c r="E49" s="18">
        <v>80</v>
      </c>
      <c r="F49" s="18">
        <v>2002</v>
      </c>
      <c r="G49" s="18" t="s">
        <v>138</v>
      </c>
      <c r="H49" s="18"/>
      <c r="I49" s="18"/>
      <c r="J49" s="18"/>
      <c r="K49" s="18"/>
    </row>
    <row r="50" spans="1:11">
      <c r="A50" s="18">
        <v>4</v>
      </c>
      <c r="B50" s="18" t="s">
        <v>192</v>
      </c>
      <c r="C50" s="18" t="s">
        <v>196</v>
      </c>
      <c r="D50" s="18" t="s">
        <v>197</v>
      </c>
      <c r="E50" s="18">
        <v>80</v>
      </c>
      <c r="F50" s="18">
        <v>2002</v>
      </c>
      <c r="G50" s="18" t="s">
        <v>138</v>
      </c>
      <c r="H50" s="18"/>
      <c r="I50" s="18"/>
      <c r="J50" s="18"/>
      <c r="K50" s="18"/>
    </row>
    <row r="51" spans="1:11">
      <c r="A51" s="18">
        <v>5</v>
      </c>
      <c r="B51" s="18" t="s">
        <v>192</v>
      </c>
      <c r="C51" s="18" t="s">
        <v>29</v>
      </c>
      <c r="D51" s="18" t="s">
        <v>198</v>
      </c>
      <c r="E51" s="18">
        <v>100</v>
      </c>
      <c r="F51" s="18">
        <v>2003</v>
      </c>
      <c r="G51" s="18" t="s">
        <v>138</v>
      </c>
      <c r="H51" s="18"/>
      <c r="I51" s="18"/>
      <c r="J51" s="18"/>
      <c r="K51" s="18"/>
    </row>
    <row r="52" spans="1:11">
      <c r="A52" s="18">
        <v>6</v>
      </c>
      <c r="B52" s="18" t="s">
        <v>192</v>
      </c>
      <c r="C52" s="18" t="s">
        <v>199</v>
      </c>
      <c r="D52" s="18" t="s">
        <v>200</v>
      </c>
      <c r="E52" s="18">
        <v>100</v>
      </c>
      <c r="F52" s="18">
        <v>2003</v>
      </c>
      <c r="G52" s="18" t="s">
        <v>138</v>
      </c>
      <c r="H52" s="18"/>
      <c r="I52" s="18"/>
      <c r="J52" s="18"/>
      <c r="K52" s="18"/>
    </row>
    <row r="53" spans="1:11">
      <c r="A53" s="18">
        <v>7</v>
      </c>
      <c r="B53" s="18" t="s">
        <v>192</v>
      </c>
      <c r="C53" s="18" t="s">
        <v>30</v>
      </c>
      <c r="D53" s="18" t="s">
        <v>201</v>
      </c>
      <c r="E53" s="18">
        <v>90</v>
      </c>
      <c r="F53" s="18">
        <v>2004</v>
      </c>
      <c r="G53" s="18"/>
      <c r="H53" s="18" t="s">
        <v>138</v>
      </c>
      <c r="I53" s="18"/>
      <c r="J53" s="18"/>
      <c r="K53" s="18"/>
    </row>
    <row r="54" spans="1:11">
      <c r="A54" s="18">
        <v>8</v>
      </c>
      <c r="B54" s="18" t="s">
        <v>192</v>
      </c>
      <c r="C54" s="18" t="s">
        <v>31</v>
      </c>
      <c r="D54" s="18" t="s">
        <v>202</v>
      </c>
      <c r="E54" s="18">
        <v>90</v>
      </c>
      <c r="F54" s="18">
        <v>2004</v>
      </c>
      <c r="G54" s="18" t="s">
        <v>138</v>
      </c>
      <c r="H54" s="18"/>
      <c r="I54" s="18"/>
      <c r="J54" s="18"/>
      <c r="K54" s="18"/>
    </row>
    <row r="55" spans="1:11">
      <c r="A55" s="18">
        <v>9</v>
      </c>
      <c r="B55" s="18" t="s">
        <v>192</v>
      </c>
      <c r="C55" s="18" t="s">
        <v>203</v>
      </c>
      <c r="D55" s="18" t="s">
        <v>204</v>
      </c>
      <c r="E55" s="18">
        <v>30</v>
      </c>
      <c r="F55" s="18">
        <v>2006</v>
      </c>
      <c r="G55" s="18"/>
      <c r="H55" s="18" t="s">
        <v>138</v>
      </c>
      <c r="I55" s="18"/>
      <c r="J55" s="18"/>
      <c r="K55" s="18"/>
    </row>
    <row r="56" spans="1:11">
      <c r="A56" s="18">
        <v>10</v>
      </c>
      <c r="B56" s="18" t="s">
        <v>192</v>
      </c>
      <c r="C56" s="18" t="s">
        <v>33</v>
      </c>
      <c r="D56" s="18" t="s">
        <v>205</v>
      </c>
      <c r="E56" s="18">
        <v>50</v>
      </c>
      <c r="F56" s="18">
        <v>2008</v>
      </c>
      <c r="G56" s="18"/>
      <c r="H56" s="18" t="s">
        <v>138</v>
      </c>
      <c r="I56" s="18"/>
      <c r="J56" s="18"/>
      <c r="K56" s="18"/>
    </row>
    <row r="57" spans="1:11">
      <c r="A57" s="18">
        <v>11</v>
      </c>
      <c r="B57" s="18" t="s">
        <v>192</v>
      </c>
      <c r="C57" s="18" t="s">
        <v>206</v>
      </c>
      <c r="D57" s="18" t="s">
        <v>207</v>
      </c>
      <c r="E57" s="18">
        <v>100</v>
      </c>
      <c r="F57" s="18">
        <v>2008</v>
      </c>
      <c r="G57" s="18" t="s">
        <v>138</v>
      </c>
      <c r="H57" s="18"/>
      <c r="I57" s="18"/>
      <c r="J57" s="18"/>
      <c r="K57" s="18"/>
    </row>
    <row r="58" spans="1:11">
      <c r="A58" s="18">
        <v>12</v>
      </c>
      <c r="B58" s="18" t="s">
        <v>192</v>
      </c>
      <c r="C58" s="18" t="s">
        <v>208</v>
      </c>
      <c r="D58" s="18" t="s">
        <v>209</v>
      </c>
      <c r="E58" s="18">
        <v>100</v>
      </c>
      <c r="F58" s="18">
        <v>2009</v>
      </c>
      <c r="G58" s="18" t="s">
        <v>138</v>
      </c>
      <c r="H58" s="18"/>
      <c r="I58" s="18"/>
      <c r="J58" s="18"/>
      <c r="K58" s="18"/>
    </row>
    <row r="59" spans="1:11">
      <c r="A59" s="18">
        <v>13</v>
      </c>
      <c r="B59" s="18" t="s">
        <v>192</v>
      </c>
      <c r="C59" s="18" t="s">
        <v>210</v>
      </c>
      <c r="D59" s="18" t="s">
        <v>211</v>
      </c>
      <c r="E59" s="18">
        <v>60</v>
      </c>
      <c r="F59" s="18">
        <v>2010</v>
      </c>
      <c r="G59" s="18"/>
      <c r="H59" s="18" t="s">
        <v>138</v>
      </c>
      <c r="I59" s="18"/>
      <c r="J59" s="18"/>
      <c r="K59" s="18"/>
    </row>
    <row r="60" spans="1:11">
      <c r="A60" s="18">
        <v>14</v>
      </c>
      <c r="B60" s="18" t="s">
        <v>192</v>
      </c>
      <c r="C60" s="18" t="s">
        <v>212</v>
      </c>
      <c r="D60" s="18" t="s">
        <v>213</v>
      </c>
      <c r="E60" s="18">
        <v>80</v>
      </c>
      <c r="F60" s="18">
        <v>2012</v>
      </c>
      <c r="G60" s="18"/>
      <c r="H60" s="18" t="s">
        <v>138</v>
      </c>
      <c r="I60" s="18"/>
      <c r="J60" s="18"/>
      <c r="K60" s="18"/>
    </row>
    <row r="61" spans="1:11">
      <c r="A61" s="18">
        <v>15</v>
      </c>
      <c r="B61" s="18" t="s">
        <v>192</v>
      </c>
      <c r="C61" s="18" t="s">
        <v>214</v>
      </c>
      <c r="D61" s="18" t="s">
        <v>215</v>
      </c>
      <c r="E61" s="18">
        <v>60</v>
      </c>
      <c r="F61" s="18">
        <v>2004</v>
      </c>
      <c r="G61" s="18"/>
      <c r="H61" s="18" t="s">
        <v>138</v>
      </c>
      <c r="I61" s="18"/>
      <c r="J61" s="18"/>
      <c r="K61" s="18"/>
    </row>
    <row r="62" spans="1:11">
      <c r="A62" s="23"/>
      <c r="B62" s="23" t="s">
        <v>216</v>
      </c>
      <c r="C62" s="23"/>
      <c r="D62" s="26">
        <f>COUNT(A63:A72)</f>
        <v>10</v>
      </c>
      <c r="E62" s="23"/>
      <c r="F62" s="23"/>
      <c r="G62" s="26">
        <f>COUNTA(G63:G72)</f>
        <v>0</v>
      </c>
      <c r="H62" s="26">
        <f>COUNTA(H63:H72)</f>
        <v>10</v>
      </c>
      <c r="I62" s="26"/>
      <c r="J62" s="23"/>
      <c r="K62" s="23"/>
    </row>
    <row r="63" spans="1:11">
      <c r="A63" s="18">
        <v>1</v>
      </c>
      <c r="B63" s="18" t="s">
        <v>216</v>
      </c>
      <c r="C63" s="18" t="s">
        <v>35</v>
      </c>
      <c r="D63" s="18" t="s">
        <v>217</v>
      </c>
      <c r="E63" s="18">
        <v>70</v>
      </c>
      <c r="F63" s="18">
        <v>1999</v>
      </c>
      <c r="G63" s="18"/>
      <c r="H63" s="18" t="s">
        <v>138</v>
      </c>
      <c r="I63" s="18"/>
      <c r="J63" s="18"/>
      <c r="K63" s="18"/>
    </row>
    <row r="64" spans="1:11">
      <c r="A64" s="18">
        <v>2</v>
      </c>
      <c r="B64" s="18" t="s">
        <v>216</v>
      </c>
      <c r="C64" s="18" t="s">
        <v>36</v>
      </c>
      <c r="D64" s="18" t="s">
        <v>218</v>
      </c>
      <c r="E64" s="18">
        <v>110</v>
      </c>
      <c r="F64" s="18">
        <v>2002</v>
      </c>
      <c r="G64" s="18"/>
      <c r="H64" s="18" t="s">
        <v>138</v>
      </c>
      <c r="I64" s="18"/>
      <c r="J64" s="18"/>
      <c r="K64" s="18"/>
    </row>
    <row r="65" spans="1:11">
      <c r="A65" s="18">
        <v>3</v>
      </c>
      <c r="B65" s="18" t="s">
        <v>216</v>
      </c>
      <c r="C65" s="18" t="s">
        <v>37</v>
      </c>
      <c r="D65" s="18" t="s">
        <v>219</v>
      </c>
      <c r="E65" s="18">
        <v>120</v>
      </c>
      <c r="F65" s="18">
        <v>2004</v>
      </c>
      <c r="G65" s="18"/>
      <c r="H65" s="18" t="s">
        <v>138</v>
      </c>
      <c r="I65" s="18"/>
      <c r="J65" s="18"/>
      <c r="K65" s="18"/>
    </row>
    <row r="66" spans="1:11">
      <c r="A66" s="18">
        <v>4</v>
      </c>
      <c r="B66" s="18" t="s">
        <v>216</v>
      </c>
      <c r="C66" s="18" t="s">
        <v>220</v>
      </c>
      <c r="D66" s="18" t="s">
        <v>221</v>
      </c>
      <c r="E66" s="18">
        <v>50</v>
      </c>
      <c r="F66" s="18">
        <v>2004</v>
      </c>
      <c r="G66" s="18"/>
      <c r="H66" s="18" t="s">
        <v>138</v>
      </c>
      <c r="I66" s="18"/>
      <c r="J66" s="18"/>
      <c r="K66" s="18"/>
    </row>
    <row r="67" spans="1:11">
      <c r="A67" s="18">
        <v>5</v>
      </c>
      <c r="B67" s="18" t="s">
        <v>216</v>
      </c>
      <c r="C67" s="18" t="s">
        <v>222</v>
      </c>
      <c r="D67" s="18" t="s">
        <v>223</v>
      </c>
      <c r="E67" s="18">
        <v>50</v>
      </c>
      <c r="F67" s="18">
        <v>2004</v>
      </c>
      <c r="G67" s="18"/>
      <c r="H67" s="18" t="s">
        <v>138</v>
      </c>
      <c r="I67" s="18"/>
      <c r="J67" s="18"/>
      <c r="K67" s="18"/>
    </row>
    <row r="68" spans="1:11">
      <c r="A68" s="18">
        <v>6</v>
      </c>
      <c r="B68" s="18" t="s">
        <v>216</v>
      </c>
      <c r="C68" s="18" t="s">
        <v>224</v>
      </c>
      <c r="D68" s="18" t="s">
        <v>225</v>
      </c>
      <c r="E68" s="18">
        <v>40</v>
      </c>
      <c r="F68" s="18">
        <v>2006</v>
      </c>
      <c r="G68" s="18"/>
      <c r="H68" s="18" t="s">
        <v>138</v>
      </c>
      <c r="I68" s="18"/>
      <c r="J68" s="18"/>
      <c r="K68" s="18"/>
    </row>
    <row r="69" spans="1:11">
      <c r="A69" s="18">
        <v>7</v>
      </c>
      <c r="B69" s="18" t="s">
        <v>216</v>
      </c>
      <c r="C69" s="18" t="s">
        <v>38</v>
      </c>
      <c r="D69" s="18" t="s">
        <v>226</v>
      </c>
      <c r="E69" s="18">
        <v>60</v>
      </c>
      <c r="F69" s="18">
        <v>2008</v>
      </c>
      <c r="G69" s="18"/>
      <c r="H69" s="18" t="s">
        <v>138</v>
      </c>
      <c r="I69" s="18"/>
      <c r="J69" s="18"/>
      <c r="K69" s="18"/>
    </row>
    <row r="70" spans="1:11">
      <c r="A70" s="18">
        <v>8</v>
      </c>
      <c r="B70" s="18" t="s">
        <v>216</v>
      </c>
      <c r="C70" s="18" t="s">
        <v>206</v>
      </c>
      <c r="D70" s="18" t="s">
        <v>227</v>
      </c>
      <c r="E70" s="18">
        <v>50</v>
      </c>
      <c r="F70" s="18">
        <v>2009</v>
      </c>
      <c r="G70" s="18"/>
      <c r="H70" s="18" t="s">
        <v>138</v>
      </c>
      <c r="I70" s="18"/>
      <c r="J70" s="18"/>
      <c r="K70" s="18"/>
    </row>
    <row r="71" spans="1:11">
      <c r="A71" s="18">
        <v>9</v>
      </c>
      <c r="B71" s="18" t="s">
        <v>216</v>
      </c>
      <c r="C71" s="18" t="s">
        <v>38</v>
      </c>
      <c r="D71" s="18" t="s">
        <v>228</v>
      </c>
      <c r="E71" s="18">
        <v>70</v>
      </c>
      <c r="F71" s="18">
        <v>2009</v>
      </c>
      <c r="G71" s="18"/>
      <c r="H71" s="18" t="s">
        <v>138</v>
      </c>
      <c r="I71" s="18"/>
      <c r="J71" s="18"/>
      <c r="K71" s="18"/>
    </row>
    <row r="72" spans="1:11">
      <c r="A72" s="18">
        <v>10</v>
      </c>
      <c r="B72" s="18" t="s">
        <v>216</v>
      </c>
      <c r="C72" s="18" t="s">
        <v>229</v>
      </c>
      <c r="D72" s="18" t="s">
        <v>230</v>
      </c>
      <c r="E72" s="18">
        <v>60</v>
      </c>
      <c r="F72" s="18">
        <v>2010</v>
      </c>
      <c r="G72" s="18"/>
      <c r="H72" s="18" t="s">
        <v>138</v>
      </c>
      <c r="I72" s="18"/>
      <c r="J72" s="18"/>
      <c r="K72" s="18"/>
    </row>
    <row r="73" spans="1:11">
      <c r="A73" s="23"/>
      <c r="B73" s="23" t="s">
        <v>231</v>
      </c>
      <c r="C73" s="23"/>
      <c r="D73" s="26">
        <f>COUNT(A74:A90)</f>
        <v>17</v>
      </c>
      <c r="E73" s="23"/>
      <c r="F73" s="23"/>
      <c r="G73" s="26">
        <f>COUNTA(G74:G90)</f>
        <v>9</v>
      </c>
      <c r="H73" s="26">
        <f>COUNTA(H74:H90)</f>
        <v>8</v>
      </c>
      <c r="I73" s="26"/>
      <c r="J73" s="23"/>
      <c r="K73" s="23"/>
    </row>
    <row r="74" spans="1:11" s="20" customFormat="1">
      <c r="A74" s="25">
        <v>1</v>
      </c>
      <c r="B74" s="25" t="s">
        <v>231</v>
      </c>
      <c r="C74" s="25" t="s">
        <v>40</v>
      </c>
      <c r="D74" s="25" t="s">
        <v>232</v>
      </c>
      <c r="E74" s="25">
        <v>100</v>
      </c>
      <c r="F74" s="25">
        <v>1972</v>
      </c>
      <c r="G74" s="18" t="s">
        <v>138</v>
      </c>
      <c r="H74" s="25"/>
      <c r="I74" s="25"/>
      <c r="J74" s="25"/>
      <c r="K74" s="25"/>
    </row>
    <row r="75" spans="1:11" s="20" customFormat="1">
      <c r="A75" s="25">
        <v>2</v>
      </c>
      <c r="B75" s="25" t="s">
        <v>231</v>
      </c>
      <c r="C75" s="25" t="s">
        <v>110</v>
      </c>
      <c r="D75" s="25" t="s">
        <v>233</v>
      </c>
      <c r="E75" s="25">
        <v>60</v>
      </c>
      <c r="F75" s="25">
        <v>1980</v>
      </c>
      <c r="G75" s="18" t="s">
        <v>138</v>
      </c>
      <c r="H75" s="25"/>
      <c r="I75" s="25"/>
      <c r="J75" s="25"/>
      <c r="K75" s="25"/>
    </row>
    <row r="76" spans="1:11" s="20" customFormat="1">
      <c r="A76" s="25">
        <v>3</v>
      </c>
      <c r="B76" s="25" t="s">
        <v>231</v>
      </c>
      <c r="C76" s="25" t="s">
        <v>111</v>
      </c>
      <c r="D76" s="25" t="s">
        <v>234</v>
      </c>
      <c r="E76" s="25">
        <v>50</v>
      </c>
      <c r="F76" s="25">
        <v>1981</v>
      </c>
      <c r="G76" s="25"/>
      <c r="H76" s="18" t="s">
        <v>138</v>
      </c>
      <c r="I76" s="25"/>
      <c r="J76" s="25"/>
      <c r="K76" s="25"/>
    </row>
    <row r="77" spans="1:11" s="20" customFormat="1">
      <c r="A77" s="25">
        <v>4</v>
      </c>
      <c r="B77" s="25" t="s">
        <v>231</v>
      </c>
      <c r="C77" s="25" t="s">
        <v>112</v>
      </c>
      <c r="D77" s="25" t="s">
        <v>235</v>
      </c>
      <c r="E77" s="25">
        <v>60</v>
      </c>
      <c r="F77" s="25">
        <v>1983</v>
      </c>
      <c r="G77" s="25"/>
      <c r="H77" s="18" t="s">
        <v>138</v>
      </c>
      <c r="I77" s="25"/>
      <c r="J77" s="25"/>
      <c r="K77" s="25"/>
    </row>
    <row r="78" spans="1:11">
      <c r="A78" s="18">
        <v>5</v>
      </c>
      <c r="B78" s="18" t="s">
        <v>231</v>
      </c>
      <c r="C78" s="18" t="s">
        <v>236</v>
      </c>
      <c r="D78" s="18" t="s">
        <v>237</v>
      </c>
      <c r="E78" s="18">
        <v>30</v>
      </c>
      <c r="F78" s="18">
        <v>1996</v>
      </c>
      <c r="G78" s="18"/>
      <c r="H78" s="18" t="s">
        <v>138</v>
      </c>
      <c r="I78" s="18"/>
      <c r="J78" s="18"/>
      <c r="K78" s="18"/>
    </row>
    <row r="79" spans="1:11">
      <c r="A79" s="18">
        <v>6</v>
      </c>
      <c r="B79" s="18" t="s">
        <v>231</v>
      </c>
      <c r="C79" s="18" t="s">
        <v>50</v>
      </c>
      <c r="D79" s="18" t="s">
        <v>238</v>
      </c>
      <c r="E79" s="18">
        <v>50</v>
      </c>
      <c r="F79" s="18">
        <v>1998</v>
      </c>
      <c r="G79" s="18" t="s">
        <v>138</v>
      </c>
      <c r="H79" s="18"/>
      <c r="I79" s="18"/>
      <c r="J79" s="18"/>
      <c r="K79" s="18"/>
    </row>
    <row r="80" spans="1:11">
      <c r="A80" s="18">
        <v>7</v>
      </c>
      <c r="B80" s="18" t="s">
        <v>231</v>
      </c>
      <c r="C80" s="18" t="s">
        <v>51</v>
      </c>
      <c r="D80" s="18" t="s">
        <v>239</v>
      </c>
      <c r="E80" s="18">
        <v>120</v>
      </c>
      <c r="F80" s="18">
        <v>1998</v>
      </c>
      <c r="G80" s="18"/>
      <c r="H80" s="18" t="s">
        <v>138</v>
      </c>
      <c r="I80" s="18"/>
      <c r="J80" s="18"/>
      <c r="K80" s="18"/>
    </row>
    <row r="81" spans="1:11">
      <c r="A81" s="18">
        <v>8</v>
      </c>
      <c r="B81" s="18" t="s">
        <v>231</v>
      </c>
      <c r="C81" s="18" t="s">
        <v>52</v>
      </c>
      <c r="D81" s="18" t="s">
        <v>240</v>
      </c>
      <c r="E81" s="18">
        <v>110</v>
      </c>
      <c r="F81" s="18">
        <v>1999</v>
      </c>
      <c r="G81" s="18" t="s">
        <v>138</v>
      </c>
      <c r="H81" s="18"/>
      <c r="I81" s="18"/>
      <c r="J81" s="18"/>
      <c r="K81" s="18"/>
    </row>
    <row r="82" spans="1:11">
      <c r="A82" s="18">
        <v>9</v>
      </c>
      <c r="B82" s="18" t="s">
        <v>231</v>
      </c>
      <c r="C82" s="18" t="s">
        <v>53</v>
      </c>
      <c r="D82" s="18" t="s">
        <v>241</v>
      </c>
      <c r="E82" s="18">
        <v>60</v>
      </c>
      <c r="F82" s="18">
        <v>2001</v>
      </c>
      <c r="G82" s="18" t="s">
        <v>138</v>
      </c>
      <c r="H82" s="18"/>
      <c r="I82" s="18"/>
      <c r="J82" s="18"/>
      <c r="K82" s="18"/>
    </row>
    <row r="83" spans="1:11">
      <c r="A83" s="18">
        <v>10</v>
      </c>
      <c r="B83" s="18" t="s">
        <v>231</v>
      </c>
      <c r="C83" s="18" t="s">
        <v>273</v>
      </c>
      <c r="D83" s="18" t="s">
        <v>242</v>
      </c>
      <c r="E83" s="18">
        <v>100</v>
      </c>
      <c r="F83" s="18">
        <v>2001</v>
      </c>
      <c r="G83" s="18"/>
      <c r="H83" s="18" t="s">
        <v>138</v>
      </c>
      <c r="I83" s="18"/>
      <c r="J83" s="18"/>
      <c r="K83" s="18"/>
    </row>
    <row r="84" spans="1:11">
      <c r="A84" s="18">
        <v>11</v>
      </c>
      <c r="B84" s="18" t="s">
        <v>231</v>
      </c>
      <c r="C84" s="18" t="s">
        <v>54</v>
      </c>
      <c r="D84" s="18" t="s">
        <v>243</v>
      </c>
      <c r="E84" s="18">
        <v>90</v>
      </c>
      <c r="F84" s="18">
        <v>2002</v>
      </c>
      <c r="G84" s="18"/>
      <c r="H84" s="18" t="s">
        <v>138</v>
      </c>
      <c r="I84" s="18"/>
      <c r="J84" s="18"/>
      <c r="K84" s="18"/>
    </row>
    <row r="85" spans="1:11">
      <c r="A85" s="18">
        <v>12</v>
      </c>
      <c r="B85" s="18" t="s">
        <v>231</v>
      </c>
      <c r="C85" s="18" t="s">
        <v>55</v>
      </c>
      <c r="D85" s="18" t="s">
        <v>244</v>
      </c>
      <c r="E85" s="18">
        <v>110</v>
      </c>
      <c r="F85" s="18">
        <v>2003</v>
      </c>
      <c r="G85" s="18" t="s">
        <v>138</v>
      </c>
      <c r="H85" s="18"/>
      <c r="I85" s="18"/>
      <c r="J85" s="18"/>
      <c r="K85" s="18"/>
    </row>
    <row r="86" spans="1:11">
      <c r="A86" s="18">
        <v>13</v>
      </c>
      <c r="B86" s="18" t="s">
        <v>231</v>
      </c>
      <c r="C86" s="18" t="s">
        <v>56</v>
      </c>
      <c r="D86" s="18" t="s">
        <v>245</v>
      </c>
      <c r="E86" s="18">
        <v>80</v>
      </c>
      <c r="F86" s="18">
        <v>2003</v>
      </c>
      <c r="G86" s="18" t="s">
        <v>138</v>
      </c>
      <c r="H86" s="18"/>
      <c r="I86" s="18"/>
      <c r="J86" s="18"/>
      <c r="K86" s="18"/>
    </row>
    <row r="87" spans="1:11">
      <c r="A87" s="18">
        <v>14</v>
      </c>
      <c r="B87" s="18" t="s">
        <v>231</v>
      </c>
      <c r="C87" s="18" t="s">
        <v>57</v>
      </c>
      <c r="D87" s="18" t="s">
        <v>246</v>
      </c>
      <c r="E87" s="18">
        <v>110</v>
      </c>
      <c r="F87" s="18">
        <v>2004</v>
      </c>
      <c r="G87" s="18"/>
      <c r="H87" s="18" t="s">
        <v>138</v>
      </c>
      <c r="I87" s="18"/>
      <c r="J87" s="18"/>
      <c r="K87" s="18"/>
    </row>
    <row r="88" spans="1:11">
      <c r="A88" s="18">
        <v>15</v>
      </c>
      <c r="B88" s="18" t="s">
        <v>231</v>
      </c>
      <c r="C88" s="18" t="s">
        <v>58</v>
      </c>
      <c r="D88" s="18" t="s">
        <v>247</v>
      </c>
      <c r="E88" s="18">
        <v>100</v>
      </c>
      <c r="F88" s="18">
        <v>2004</v>
      </c>
      <c r="G88" s="18"/>
      <c r="H88" s="18" t="s">
        <v>138</v>
      </c>
      <c r="I88" s="18"/>
      <c r="J88" s="18"/>
      <c r="K88" s="18"/>
    </row>
    <row r="89" spans="1:11">
      <c r="A89" s="18">
        <v>16</v>
      </c>
      <c r="B89" s="18" t="s">
        <v>231</v>
      </c>
      <c r="C89" s="18" t="s">
        <v>59</v>
      </c>
      <c r="D89" s="18" t="s">
        <v>248</v>
      </c>
      <c r="E89" s="18">
        <v>120</v>
      </c>
      <c r="F89" s="18">
        <v>2005</v>
      </c>
      <c r="G89" s="18" t="s">
        <v>138</v>
      </c>
      <c r="H89" s="18"/>
      <c r="I89" s="18"/>
      <c r="J89" s="18"/>
      <c r="K89" s="18"/>
    </row>
    <row r="90" spans="1:11">
      <c r="A90" s="18">
        <v>17</v>
      </c>
      <c r="B90" s="18" t="s">
        <v>231</v>
      </c>
      <c r="C90" s="18" t="s">
        <v>249</v>
      </c>
      <c r="D90" s="18" t="s">
        <v>250</v>
      </c>
      <c r="E90" s="18">
        <v>60</v>
      </c>
      <c r="F90" s="18">
        <v>2007</v>
      </c>
      <c r="G90" s="18" t="s">
        <v>138</v>
      </c>
      <c r="H90" s="18"/>
      <c r="I90" s="18"/>
      <c r="J90" s="18"/>
      <c r="K90" s="18"/>
    </row>
    <row r="91" spans="1:11">
      <c r="A91" s="23"/>
      <c r="B91" s="23" t="s">
        <v>251</v>
      </c>
      <c r="C91" s="23"/>
      <c r="D91" s="26">
        <f>COUNT(A92:A98)</f>
        <v>7</v>
      </c>
      <c r="E91" s="23"/>
      <c r="F91" s="23"/>
      <c r="G91" s="26">
        <f>COUNTA(G92:G98)</f>
        <v>0</v>
      </c>
      <c r="H91" s="26">
        <f>COUNTA(H92:H98)</f>
        <v>7</v>
      </c>
      <c r="I91" s="26"/>
      <c r="J91" s="23"/>
      <c r="K91" s="23"/>
    </row>
    <row r="92" spans="1:11">
      <c r="A92" s="18">
        <v>1</v>
      </c>
      <c r="B92" s="18" t="s">
        <v>251</v>
      </c>
      <c r="C92" s="19" t="s">
        <v>252</v>
      </c>
      <c r="D92" s="18" t="s">
        <v>253</v>
      </c>
      <c r="E92" s="18">
        <v>80</v>
      </c>
      <c r="F92" s="18">
        <v>2003</v>
      </c>
      <c r="G92" s="18"/>
      <c r="H92" s="18" t="s">
        <v>138</v>
      </c>
      <c r="I92" s="18"/>
      <c r="J92" s="18"/>
      <c r="K92" s="18"/>
    </row>
    <row r="93" spans="1:11">
      <c r="A93" s="18">
        <v>2</v>
      </c>
      <c r="B93" s="18" t="s">
        <v>251</v>
      </c>
      <c r="C93" s="19" t="s">
        <v>254</v>
      </c>
      <c r="D93" s="18" t="s">
        <v>255</v>
      </c>
      <c r="E93" s="18">
        <v>110</v>
      </c>
      <c r="F93" s="18">
        <v>2004</v>
      </c>
      <c r="G93" s="18"/>
      <c r="H93" s="18" t="s">
        <v>138</v>
      </c>
      <c r="I93" s="18"/>
      <c r="J93" s="18"/>
      <c r="K93" s="18"/>
    </row>
    <row r="94" spans="1:11">
      <c r="A94" s="18">
        <v>3</v>
      </c>
      <c r="B94" s="18" t="s">
        <v>251</v>
      </c>
      <c r="C94" s="19" t="s">
        <v>256</v>
      </c>
      <c r="D94" s="18" t="s">
        <v>257</v>
      </c>
      <c r="E94" s="18">
        <v>50</v>
      </c>
      <c r="F94" s="18">
        <v>2006</v>
      </c>
      <c r="G94" s="18"/>
      <c r="H94" s="18" t="s">
        <v>138</v>
      </c>
      <c r="I94" s="18"/>
      <c r="J94" s="18"/>
      <c r="K94" s="18"/>
    </row>
    <row r="95" spans="1:11">
      <c r="A95" s="18">
        <v>4</v>
      </c>
      <c r="B95" s="18" t="s">
        <v>251</v>
      </c>
      <c r="C95" s="19" t="s">
        <v>61</v>
      </c>
      <c r="D95" s="18" t="s">
        <v>258</v>
      </c>
      <c r="E95" s="18">
        <v>100</v>
      </c>
      <c r="F95" s="18">
        <v>2009</v>
      </c>
      <c r="G95" s="18"/>
      <c r="H95" s="18" t="s">
        <v>138</v>
      </c>
      <c r="I95" s="18"/>
      <c r="J95" s="18"/>
      <c r="K95" s="18"/>
    </row>
    <row r="96" spans="1:11">
      <c r="A96" s="18">
        <v>5</v>
      </c>
      <c r="B96" s="18" t="s">
        <v>251</v>
      </c>
      <c r="C96" s="19" t="s">
        <v>62</v>
      </c>
      <c r="D96" s="18" t="s">
        <v>259</v>
      </c>
      <c r="E96" s="18">
        <v>110</v>
      </c>
      <c r="F96" s="18">
        <v>2009</v>
      </c>
      <c r="G96" s="18"/>
      <c r="H96" s="18" t="s">
        <v>138</v>
      </c>
      <c r="I96" s="18"/>
      <c r="J96" s="18"/>
      <c r="K96" s="18"/>
    </row>
    <row r="97" spans="1:11">
      <c r="A97" s="18">
        <v>6</v>
      </c>
      <c r="B97" s="18" t="s">
        <v>251</v>
      </c>
      <c r="C97" s="19" t="s">
        <v>260</v>
      </c>
      <c r="D97" s="18" t="s">
        <v>261</v>
      </c>
      <c r="E97" s="18">
        <v>60</v>
      </c>
      <c r="F97" s="18">
        <v>2012</v>
      </c>
      <c r="G97" s="18"/>
      <c r="H97" s="18" t="s">
        <v>138</v>
      </c>
      <c r="I97" s="18"/>
      <c r="J97" s="18"/>
      <c r="K97" s="18"/>
    </row>
    <row r="98" spans="1:11">
      <c r="A98" s="18">
        <v>7</v>
      </c>
      <c r="B98" s="18" t="s">
        <v>251</v>
      </c>
      <c r="C98" s="19" t="s">
        <v>262</v>
      </c>
      <c r="D98" s="18" t="s">
        <v>263</v>
      </c>
      <c r="E98" s="18">
        <v>60</v>
      </c>
      <c r="F98" s="18">
        <v>2013</v>
      </c>
      <c r="G98" s="18"/>
      <c r="H98" s="18" t="s">
        <v>138</v>
      </c>
      <c r="I98" s="18"/>
      <c r="J98" s="18"/>
      <c r="K98" s="18"/>
    </row>
    <row r="99" spans="1:11">
      <c r="A99" s="23"/>
      <c r="B99" s="23" t="s">
        <v>264</v>
      </c>
      <c r="C99" s="23"/>
      <c r="D99" s="26">
        <f>COUNT(A100:A103)</f>
        <v>4</v>
      </c>
      <c r="E99" s="23"/>
      <c r="F99" s="23"/>
      <c r="G99" s="26">
        <f>COUNTA(G100:G103)</f>
        <v>4</v>
      </c>
      <c r="H99" s="26">
        <f>COUNTA(H100:H103)</f>
        <v>0</v>
      </c>
      <c r="I99" s="26"/>
      <c r="J99" s="23"/>
      <c r="K99" s="23"/>
    </row>
    <row r="100" spans="1:11">
      <c r="A100" s="18">
        <v>1</v>
      </c>
      <c r="B100" s="18" t="s">
        <v>264</v>
      </c>
      <c r="C100" s="18" t="s">
        <v>265</v>
      </c>
      <c r="D100" s="18" t="s">
        <v>266</v>
      </c>
      <c r="E100" s="18">
        <v>80</v>
      </c>
      <c r="F100" s="18">
        <v>1998</v>
      </c>
      <c r="G100" s="18" t="s">
        <v>138</v>
      </c>
      <c r="H100" s="18"/>
      <c r="I100" s="18"/>
      <c r="J100" s="18"/>
      <c r="K100" s="18"/>
    </row>
    <row r="101" spans="1:11">
      <c r="A101" s="18">
        <v>2</v>
      </c>
      <c r="B101" s="18" t="s">
        <v>264</v>
      </c>
      <c r="C101" s="18" t="s">
        <v>267</v>
      </c>
      <c r="D101" s="18" t="s">
        <v>268</v>
      </c>
      <c r="E101" s="18">
        <v>90</v>
      </c>
      <c r="F101" s="18">
        <v>1999</v>
      </c>
      <c r="G101" s="18" t="s">
        <v>138</v>
      </c>
      <c r="H101" s="18"/>
      <c r="I101" s="18"/>
      <c r="J101" s="18"/>
      <c r="K101" s="18"/>
    </row>
    <row r="102" spans="1:11">
      <c r="A102" s="18">
        <v>3</v>
      </c>
      <c r="B102" s="18" t="s">
        <v>264</v>
      </c>
      <c r="C102" s="18" t="s">
        <v>269</v>
      </c>
      <c r="D102" s="18" t="s">
        <v>270</v>
      </c>
      <c r="E102" s="18">
        <v>60</v>
      </c>
      <c r="F102" s="18">
        <v>1998</v>
      </c>
      <c r="G102" s="18" t="s">
        <v>138</v>
      </c>
      <c r="H102" s="18"/>
      <c r="I102" s="18"/>
      <c r="J102" s="18"/>
      <c r="K102" s="18"/>
    </row>
    <row r="103" spans="1:11">
      <c r="A103" s="18">
        <v>4</v>
      </c>
      <c r="B103" s="18" t="s">
        <v>264</v>
      </c>
      <c r="C103" s="18" t="s">
        <v>271</v>
      </c>
      <c r="D103" s="18" t="s">
        <v>272</v>
      </c>
      <c r="E103" s="18">
        <v>80</v>
      </c>
      <c r="F103" s="18">
        <v>2000</v>
      </c>
      <c r="G103" s="18" t="s">
        <v>138</v>
      </c>
      <c r="H103" s="18"/>
      <c r="I103" s="18"/>
      <c r="J103" s="18"/>
      <c r="K103" s="18"/>
    </row>
    <row r="105" spans="1:11" ht="36.75" customHeight="1">
      <c r="A105" s="140" t="s">
        <v>275</v>
      </c>
      <c r="B105" s="140"/>
      <c r="C105" s="140"/>
      <c r="D105" s="140"/>
      <c r="E105" s="140"/>
      <c r="F105" s="140"/>
      <c r="G105" s="140"/>
      <c r="H105" s="140"/>
      <c r="I105" s="140"/>
      <c r="J105" s="140"/>
      <c r="K105" s="140"/>
    </row>
    <row r="106" spans="1:11">
      <c r="A106" s="137" t="s">
        <v>99</v>
      </c>
      <c r="B106" s="141" t="s">
        <v>126</v>
      </c>
      <c r="C106" s="142"/>
      <c r="D106" s="137" t="s">
        <v>127</v>
      </c>
      <c r="E106" s="137" t="s">
        <v>93</v>
      </c>
      <c r="F106" s="137" t="s">
        <v>128</v>
      </c>
      <c r="G106" s="145" t="s">
        <v>129</v>
      </c>
      <c r="H106" s="146"/>
      <c r="I106" s="146"/>
      <c r="J106" s="147"/>
      <c r="K106" s="137" t="s">
        <v>130</v>
      </c>
    </row>
    <row r="107" spans="1:11">
      <c r="A107" s="138"/>
      <c r="B107" s="143"/>
      <c r="C107" s="144"/>
      <c r="D107" s="138"/>
      <c r="E107" s="138"/>
      <c r="F107" s="138"/>
      <c r="G107" s="28" t="s">
        <v>118</v>
      </c>
      <c r="H107" s="28" t="s">
        <v>121</v>
      </c>
      <c r="I107" s="28" t="s">
        <v>123</v>
      </c>
      <c r="J107" s="21"/>
      <c r="K107" s="138"/>
    </row>
    <row r="108" spans="1:11">
      <c r="A108" s="139"/>
      <c r="B108" s="18" t="s">
        <v>134</v>
      </c>
      <c r="C108" s="18" t="s">
        <v>102</v>
      </c>
      <c r="D108" s="139"/>
      <c r="E108" s="139"/>
      <c r="F108" s="139"/>
      <c r="G108" s="29" t="s">
        <v>131</v>
      </c>
      <c r="H108" s="29" t="s">
        <v>132</v>
      </c>
      <c r="I108" s="29" t="s">
        <v>133</v>
      </c>
      <c r="J108" s="22"/>
      <c r="K108" s="139"/>
    </row>
    <row r="109" spans="1:11">
      <c r="A109" s="22"/>
      <c r="B109" s="18"/>
      <c r="C109" s="18"/>
      <c r="D109" s="27">
        <f>D110+D126+D136+D138+D146+D163+D172</f>
        <v>70</v>
      </c>
      <c r="E109" s="22"/>
      <c r="F109" s="22"/>
      <c r="G109" s="27">
        <f>G110+G126+G136+G138+G146+G163+G172</f>
        <v>22</v>
      </c>
      <c r="H109" s="27">
        <f>H110+H126+H136+H138+H146+H163+H172</f>
        <v>47</v>
      </c>
      <c r="I109" s="27">
        <f>I110+I126+I136+I138+I146+I163+I172</f>
        <v>1</v>
      </c>
      <c r="J109" s="22"/>
      <c r="K109" s="22"/>
    </row>
    <row r="110" spans="1:11">
      <c r="A110" s="23"/>
      <c r="B110" s="23" t="s">
        <v>157</v>
      </c>
      <c r="C110" s="23"/>
      <c r="D110" s="26">
        <f>COUNT(A111:A125)</f>
        <v>15</v>
      </c>
      <c r="E110" s="23"/>
      <c r="F110" s="23"/>
      <c r="G110" s="26">
        <f>COUNTA(G111:G125)</f>
        <v>3</v>
      </c>
      <c r="H110" s="26">
        <f>COUNTA(H111:H125)</f>
        <v>12</v>
      </c>
      <c r="I110" s="26">
        <f>COUNTA(I111:I125)</f>
        <v>0</v>
      </c>
      <c r="J110" s="23"/>
      <c r="K110" s="23"/>
    </row>
    <row r="111" spans="1:11">
      <c r="A111" s="18">
        <v>1</v>
      </c>
      <c r="B111" s="18" t="s">
        <v>157</v>
      </c>
      <c r="C111" s="18" t="s">
        <v>276</v>
      </c>
      <c r="D111" s="18" t="s">
        <v>277</v>
      </c>
      <c r="E111" s="18">
        <v>60</v>
      </c>
      <c r="F111" s="18">
        <v>1977</v>
      </c>
      <c r="G111" s="18"/>
      <c r="H111" s="18" t="s">
        <v>138</v>
      </c>
      <c r="I111" s="18"/>
      <c r="J111" s="18"/>
      <c r="K111" s="18"/>
    </row>
    <row r="112" spans="1:11">
      <c r="A112" s="18">
        <v>2</v>
      </c>
      <c r="B112" s="18" t="s">
        <v>157</v>
      </c>
      <c r="C112" s="18" t="s">
        <v>278</v>
      </c>
      <c r="D112" s="18" t="s">
        <v>279</v>
      </c>
      <c r="E112" s="18">
        <v>30</v>
      </c>
      <c r="F112" s="18">
        <v>1977</v>
      </c>
      <c r="G112" s="18"/>
      <c r="H112" s="18" t="s">
        <v>138</v>
      </c>
      <c r="I112" s="18"/>
      <c r="J112" s="18"/>
      <c r="K112" s="18"/>
    </row>
    <row r="113" spans="1:11">
      <c r="A113" s="18">
        <v>3</v>
      </c>
      <c r="B113" s="18" t="s">
        <v>157</v>
      </c>
      <c r="C113" s="18" t="s">
        <v>280</v>
      </c>
      <c r="D113" s="18" t="s">
        <v>281</v>
      </c>
      <c r="E113" s="18">
        <v>10</v>
      </c>
      <c r="F113" s="18">
        <v>1978</v>
      </c>
      <c r="G113" s="18"/>
      <c r="H113" s="18" t="s">
        <v>138</v>
      </c>
      <c r="I113" s="18"/>
      <c r="J113" s="18"/>
      <c r="K113" s="18"/>
    </row>
    <row r="114" spans="1:11">
      <c r="A114" s="18">
        <v>4</v>
      </c>
      <c r="B114" s="18" t="s">
        <v>157</v>
      </c>
      <c r="C114" s="18" t="s">
        <v>282</v>
      </c>
      <c r="D114" s="18" t="s">
        <v>283</v>
      </c>
      <c r="E114" s="18">
        <v>30</v>
      </c>
      <c r="F114" s="18">
        <v>1978</v>
      </c>
      <c r="G114" s="18" t="s">
        <v>138</v>
      </c>
      <c r="H114" s="18"/>
      <c r="I114" s="18"/>
      <c r="J114" s="18"/>
      <c r="K114" s="18"/>
    </row>
    <row r="115" spans="1:11">
      <c r="A115" s="18">
        <v>5</v>
      </c>
      <c r="B115" s="18" t="s">
        <v>157</v>
      </c>
      <c r="C115" s="18" t="s">
        <v>284</v>
      </c>
      <c r="D115" s="18" t="s">
        <v>285</v>
      </c>
      <c r="E115" s="18">
        <v>40</v>
      </c>
      <c r="F115" s="18">
        <v>1979</v>
      </c>
      <c r="G115" s="18"/>
      <c r="H115" s="18" t="s">
        <v>138</v>
      </c>
      <c r="I115" s="18"/>
      <c r="J115" s="18"/>
      <c r="K115" s="18"/>
    </row>
    <row r="116" spans="1:11">
      <c r="A116" s="18">
        <v>6</v>
      </c>
      <c r="B116" s="18" t="s">
        <v>157</v>
      </c>
      <c r="C116" s="18" t="s">
        <v>278</v>
      </c>
      <c r="D116" s="18" t="s">
        <v>286</v>
      </c>
      <c r="E116" s="18">
        <v>30</v>
      </c>
      <c r="F116" s="18">
        <v>1979</v>
      </c>
      <c r="G116" s="18"/>
      <c r="H116" s="18" t="s">
        <v>138</v>
      </c>
      <c r="I116" s="18"/>
      <c r="J116" s="18"/>
      <c r="K116" s="18"/>
    </row>
    <row r="117" spans="1:11">
      <c r="A117" s="18">
        <v>7</v>
      </c>
      <c r="B117" s="18" t="s">
        <v>157</v>
      </c>
      <c r="C117" s="18" t="s">
        <v>278</v>
      </c>
      <c r="D117" s="18" t="s">
        <v>287</v>
      </c>
      <c r="E117" s="18">
        <v>30</v>
      </c>
      <c r="F117" s="18">
        <v>1979</v>
      </c>
      <c r="G117" s="18"/>
      <c r="H117" s="18" t="s">
        <v>138</v>
      </c>
      <c r="I117" s="18"/>
      <c r="J117" s="18"/>
      <c r="K117" s="18"/>
    </row>
    <row r="118" spans="1:11">
      <c r="A118" s="18">
        <v>8</v>
      </c>
      <c r="B118" s="18" t="s">
        <v>157</v>
      </c>
      <c r="C118" s="18" t="s">
        <v>288</v>
      </c>
      <c r="D118" s="18" t="s">
        <v>289</v>
      </c>
      <c r="E118" s="18">
        <v>20</v>
      </c>
      <c r="F118" s="18">
        <v>1982</v>
      </c>
      <c r="G118" s="18"/>
      <c r="H118" s="18" t="s">
        <v>138</v>
      </c>
      <c r="I118" s="18"/>
      <c r="J118" s="18"/>
      <c r="K118" s="18"/>
    </row>
    <row r="119" spans="1:11">
      <c r="A119" s="18">
        <v>9</v>
      </c>
      <c r="B119" s="18" t="s">
        <v>157</v>
      </c>
      <c r="C119" s="18" t="s">
        <v>290</v>
      </c>
      <c r="D119" s="18" t="s">
        <v>291</v>
      </c>
      <c r="E119" s="18">
        <v>20</v>
      </c>
      <c r="F119" s="18">
        <v>1982</v>
      </c>
      <c r="G119" s="18"/>
      <c r="H119" s="18" t="s">
        <v>138</v>
      </c>
      <c r="I119" s="18"/>
      <c r="J119" s="18"/>
      <c r="K119" s="18"/>
    </row>
    <row r="120" spans="1:11">
      <c r="A120" s="18">
        <v>10</v>
      </c>
      <c r="B120" s="18" t="s">
        <v>157</v>
      </c>
      <c r="C120" s="18" t="s">
        <v>290</v>
      </c>
      <c r="D120" s="18" t="s">
        <v>292</v>
      </c>
      <c r="E120" s="18">
        <v>20</v>
      </c>
      <c r="F120" s="18">
        <v>1982</v>
      </c>
      <c r="G120" s="18"/>
      <c r="H120" s="18" t="s">
        <v>138</v>
      </c>
      <c r="I120" s="18"/>
      <c r="J120" s="18"/>
      <c r="K120" s="18"/>
    </row>
    <row r="121" spans="1:11">
      <c r="A121" s="18">
        <v>11</v>
      </c>
      <c r="B121" s="18" t="s">
        <v>157</v>
      </c>
      <c r="C121" s="18" t="s">
        <v>66</v>
      </c>
      <c r="D121" s="18" t="s">
        <v>293</v>
      </c>
      <c r="E121" s="18">
        <v>50</v>
      </c>
      <c r="F121" s="18">
        <v>1996</v>
      </c>
      <c r="G121" s="18" t="s">
        <v>138</v>
      </c>
      <c r="H121" s="18"/>
      <c r="I121" s="18"/>
      <c r="J121" s="18"/>
      <c r="K121" s="18"/>
    </row>
    <row r="122" spans="1:11">
      <c r="A122" s="18">
        <v>12</v>
      </c>
      <c r="B122" s="18" t="s">
        <v>157</v>
      </c>
      <c r="C122" s="18" t="s">
        <v>67</v>
      </c>
      <c r="D122" s="18" t="s">
        <v>294</v>
      </c>
      <c r="E122" s="18">
        <v>40</v>
      </c>
      <c r="F122" s="18">
        <v>1996</v>
      </c>
      <c r="G122" s="18" t="s">
        <v>138</v>
      </c>
      <c r="H122" s="18"/>
      <c r="I122" s="18"/>
      <c r="J122" s="18"/>
      <c r="K122" s="18"/>
    </row>
    <row r="123" spans="1:11">
      <c r="A123" s="18">
        <v>13</v>
      </c>
      <c r="B123" s="18" t="s">
        <v>157</v>
      </c>
      <c r="C123" s="18" t="s">
        <v>10</v>
      </c>
      <c r="D123" s="18" t="s">
        <v>295</v>
      </c>
      <c r="E123" s="18">
        <v>10</v>
      </c>
      <c r="F123" s="18">
        <v>2010</v>
      </c>
      <c r="G123" s="18"/>
      <c r="H123" s="18" t="s">
        <v>138</v>
      </c>
      <c r="I123" s="18"/>
      <c r="J123" s="18"/>
      <c r="K123" s="18"/>
    </row>
    <row r="124" spans="1:11">
      <c r="A124" s="18">
        <v>14</v>
      </c>
      <c r="B124" s="18" t="s">
        <v>157</v>
      </c>
      <c r="C124" s="18" t="s">
        <v>290</v>
      </c>
      <c r="D124" s="18" t="s">
        <v>296</v>
      </c>
      <c r="E124" s="18">
        <v>30</v>
      </c>
      <c r="F124" s="18">
        <v>2012</v>
      </c>
      <c r="G124" s="18"/>
      <c r="H124" s="18" t="s">
        <v>138</v>
      </c>
      <c r="I124" s="18"/>
      <c r="J124" s="18"/>
      <c r="K124" s="18"/>
    </row>
    <row r="125" spans="1:11">
      <c r="A125" s="18">
        <v>15</v>
      </c>
      <c r="B125" s="18" t="s">
        <v>157</v>
      </c>
      <c r="C125" s="18" t="s">
        <v>297</v>
      </c>
      <c r="D125" s="18" t="s">
        <v>298</v>
      </c>
      <c r="E125" s="18">
        <v>30</v>
      </c>
      <c r="F125" s="18">
        <v>2013</v>
      </c>
      <c r="G125" s="18"/>
      <c r="H125" s="18" t="s">
        <v>138</v>
      </c>
      <c r="I125" s="18"/>
      <c r="J125" s="18"/>
      <c r="K125" s="18"/>
    </row>
    <row r="126" spans="1:11">
      <c r="A126" s="23"/>
      <c r="B126" s="23" t="s">
        <v>173</v>
      </c>
      <c r="C126" s="23"/>
      <c r="D126" s="26">
        <f>COUNTA(D127:D135)</f>
        <v>9</v>
      </c>
      <c r="E126" s="23"/>
      <c r="F126" s="23"/>
      <c r="G126" s="26">
        <f>COUNTA(G127:G135)</f>
        <v>9</v>
      </c>
      <c r="H126" s="26">
        <f>COUNTA(H127:H135)</f>
        <v>0</v>
      </c>
      <c r="I126" s="26">
        <f>COUNTA(I127:I135)</f>
        <v>0</v>
      </c>
      <c r="J126" s="23"/>
      <c r="K126" s="23"/>
    </row>
    <row r="127" spans="1:11">
      <c r="A127" s="18">
        <v>1</v>
      </c>
      <c r="B127" s="18" t="s">
        <v>173</v>
      </c>
      <c r="C127" s="18" t="s">
        <v>299</v>
      </c>
      <c r="D127" s="18" t="s">
        <v>300</v>
      </c>
      <c r="E127" s="18">
        <v>30</v>
      </c>
      <c r="F127" s="18">
        <v>1974</v>
      </c>
      <c r="G127" s="18" t="s">
        <v>138</v>
      </c>
      <c r="H127" s="18"/>
      <c r="I127" s="18"/>
      <c r="J127" s="18"/>
      <c r="K127" s="18"/>
    </row>
    <row r="128" spans="1:11">
      <c r="A128" s="18">
        <v>2</v>
      </c>
      <c r="B128" s="18" t="s">
        <v>173</v>
      </c>
      <c r="C128" s="18" t="s">
        <v>68</v>
      </c>
      <c r="D128" s="18" t="s">
        <v>301</v>
      </c>
      <c r="E128" s="18">
        <v>40</v>
      </c>
      <c r="F128" s="18">
        <v>1975</v>
      </c>
      <c r="G128" s="18" t="s">
        <v>138</v>
      </c>
      <c r="H128" s="18"/>
      <c r="I128" s="18"/>
      <c r="J128" s="18"/>
      <c r="K128" s="18"/>
    </row>
    <row r="129" spans="1:11">
      <c r="A129" s="18">
        <v>3</v>
      </c>
      <c r="B129" s="18" t="s">
        <v>173</v>
      </c>
      <c r="C129" s="18" t="s">
        <v>302</v>
      </c>
      <c r="D129" s="18" t="s">
        <v>303</v>
      </c>
      <c r="E129" s="18">
        <v>40</v>
      </c>
      <c r="F129" s="18">
        <v>1983</v>
      </c>
      <c r="G129" s="18" t="s">
        <v>138</v>
      </c>
      <c r="H129" s="18"/>
      <c r="I129" s="18"/>
      <c r="J129" s="18"/>
      <c r="K129" s="18"/>
    </row>
    <row r="130" spans="1:11">
      <c r="A130" s="18">
        <v>4</v>
      </c>
      <c r="B130" s="18" t="s">
        <v>173</v>
      </c>
      <c r="C130" s="18" t="s">
        <v>302</v>
      </c>
      <c r="D130" s="18" t="s">
        <v>304</v>
      </c>
      <c r="E130" s="18">
        <v>40</v>
      </c>
      <c r="F130" s="18">
        <v>1984</v>
      </c>
      <c r="G130" s="18" t="s">
        <v>138</v>
      </c>
      <c r="H130" s="18"/>
      <c r="I130" s="18"/>
      <c r="J130" s="18"/>
      <c r="K130" s="18"/>
    </row>
    <row r="131" spans="1:11">
      <c r="A131" s="18">
        <v>5</v>
      </c>
      <c r="B131" s="18" t="s">
        <v>173</v>
      </c>
      <c r="C131" s="18" t="s">
        <v>305</v>
      </c>
      <c r="D131" s="18" t="s">
        <v>306</v>
      </c>
      <c r="E131" s="18">
        <v>30</v>
      </c>
      <c r="F131" s="18">
        <v>1984</v>
      </c>
      <c r="G131" s="18" t="s">
        <v>138</v>
      </c>
      <c r="H131" s="18"/>
      <c r="I131" s="18"/>
      <c r="J131" s="18"/>
      <c r="K131" s="18"/>
    </row>
    <row r="132" spans="1:11">
      <c r="A132" s="18">
        <v>6</v>
      </c>
      <c r="B132" s="18" t="s">
        <v>173</v>
      </c>
      <c r="C132" s="18" t="s">
        <v>307</v>
      </c>
      <c r="D132" s="18" t="s">
        <v>308</v>
      </c>
      <c r="E132" s="18">
        <v>40</v>
      </c>
      <c r="F132" s="18">
        <v>1985</v>
      </c>
      <c r="G132" s="18" t="s">
        <v>138</v>
      </c>
      <c r="H132" s="18"/>
      <c r="I132" s="18"/>
      <c r="J132" s="18"/>
      <c r="K132" s="18"/>
    </row>
    <row r="133" spans="1:11">
      <c r="A133" s="18">
        <v>7</v>
      </c>
      <c r="B133" s="18" t="s">
        <v>173</v>
      </c>
      <c r="C133" s="18" t="s">
        <v>299</v>
      </c>
      <c r="D133" s="18" t="s">
        <v>309</v>
      </c>
      <c r="E133" s="18">
        <v>40</v>
      </c>
      <c r="F133" s="18">
        <v>1985</v>
      </c>
      <c r="G133" s="18" t="s">
        <v>138</v>
      </c>
      <c r="H133" s="18"/>
      <c r="I133" s="18"/>
      <c r="J133" s="18"/>
      <c r="K133" s="18"/>
    </row>
    <row r="134" spans="1:11">
      <c r="A134" s="18">
        <v>8</v>
      </c>
      <c r="B134" s="18" t="s">
        <v>173</v>
      </c>
      <c r="C134" s="18" t="s">
        <v>302</v>
      </c>
      <c r="D134" s="18" t="s">
        <v>310</v>
      </c>
      <c r="E134" s="18">
        <v>30</v>
      </c>
      <c r="F134" s="18">
        <v>1985</v>
      </c>
      <c r="G134" s="18" t="s">
        <v>138</v>
      </c>
      <c r="H134" s="18"/>
      <c r="I134" s="18"/>
      <c r="J134" s="18"/>
      <c r="K134" s="18"/>
    </row>
    <row r="135" spans="1:11">
      <c r="A135" s="18">
        <v>9</v>
      </c>
      <c r="B135" s="18" t="s">
        <v>173</v>
      </c>
      <c r="C135" s="18" t="s">
        <v>311</v>
      </c>
      <c r="D135" s="18" t="s">
        <v>312</v>
      </c>
      <c r="E135" s="18">
        <v>30</v>
      </c>
      <c r="F135" s="18">
        <v>2001</v>
      </c>
      <c r="G135" s="18" t="s">
        <v>138</v>
      </c>
      <c r="H135" s="18"/>
      <c r="I135" s="18"/>
      <c r="J135" s="18"/>
      <c r="K135" s="18"/>
    </row>
    <row r="136" spans="1:11">
      <c r="A136" s="23"/>
      <c r="B136" s="23" t="s">
        <v>188</v>
      </c>
      <c r="C136" s="23"/>
      <c r="D136" s="26">
        <f>COUNTA(D137)</f>
        <v>1</v>
      </c>
      <c r="E136" s="23"/>
      <c r="F136" s="23"/>
      <c r="G136" s="26">
        <f>COUNTA(G137)</f>
        <v>1</v>
      </c>
      <c r="H136" s="26">
        <f>COUNTA(H137)</f>
        <v>0</v>
      </c>
      <c r="I136" s="26">
        <f>COUNTA(I137)</f>
        <v>0</v>
      </c>
      <c r="J136" s="23"/>
      <c r="K136" s="23"/>
    </row>
    <row r="137" spans="1:11">
      <c r="A137" s="18">
        <v>1</v>
      </c>
      <c r="B137" s="18" t="s">
        <v>188</v>
      </c>
      <c r="C137" s="18" t="s">
        <v>313</v>
      </c>
      <c r="D137" s="18" t="s">
        <v>314</v>
      </c>
      <c r="E137" s="18">
        <v>30</v>
      </c>
      <c r="F137" s="18">
        <v>1982</v>
      </c>
      <c r="G137" s="18" t="s">
        <v>138</v>
      </c>
      <c r="H137" s="18"/>
      <c r="I137" s="18"/>
      <c r="J137" s="18"/>
      <c r="K137" s="18"/>
    </row>
    <row r="138" spans="1:11">
      <c r="A138" s="23"/>
      <c r="B138" s="23" t="s">
        <v>192</v>
      </c>
      <c r="C138" s="23"/>
      <c r="D138" s="26">
        <f>COUNTA(D139:D145)</f>
        <v>7</v>
      </c>
      <c r="E138" s="23"/>
      <c r="F138" s="23"/>
      <c r="G138" s="26">
        <f>COUNTA(G139:G145)</f>
        <v>1</v>
      </c>
      <c r="H138" s="26">
        <f>COUNTA(H139:H145)</f>
        <v>6</v>
      </c>
      <c r="I138" s="26">
        <f>COUNTA(I139:I145)</f>
        <v>0</v>
      </c>
      <c r="J138" s="23"/>
      <c r="K138" s="23"/>
    </row>
    <row r="139" spans="1:11">
      <c r="A139" s="18">
        <v>1</v>
      </c>
      <c r="B139" s="18" t="s">
        <v>192</v>
      </c>
      <c r="C139" s="18" t="s">
        <v>315</v>
      </c>
      <c r="D139" s="18" t="s">
        <v>316</v>
      </c>
      <c r="E139" s="18">
        <v>50</v>
      </c>
      <c r="F139" s="18">
        <v>2004</v>
      </c>
      <c r="G139" s="18"/>
      <c r="H139" s="18" t="s">
        <v>138</v>
      </c>
      <c r="I139" s="18"/>
      <c r="J139" s="18"/>
      <c r="K139" s="18"/>
    </row>
    <row r="140" spans="1:11">
      <c r="A140" s="18">
        <v>2</v>
      </c>
      <c r="B140" s="18" t="s">
        <v>192</v>
      </c>
      <c r="C140" s="18" t="s">
        <v>317</v>
      </c>
      <c r="D140" s="18" t="s">
        <v>318</v>
      </c>
      <c r="E140" s="18">
        <v>50</v>
      </c>
      <c r="F140" s="18">
        <v>2007</v>
      </c>
      <c r="G140" s="18"/>
      <c r="H140" s="18" t="s">
        <v>138</v>
      </c>
      <c r="I140" s="18"/>
      <c r="J140" s="18"/>
      <c r="K140" s="18"/>
    </row>
    <row r="141" spans="1:11">
      <c r="A141" s="18">
        <v>3</v>
      </c>
      <c r="B141" s="18" t="s">
        <v>192</v>
      </c>
      <c r="C141" s="18" t="s">
        <v>32</v>
      </c>
      <c r="D141" s="18" t="s">
        <v>319</v>
      </c>
      <c r="E141" s="18">
        <v>30</v>
      </c>
      <c r="F141" s="18">
        <v>2012</v>
      </c>
      <c r="G141" s="18"/>
      <c r="H141" s="18" t="s">
        <v>138</v>
      </c>
      <c r="I141" s="18"/>
      <c r="J141" s="18"/>
      <c r="K141" s="18"/>
    </row>
    <row r="142" spans="1:11">
      <c r="A142" s="18">
        <v>4</v>
      </c>
      <c r="B142" s="18" t="s">
        <v>192</v>
      </c>
      <c r="C142" s="18" t="s">
        <v>320</v>
      </c>
      <c r="D142" s="18" t="s">
        <v>321</v>
      </c>
      <c r="E142" s="18">
        <v>50</v>
      </c>
      <c r="F142" s="18">
        <v>2000</v>
      </c>
      <c r="G142" s="18"/>
      <c r="H142" s="18" t="s">
        <v>138</v>
      </c>
      <c r="I142" s="18"/>
      <c r="J142" s="18"/>
      <c r="K142" s="18"/>
    </row>
    <row r="143" spans="1:11">
      <c r="A143" s="18">
        <v>5</v>
      </c>
      <c r="B143" s="18" t="s">
        <v>192</v>
      </c>
      <c r="C143" s="18" t="s">
        <v>322</v>
      </c>
      <c r="D143" s="18" t="s">
        <v>323</v>
      </c>
      <c r="E143" s="18">
        <v>40</v>
      </c>
      <c r="F143" s="18">
        <v>2006</v>
      </c>
      <c r="G143" s="18"/>
      <c r="H143" s="18" t="s">
        <v>138</v>
      </c>
      <c r="I143" s="18"/>
      <c r="J143" s="18"/>
      <c r="K143" s="18"/>
    </row>
    <row r="144" spans="1:11">
      <c r="A144" s="18">
        <v>6</v>
      </c>
      <c r="B144" s="18" t="s">
        <v>192</v>
      </c>
      <c r="C144" s="18" t="s">
        <v>32</v>
      </c>
      <c r="D144" s="18" t="s">
        <v>324</v>
      </c>
      <c r="E144" s="18">
        <v>50</v>
      </c>
      <c r="F144" s="18">
        <v>2008</v>
      </c>
      <c r="G144" s="18"/>
      <c r="H144" s="18" t="s">
        <v>138</v>
      </c>
      <c r="I144" s="18"/>
      <c r="J144" s="18"/>
      <c r="K144" s="18"/>
    </row>
    <row r="145" spans="1:11">
      <c r="A145" s="18">
        <v>7</v>
      </c>
      <c r="B145" s="18" t="s">
        <v>192</v>
      </c>
      <c r="C145" s="18" t="s">
        <v>325</v>
      </c>
      <c r="D145" s="18" t="s">
        <v>326</v>
      </c>
      <c r="E145" s="18">
        <v>50</v>
      </c>
      <c r="F145" s="18">
        <v>2008</v>
      </c>
      <c r="G145" s="18" t="s">
        <v>138</v>
      </c>
      <c r="H145" s="18"/>
      <c r="I145" s="18"/>
      <c r="J145" s="18"/>
      <c r="K145" s="18"/>
    </row>
    <row r="146" spans="1:11">
      <c r="A146" s="23"/>
      <c r="B146" s="23" t="s">
        <v>216</v>
      </c>
      <c r="C146" s="23"/>
      <c r="D146" s="26">
        <f>COUNTA(D147:D162)</f>
        <v>16</v>
      </c>
      <c r="E146" s="23"/>
      <c r="F146" s="23"/>
      <c r="G146" s="26">
        <f>COUNTA(G147:G162)</f>
        <v>0</v>
      </c>
      <c r="H146" s="26">
        <f>COUNTA(H147:H162)</f>
        <v>15</v>
      </c>
      <c r="I146" s="26">
        <f>COUNTA(I147:I162)</f>
        <v>1</v>
      </c>
      <c r="J146" s="23"/>
      <c r="K146" s="23"/>
    </row>
    <row r="147" spans="1:11">
      <c r="A147" s="18">
        <v>1</v>
      </c>
      <c r="B147" s="18" t="s">
        <v>216</v>
      </c>
      <c r="C147" s="18" t="s">
        <v>327</v>
      </c>
      <c r="D147" s="18" t="s">
        <v>328</v>
      </c>
      <c r="E147" s="18">
        <v>50</v>
      </c>
      <c r="F147" s="18">
        <v>1976</v>
      </c>
      <c r="G147" s="18"/>
      <c r="H147" s="18" t="s">
        <v>138</v>
      </c>
      <c r="I147" s="18"/>
      <c r="J147" s="18"/>
      <c r="K147" s="18"/>
    </row>
    <row r="148" spans="1:11">
      <c r="A148" s="18">
        <v>2</v>
      </c>
      <c r="B148" s="18" t="s">
        <v>216</v>
      </c>
      <c r="C148" s="18" t="s">
        <v>329</v>
      </c>
      <c r="D148" s="18" t="s">
        <v>330</v>
      </c>
      <c r="E148" s="18">
        <v>40</v>
      </c>
      <c r="F148" s="18">
        <v>1976</v>
      </c>
      <c r="G148" s="18"/>
      <c r="H148" s="18" t="s">
        <v>138</v>
      </c>
      <c r="I148" s="18"/>
      <c r="J148" s="18"/>
      <c r="K148" s="18"/>
    </row>
    <row r="149" spans="1:11">
      <c r="A149" s="18">
        <v>3</v>
      </c>
      <c r="B149" s="18" t="s">
        <v>216</v>
      </c>
      <c r="C149" s="18" t="s">
        <v>31</v>
      </c>
      <c r="D149" s="18" t="s">
        <v>331</v>
      </c>
      <c r="E149" s="18">
        <v>40</v>
      </c>
      <c r="F149" s="18">
        <v>1978</v>
      </c>
      <c r="G149" s="18"/>
      <c r="H149" s="18" t="s">
        <v>138</v>
      </c>
      <c r="I149" s="18"/>
      <c r="J149" s="18"/>
      <c r="K149" s="18"/>
    </row>
    <row r="150" spans="1:11">
      <c r="A150" s="18">
        <v>4</v>
      </c>
      <c r="B150" s="18" t="s">
        <v>216</v>
      </c>
      <c r="C150" s="18" t="s">
        <v>332</v>
      </c>
      <c r="D150" s="18" t="s">
        <v>333</v>
      </c>
      <c r="E150" s="18">
        <v>30</v>
      </c>
      <c r="F150" s="18">
        <v>1979</v>
      </c>
      <c r="G150" s="18"/>
      <c r="H150" s="18" t="s">
        <v>138</v>
      </c>
      <c r="I150" s="18"/>
      <c r="J150" s="18"/>
      <c r="K150" s="18"/>
    </row>
    <row r="151" spans="1:11">
      <c r="A151" s="18">
        <v>5</v>
      </c>
      <c r="B151" s="18" t="s">
        <v>216</v>
      </c>
      <c r="C151" s="18" t="s">
        <v>334</v>
      </c>
      <c r="D151" s="18" t="s">
        <v>335</v>
      </c>
      <c r="E151" s="18">
        <v>30</v>
      </c>
      <c r="F151" s="18">
        <v>1979</v>
      </c>
      <c r="G151" s="18"/>
      <c r="H151" s="18" t="s">
        <v>138</v>
      </c>
      <c r="I151" s="18"/>
      <c r="J151" s="18"/>
      <c r="K151" s="18"/>
    </row>
    <row r="152" spans="1:11">
      <c r="A152" s="18">
        <v>6</v>
      </c>
      <c r="B152" s="18" t="s">
        <v>216</v>
      </c>
      <c r="C152" s="18" t="s">
        <v>222</v>
      </c>
      <c r="D152" s="18" t="s">
        <v>336</v>
      </c>
      <c r="E152" s="18">
        <v>20</v>
      </c>
      <c r="F152" s="18">
        <v>1980</v>
      </c>
      <c r="G152" s="18"/>
      <c r="H152" s="18" t="s">
        <v>138</v>
      </c>
      <c r="I152" s="18"/>
      <c r="J152" s="18"/>
      <c r="K152" s="18"/>
    </row>
    <row r="153" spans="1:11">
      <c r="A153" s="18">
        <v>7</v>
      </c>
      <c r="B153" s="18" t="s">
        <v>216</v>
      </c>
      <c r="C153" s="18" t="s">
        <v>337</v>
      </c>
      <c r="D153" s="18" t="s">
        <v>338</v>
      </c>
      <c r="E153" s="18">
        <v>40</v>
      </c>
      <c r="F153" s="18">
        <v>1982</v>
      </c>
      <c r="G153" s="18"/>
      <c r="H153" s="18" t="s">
        <v>138</v>
      </c>
      <c r="I153" s="18"/>
      <c r="J153" s="18"/>
      <c r="K153" s="18"/>
    </row>
    <row r="154" spans="1:11">
      <c r="A154" s="18">
        <v>8</v>
      </c>
      <c r="B154" s="18" t="s">
        <v>216</v>
      </c>
      <c r="C154" s="18" t="s">
        <v>339</v>
      </c>
      <c r="D154" s="18" t="s">
        <v>340</v>
      </c>
      <c r="E154" s="18">
        <v>60</v>
      </c>
      <c r="F154" s="18">
        <v>1984</v>
      </c>
      <c r="G154" s="18"/>
      <c r="H154" s="18" t="s">
        <v>138</v>
      </c>
      <c r="I154" s="18"/>
      <c r="J154" s="18"/>
      <c r="K154" s="18"/>
    </row>
    <row r="155" spans="1:11">
      <c r="A155" s="18">
        <v>9</v>
      </c>
      <c r="B155" s="18" t="s">
        <v>216</v>
      </c>
      <c r="C155" s="18" t="s">
        <v>224</v>
      </c>
      <c r="D155" s="18" t="s">
        <v>341</v>
      </c>
      <c r="E155" s="18">
        <v>40</v>
      </c>
      <c r="F155" s="18">
        <v>1985</v>
      </c>
      <c r="G155" s="18"/>
      <c r="H155" s="18" t="s">
        <v>138</v>
      </c>
      <c r="I155" s="18"/>
      <c r="J155" s="18"/>
      <c r="K155" s="18"/>
    </row>
    <row r="156" spans="1:11">
      <c r="A156" s="18">
        <v>10</v>
      </c>
      <c r="B156" s="18" t="s">
        <v>216</v>
      </c>
      <c r="C156" s="18" t="s">
        <v>71</v>
      </c>
      <c r="D156" s="18" t="s">
        <v>342</v>
      </c>
      <c r="E156" s="18">
        <v>50</v>
      </c>
      <c r="F156" s="18">
        <v>1985</v>
      </c>
      <c r="G156" s="18"/>
      <c r="H156" s="18" t="s">
        <v>138</v>
      </c>
      <c r="I156" s="18"/>
      <c r="J156" s="18"/>
      <c r="K156" s="18"/>
    </row>
    <row r="157" spans="1:11">
      <c r="A157" s="18">
        <v>11</v>
      </c>
      <c r="B157" s="18" t="s">
        <v>216</v>
      </c>
      <c r="C157" s="18" t="s">
        <v>343</v>
      </c>
      <c r="D157" s="18" t="s">
        <v>344</v>
      </c>
      <c r="E157" s="18">
        <v>30</v>
      </c>
      <c r="F157" s="18">
        <v>2004</v>
      </c>
      <c r="G157" s="18"/>
      <c r="H157" s="18" t="s">
        <v>138</v>
      </c>
      <c r="I157" s="18"/>
      <c r="J157" s="18"/>
      <c r="K157" s="18"/>
    </row>
    <row r="158" spans="1:11">
      <c r="A158" s="18">
        <v>12</v>
      </c>
      <c r="B158" s="18" t="s">
        <v>216</v>
      </c>
      <c r="C158" s="18" t="s">
        <v>343</v>
      </c>
      <c r="D158" s="18" t="s">
        <v>345</v>
      </c>
      <c r="E158" s="18">
        <v>20</v>
      </c>
      <c r="F158" s="18">
        <v>2004</v>
      </c>
      <c r="G158" s="18"/>
      <c r="H158" s="18" t="s">
        <v>138</v>
      </c>
      <c r="I158" s="18"/>
      <c r="J158" s="18"/>
      <c r="K158" s="18"/>
    </row>
    <row r="159" spans="1:11">
      <c r="A159" s="18">
        <v>13</v>
      </c>
      <c r="B159" s="18" t="s">
        <v>216</v>
      </c>
      <c r="C159" s="18" t="s">
        <v>346</v>
      </c>
      <c r="D159" s="18" t="s">
        <v>347</v>
      </c>
      <c r="E159" s="18">
        <v>40</v>
      </c>
      <c r="F159" s="18">
        <v>2004</v>
      </c>
      <c r="G159" s="18"/>
      <c r="H159" s="18" t="s">
        <v>138</v>
      </c>
      <c r="I159" s="18"/>
      <c r="J159" s="18"/>
      <c r="K159" s="18"/>
    </row>
    <row r="160" spans="1:11">
      <c r="A160" s="18">
        <v>14</v>
      </c>
      <c r="B160" s="18" t="s">
        <v>216</v>
      </c>
      <c r="C160" s="18" t="s">
        <v>334</v>
      </c>
      <c r="D160" s="18" t="s">
        <v>348</v>
      </c>
      <c r="E160" s="18">
        <v>20</v>
      </c>
      <c r="F160" s="18">
        <v>2006</v>
      </c>
      <c r="G160" s="18"/>
      <c r="H160" s="18"/>
      <c r="I160" s="18" t="s">
        <v>138</v>
      </c>
      <c r="J160" s="18"/>
      <c r="K160" s="18"/>
    </row>
    <row r="161" spans="1:11">
      <c r="A161" s="18">
        <v>15</v>
      </c>
      <c r="B161" s="18" t="s">
        <v>216</v>
      </c>
      <c r="C161" s="18" t="s">
        <v>349</v>
      </c>
      <c r="D161" s="18" t="s">
        <v>350</v>
      </c>
      <c r="E161" s="18">
        <v>50</v>
      </c>
      <c r="F161" s="18">
        <v>2010</v>
      </c>
      <c r="G161" s="18"/>
      <c r="H161" s="18" t="s">
        <v>138</v>
      </c>
      <c r="I161" s="18"/>
      <c r="J161" s="18"/>
      <c r="K161" s="18"/>
    </row>
    <row r="162" spans="1:11">
      <c r="A162" s="18">
        <v>16</v>
      </c>
      <c r="B162" s="18" t="s">
        <v>216</v>
      </c>
      <c r="C162" s="18" t="s">
        <v>351</v>
      </c>
      <c r="D162" s="18" t="s">
        <v>352</v>
      </c>
      <c r="E162" s="18">
        <v>50</v>
      </c>
      <c r="F162" s="18">
        <v>1996</v>
      </c>
      <c r="G162" s="18"/>
      <c r="H162" s="18" t="s">
        <v>138</v>
      </c>
      <c r="I162" s="18"/>
      <c r="J162" s="18"/>
      <c r="K162" s="18"/>
    </row>
    <row r="163" spans="1:11">
      <c r="A163" s="23"/>
      <c r="B163" s="23" t="s">
        <v>231</v>
      </c>
      <c r="C163" s="23"/>
      <c r="D163" s="26">
        <f>COUNTA(D164:D171)</f>
        <v>8</v>
      </c>
      <c r="E163" s="23"/>
      <c r="F163" s="23"/>
      <c r="G163" s="26">
        <f>COUNTA(G164:G171)</f>
        <v>4</v>
      </c>
      <c r="H163" s="26">
        <f>COUNTA(H164:H171)</f>
        <v>4</v>
      </c>
      <c r="I163" s="26">
        <f>COUNTA(I164:I171)</f>
        <v>0</v>
      </c>
      <c r="J163" s="23"/>
      <c r="K163" s="23"/>
    </row>
    <row r="164" spans="1:11" s="20" customFormat="1">
      <c r="A164" s="25">
        <v>1</v>
      </c>
      <c r="B164" s="25" t="s">
        <v>231</v>
      </c>
      <c r="C164" s="25" t="s">
        <v>353</v>
      </c>
      <c r="D164" s="25" t="s">
        <v>354</v>
      </c>
      <c r="E164" s="25">
        <v>40</v>
      </c>
      <c r="F164" s="25">
        <v>1983</v>
      </c>
      <c r="G164" s="25" t="s">
        <v>138</v>
      </c>
      <c r="H164" s="25"/>
      <c r="I164" s="25"/>
      <c r="J164" s="25"/>
      <c r="K164" s="25"/>
    </row>
    <row r="165" spans="1:11" s="20" customFormat="1">
      <c r="A165" s="25">
        <v>2</v>
      </c>
      <c r="B165" s="25" t="s">
        <v>231</v>
      </c>
      <c r="C165" s="25" t="s">
        <v>355</v>
      </c>
      <c r="D165" s="25" t="s">
        <v>356</v>
      </c>
      <c r="E165" s="25">
        <v>40</v>
      </c>
      <c r="F165" s="25">
        <v>1984</v>
      </c>
      <c r="G165" s="25"/>
      <c r="H165" s="25" t="s">
        <v>138</v>
      </c>
      <c r="I165" s="25"/>
      <c r="J165" s="25"/>
      <c r="K165" s="25"/>
    </row>
    <row r="166" spans="1:11" s="20" customFormat="1">
      <c r="A166" s="25">
        <v>3</v>
      </c>
      <c r="B166" s="25" t="s">
        <v>231</v>
      </c>
      <c r="C166" s="25" t="s">
        <v>357</v>
      </c>
      <c r="D166" s="25" t="s">
        <v>358</v>
      </c>
      <c r="E166" s="25">
        <v>10</v>
      </c>
      <c r="F166" s="25">
        <v>1984</v>
      </c>
      <c r="G166" s="25" t="s">
        <v>138</v>
      </c>
      <c r="H166" s="25"/>
      <c r="I166" s="25"/>
      <c r="J166" s="25"/>
      <c r="K166" s="25"/>
    </row>
    <row r="167" spans="1:11" s="20" customFormat="1">
      <c r="A167" s="25">
        <v>4</v>
      </c>
      <c r="B167" s="25" t="s">
        <v>231</v>
      </c>
      <c r="C167" s="25" t="s">
        <v>357</v>
      </c>
      <c r="D167" s="25" t="s">
        <v>359</v>
      </c>
      <c r="E167" s="25">
        <v>20</v>
      </c>
      <c r="F167" s="25">
        <v>1985</v>
      </c>
      <c r="G167" s="25" t="s">
        <v>138</v>
      </c>
      <c r="H167" s="25"/>
      <c r="I167" s="25"/>
      <c r="J167" s="25"/>
      <c r="K167" s="25"/>
    </row>
    <row r="168" spans="1:11" s="20" customFormat="1">
      <c r="A168" s="25">
        <v>5</v>
      </c>
      <c r="B168" s="25" t="s">
        <v>231</v>
      </c>
      <c r="C168" s="25" t="s">
        <v>355</v>
      </c>
      <c r="D168" s="25" t="s">
        <v>360</v>
      </c>
      <c r="E168" s="25">
        <v>30</v>
      </c>
      <c r="F168" s="25">
        <v>1996</v>
      </c>
      <c r="G168" s="25"/>
      <c r="H168" s="25" t="s">
        <v>138</v>
      </c>
      <c r="I168" s="25"/>
      <c r="J168" s="25"/>
      <c r="K168" s="25"/>
    </row>
    <row r="169" spans="1:11" s="20" customFormat="1">
      <c r="A169" s="25">
        <v>6</v>
      </c>
      <c r="B169" s="25" t="s">
        <v>231</v>
      </c>
      <c r="C169" s="25" t="s">
        <v>361</v>
      </c>
      <c r="D169" s="25" t="s">
        <v>362</v>
      </c>
      <c r="E169" s="25">
        <v>50</v>
      </c>
      <c r="F169" s="25">
        <v>2011</v>
      </c>
      <c r="G169" s="25"/>
      <c r="H169" s="25" t="s">
        <v>138</v>
      </c>
      <c r="I169" s="25"/>
      <c r="J169" s="25"/>
      <c r="K169" s="25"/>
    </row>
    <row r="170" spans="1:11" s="20" customFormat="1">
      <c r="A170" s="25">
        <v>7</v>
      </c>
      <c r="B170" s="25" t="s">
        <v>231</v>
      </c>
      <c r="C170" s="25" t="s">
        <v>363</v>
      </c>
      <c r="D170" s="25" t="s">
        <v>364</v>
      </c>
      <c r="E170" s="25">
        <v>40</v>
      </c>
      <c r="F170" s="25">
        <v>2006</v>
      </c>
      <c r="G170" s="25"/>
      <c r="H170" s="25" t="s">
        <v>138</v>
      </c>
      <c r="I170" s="25"/>
      <c r="J170" s="25"/>
      <c r="K170" s="25"/>
    </row>
    <row r="171" spans="1:11" s="20" customFormat="1">
      <c r="A171" s="25">
        <v>8</v>
      </c>
      <c r="B171" s="25" t="s">
        <v>231</v>
      </c>
      <c r="C171" s="25" t="s">
        <v>365</v>
      </c>
      <c r="D171" s="25" t="s">
        <v>366</v>
      </c>
      <c r="E171" s="25">
        <v>40</v>
      </c>
      <c r="F171" s="25">
        <v>2008</v>
      </c>
      <c r="G171" s="25" t="s">
        <v>138</v>
      </c>
      <c r="H171" s="25"/>
      <c r="I171" s="25"/>
      <c r="J171" s="25"/>
      <c r="K171" s="25"/>
    </row>
    <row r="172" spans="1:11">
      <c r="A172" s="23"/>
      <c r="B172" s="23" t="s">
        <v>367</v>
      </c>
      <c r="C172" s="23"/>
      <c r="D172" s="26">
        <f>COUNTA(D173:D186)</f>
        <v>14</v>
      </c>
      <c r="E172" s="23"/>
      <c r="F172" s="23"/>
      <c r="G172" s="26">
        <f>COUNTA(G173:G186)</f>
        <v>4</v>
      </c>
      <c r="H172" s="26">
        <f>COUNTA(H173:H186)</f>
        <v>10</v>
      </c>
      <c r="I172" s="26">
        <f>COUNTA(I173:I186)</f>
        <v>0</v>
      </c>
      <c r="J172" s="23"/>
      <c r="K172" s="23"/>
    </row>
    <row r="173" spans="1:11" s="20" customFormat="1">
      <c r="A173" s="25">
        <v>1</v>
      </c>
      <c r="B173" s="25" t="s">
        <v>251</v>
      </c>
      <c r="C173" s="25" t="s">
        <v>368</v>
      </c>
      <c r="D173" s="25" t="s">
        <v>369</v>
      </c>
      <c r="E173" s="25">
        <v>50</v>
      </c>
      <c r="F173" s="25">
        <v>1979</v>
      </c>
      <c r="G173" s="25"/>
      <c r="H173" s="25" t="s">
        <v>138</v>
      </c>
      <c r="I173" s="25"/>
      <c r="J173" s="25"/>
      <c r="K173" s="25"/>
    </row>
    <row r="174" spans="1:11" s="20" customFormat="1">
      <c r="A174" s="25">
        <v>2</v>
      </c>
      <c r="B174" s="25" t="s">
        <v>251</v>
      </c>
      <c r="C174" s="25" t="s">
        <v>370</v>
      </c>
      <c r="D174" s="25" t="s">
        <v>371</v>
      </c>
      <c r="E174" s="25">
        <v>30</v>
      </c>
      <c r="F174" s="25">
        <v>1980</v>
      </c>
      <c r="G174" s="25"/>
      <c r="H174" s="25" t="s">
        <v>138</v>
      </c>
      <c r="I174" s="25"/>
      <c r="J174" s="25"/>
      <c r="K174" s="25"/>
    </row>
    <row r="175" spans="1:11" s="20" customFormat="1">
      <c r="A175" s="25">
        <v>3</v>
      </c>
      <c r="B175" s="25" t="s">
        <v>251</v>
      </c>
      <c r="C175" s="25" t="s">
        <v>372</v>
      </c>
      <c r="D175" s="25" t="s">
        <v>373</v>
      </c>
      <c r="E175" s="25">
        <v>30</v>
      </c>
      <c r="F175" s="25">
        <v>1980</v>
      </c>
      <c r="G175" s="25"/>
      <c r="H175" s="25" t="s">
        <v>138</v>
      </c>
      <c r="I175" s="25"/>
      <c r="J175" s="25"/>
      <c r="K175" s="25"/>
    </row>
    <row r="176" spans="1:11" s="20" customFormat="1">
      <c r="A176" s="25">
        <v>4</v>
      </c>
      <c r="B176" s="25" t="s">
        <v>251</v>
      </c>
      <c r="C176" s="25" t="s">
        <v>374</v>
      </c>
      <c r="D176" s="25" t="s">
        <v>375</v>
      </c>
      <c r="E176" s="25">
        <v>20</v>
      </c>
      <c r="F176" s="25">
        <v>1981</v>
      </c>
      <c r="G176" s="25" t="s">
        <v>138</v>
      </c>
      <c r="H176" s="25"/>
      <c r="I176" s="25"/>
      <c r="J176" s="25"/>
      <c r="K176" s="25"/>
    </row>
    <row r="177" spans="1:11" s="20" customFormat="1">
      <c r="A177" s="25">
        <v>5</v>
      </c>
      <c r="B177" s="25" t="s">
        <v>251</v>
      </c>
      <c r="C177" s="25" t="s">
        <v>372</v>
      </c>
      <c r="D177" s="25" t="s">
        <v>376</v>
      </c>
      <c r="E177" s="25">
        <v>30</v>
      </c>
      <c r="F177" s="25">
        <v>1982</v>
      </c>
      <c r="G177" s="25"/>
      <c r="H177" s="25" t="s">
        <v>138</v>
      </c>
      <c r="I177" s="25"/>
      <c r="J177" s="25"/>
      <c r="K177" s="25"/>
    </row>
    <row r="178" spans="1:11" s="20" customFormat="1">
      <c r="A178" s="25">
        <v>6</v>
      </c>
      <c r="B178" s="25" t="s">
        <v>251</v>
      </c>
      <c r="C178" s="25" t="s">
        <v>372</v>
      </c>
      <c r="D178" s="25" t="s">
        <v>377</v>
      </c>
      <c r="E178" s="25">
        <v>20</v>
      </c>
      <c r="F178" s="25">
        <v>1983</v>
      </c>
      <c r="G178" s="25"/>
      <c r="H178" s="25" t="s">
        <v>138</v>
      </c>
      <c r="I178" s="25"/>
      <c r="J178" s="25"/>
      <c r="K178" s="25"/>
    </row>
    <row r="179" spans="1:11" s="20" customFormat="1">
      <c r="A179" s="25">
        <v>7</v>
      </c>
      <c r="B179" s="25" t="s">
        <v>251</v>
      </c>
      <c r="C179" s="25" t="s">
        <v>374</v>
      </c>
      <c r="D179" s="25" t="s">
        <v>378</v>
      </c>
      <c r="E179" s="25">
        <v>20</v>
      </c>
      <c r="F179" s="25">
        <v>1983</v>
      </c>
      <c r="G179" s="25" t="s">
        <v>138</v>
      </c>
      <c r="H179" s="25"/>
      <c r="I179" s="25"/>
      <c r="J179" s="25"/>
      <c r="K179" s="25"/>
    </row>
    <row r="180" spans="1:11" s="20" customFormat="1">
      <c r="A180" s="25">
        <v>8</v>
      </c>
      <c r="B180" s="25" t="s">
        <v>251</v>
      </c>
      <c r="C180" s="25" t="s">
        <v>372</v>
      </c>
      <c r="D180" s="25" t="s">
        <v>379</v>
      </c>
      <c r="E180" s="25">
        <v>30</v>
      </c>
      <c r="F180" s="25">
        <v>1983</v>
      </c>
      <c r="G180" s="25"/>
      <c r="H180" s="25" t="s">
        <v>138</v>
      </c>
      <c r="I180" s="25"/>
      <c r="J180" s="25"/>
      <c r="K180" s="25"/>
    </row>
    <row r="181" spans="1:11" s="20" customFormat="1">
      <c r="A181" s="25">
        <v>9</v>
      </c>
      <c r="B181" s="25" t="s">
        <v>251</v>
      </c>
      <c r="C181" s="25" t="s">
        <v>380</v>
      </c>
      <c r="D181" s="25" t="s">
        <v>381</v>
      </c>
      <c r="E181" s="25">
        <v>20</v>
      </c>
      <c r="F181" s="25">
        <v>1985</v>
      </c>
      <c r="G181" s="25"/>
      <c r="H181" s="25" t="s">
        <v>138</v>
      </c>
      <c r="I181" s="25"/>
      <c r="J181" s="25"/>
      <c r="K181" s="25"/>
    </row>
    <row r="182" spans="1:11" s="20" customFormat="1">
      <c r="A182" s="25">
        <v>10</v>
      </c>
      <c r="B182" s="25" t="s">
        <v>251</v>
      </c>
      <c r="C182" s="25" t="s">
        <v>382</v>
      </c>
      <c r="D182" s="25" t="s">
        <v>383</v>
      </c>
      <c r="E182" s="25">
        <v>40</v>
      </c>
      <c r="F182" s="25">
        <v>1985</v>
      </c>
      <c r="G182" s="25" t="s">
        <v>138</v>
      </c>
      <c r="H182" s="25"/>
      <c r="I182" s="25"/>
      <c r="J182" s="25"/>
      <c r="K182" s="25"/>
    </row>
    <row r="183" spans="1:11" s="20" customFormat="1">
      <c r="A183" s="25">
        <v>11</v>
      </c>
      <c r="B183" s="25" t="s">
        <v>251</v>
      </c>
      <c r="C183" s="25" t="s">
        <v>384</v>
      </c>
      <c r="D183" s="25" t="s">
        <v>385</v>
      </c>
      <c r="E183" s="25">
        <v>20</v>
      </c>
      <c r="F183" s="25">
        <v>1992</v>
      </c>
      <c r="G183" s="25"/>
      <c r="H183" s="25" t="s">
        <v>138</v>
      </c>
      <c r="I183" s="25"/>
      <c r="J183" s="25"/>
      <c r="K183" s="25"/>
    </row>
    <row r="184" spans="1:11">
      <c r="A184" s="18">
        <v>12</v>
      </c>
      <c r="B184" s="18" t="s">
        <v>251</v>
      </c>
      <c r="C184" s="18" t="s">
        <v>386</v>
      </c>
      <c r="D184" s="18" t="s">
        <v>387</v>
      </c>
      <c r="E184" s="18">
        <v>20</v>
      </c>
      <c r="F184" s="18">
        <v>1994</v>
      </c>
      <c r="G184" s="18" t="s">
        <v>138</v>
      </c>
      <c r="H184" s="18"/>
      <c r="I184" s="18"/>
      <c r="J184" s="18"/>
      <c r="K184" s="18"/>
    </row>
    <row r="185" spans="1:11">
      <c r="A185" s="18">
        <v>13</v>
      </c>
      <c r="B185" s="18" t="s">
        <v>251</v>
      </c>
      <c r="C185" s="18" t="s">
        <v>388</v>
      </c>
      <c r="D185" s="18" t="s">
        <v>389</v>
      </c>
      <c r="E185" s="18">
        <v>40</v>
      </c>
      <c r="F185" s="18">
        <v>1997</v>
      </c>
      <c r="G185" s="18"/>
      <c r="H185" s="18" t="s">
        <v>138</v>
      </c>
      <c r="I185" s="18"/>
      <c r="J185" s="18"/>
      <c r="K185" s="18"/>
    </row>
    <row r="186" spans="1:11">
      <c r="A186" s="18">
        <v>14</v>
      </c>
      <c r="B186" s="18" t="s">
        <v>251</v>
      </c>
      <c r="C186" s="18" t="s">
        <v>372</v>
      </c>
      <c r="D186" s="18" t="s">
        <v>390</v>
      </c>
      <c r="E186" s="18">
        <v>30</v>
      </c>
      <c r="F186" s="18">
        <v>2013</v>
      </c>
      <c r="G186" s="18"/>
      <c r="H186" s="18" t="s">
        <v>138</v>
      </c>
      <c r="I186" s="18"/>
      <c r="J186" s="18"/>
      <c r="K186" s="18"/>
    </row>
  </sheetData>
  <mergeCells count="16">
    <mergeCell ref="K2:K4"/>
    <mergeCell ref="A1:K1"/>
    <mergeCell ref="A105:K105"/>
    <mergeCell ref="A106:A108"/>
    <mergeCell ref="B106:C107"/>
    <mergeCell ref="D106:D108"/>
    <mergeCell ref="E106:E108"/>
    <mergeCell ref="F106:F108"/>
    <mergeCell ref="G106:J106"/>
    <mergeCell ref="K106:K108"/>
    <mergeCell ref="A2:A4"/>
    <mergeCell ref="B2:C3"/>
    <mergeCell ref="D2:D4"/>
    <mergeCell ref="E2:E4"/>
    <mergeCell ref="F2:F4"/>
    <mergeCell ref="G2:J2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1:N122"/>
  <sheetViews>
    <sheetView topLeftCell="A105" workbookViewId="0">
      <selection activeCell="D126" sqref="D126"/>
    </sheetView>
  </sheetViews>
  <sheetFormatPr defaultRowHeight="16.5"/>
  <cols>
    <col min="2" max="2" width="13.125" customWidth="1"/>
    <col min="3" max="3" width="18.625" customWidth="1"/>
    <col min="4" max="4" width="9.75" customWidth="1"/>
  </cols>
  <sheetData>
    <row r="1" spans="2:4" ht="17.25" thickBot="1"/>
    <row r="2" spans="2:4" ht="18" thickTop="1" thickBot="1">
      <c r="B2" s="65" t="s">
        <v>479</v>
      </c>
      <c r="C2" s="66" t="s">
        <v>480</v>
      </c>
      <c r="D2" s="67">
        <v>0.24</v>
      </c>
    </row>
    <row r="3" spans="2:4" ht="17.25" thickTop="1">
      <c r="B3" s="68" t="s">
        <v>481</v>
      </c>
      <c r="C3" s="66" t="s">
        <v>480</v>
      </c>
      <c r="D3" s="70">
        <v>0.28999999999999998</v>
      </c>
    </row>
    <row r="4" spans="2:4">
      <c r="B4" s="68" t="s">
        <v>482</v>
      </c>
      <c r="C4" s="69" t="s">
        <v>480</v>
      </c>
      <c r="D4" s="70">
        <v>0.31</v>
      </c>
    </row>
    <row r="5" spans="2:4" ht="17.25" thickBot="1">
      <c r="B5" s="68" t="s">
        <v>483</v>
      </c>
      <c r="C5" s="69" t="s">
        <v>480</v>
      </c>
      <c r="D5" s="70">
        <v>0.33</v>
      </c>
    </row>
    <row r="6" spans="2:4" ht="17.25" thickTop="1">
      <c r="B6" s="68" t="s">
        <v>484</v>
      </c>
      <c r="C6" s="66" t="s">
        <v>480</v>
      </c>
      <c r="D6" s="70">
        <v>0.23</v>
      </c>
    </row>
    <row r="7" spans="2:4">
      <c r="B7" s="68" t="s">
        <v>485</v>
      </c>
      <c r="C7" s="69" t="s">
        <v>480</v>
      </c>
      <c r="D7" s="70">
        <v>0.23</v>
      </c>
    </row>
    <row r="8" spans="2:4">
      <c r="B8" s="68" t="s">
        <v>486</v>
      </c>
      <c r="C8" s="69" t="s">
        <v>487</v>
      </c>
      <c r="D8" s="70">
        <v>0.64</v>
      </c>
    </row>
    <row r="9" spans="2:4">
      <c r="B9" s="68" t="s">
        <v>488</v>
      </c>
      <c r="C9" s="69" t="s">
        <v>489</v>
      </c>
      <c r="D9" s="70">
        <v>0.13</v>
      </c>
    </row>
    <row r="10" spans="2:4">
      <c r="B10" s="152" t="s">
        <v>490</v>
      </c>
      <c r="C10" s="153"/>
      <c r="D10" s="70">
        <v>2.39</v>
      </c>
    </row>
    <row r="11" spans="2:4">
      <c r="B11" s="69" t="s">
        <v>491</v>
      </c>
      <c r="C11" s="68" t="s">
        <v>487</v>
      </c>
      <c r="D11" s="70">
        <v>0.35</v>
      </c>
    </row>
    <row r="12" spans="2:4">
      <c r="B12" s="68" t="s">
        <v>492</v>
      </c>
      <c r="C12" s="69" t="s">
        <v>487</v>
      </c>
      <c r="D12" s="70">
        <v>0.51</v>
      </c>
    </row>
    <row r="13" spans="2:4">
      <c r="B13" s="152" t="s">
        <v>490</v>
      </c>
      <c r="C13" s="153"/>
      <c r="D13" s="70">
        <v>0.86</v>
      </c>
    </row>
    <row r="14" spans="2:4">
      <c r="B14" s="69" t="s">
        <v>493</v>
      </c>
      <c r="C14" s="68" t="s">
        <v>489</v>
      </c>
      <c r="D14" s="70">
        <v>1.23</v>
      </c>
    </row>
    <row r="15" spans="2:4">
      <c r="B15" s="68" t="s">
        <v>494</v>
      </c>
      <c r="C15" s="69" t="s">
        <v>489</v>
      </c>
      <c r="D15" s="70">
        <v>0.21</v>
      </c>
    </row>
    <row r="16" spans="2:4">
      <c r="B16" s="68" t="s">
        <v>495</v>
      </c>
      <c r="C16" s="69" t="s">
        <v>489</v>
      </c>
      <c r="D16" s="70">
        <v>0.06</v>
      </c>
    </row>
    <row r="17" spans="2:4">
      <c r="B17" s="152" t="s">
        <v>490</v>
      </c>
      <c r="C17" s="153"/>
      <c r="D17" s="70">
        <v>1.5</v>
      </c>
    </row>
    <row r="18" spans="2:4">
      <c r="B18" s="69" t="s">
        <v>496</v>
      </c>
      <c r="C18" s="68" t="s">
        <v>489</v>
      </c>
      <c r="D18" s="70">
        <v>2.56</v>
      </c>
    </row>
    <row r="19" spans="2:4">
      <c r="B19" s="68" t="s">
        <v>497</v>
      </c>
      <c r="C19" s="69" t="s">
        <v>489</v>
      </c>
      <c r="D19" s="70">
        <v>0.35</v>
      </c>
    </row>
    <row r="20" spans="2:4">
      <c r="B20" s="68" t="s">
        <v>498</v>
      </c>
      <c r="C20" s="69" t="s">
        <v>489</v>
      </c>
      <c r="D20" s="70">
        <v>0.37</v>
      </c>
    </row>
    <row r="21" spans="2:4">
      <c r="B21" s="68" t="s">
        <v>499</v>
      </c>
      <c r="C21" s="69" t="s">
        <v>489</v>
      </c>
      <c r="D21" s="70">
        <v>0.26</v>
      </c>
    </row>
    <row r="22" spans="2:4">
      <c r="B22" s="68" t="s">
        <v>500</v>
      </c>
      <c r="C22" s="69" t="s">
        <v>480</v>
      </c>
      <c r="D22" s="70">
        <v>0.28000000000000003</v>
      </c>
    </row>
    <row r="23" spans="2:4">
      <c r="B23" s="68" t="s">
        <v>501</v>
      </c>
      <c r="C23" s="69" t="s">
        <v>487</v>
      </c>
      <c r="D23" s="70">
        <v>0.08</v>
      </c>
    </row>
    <row r="24" spans="2:4">
      <c r="B24" s="68" t="s">
        <v>502</v>
      </c>
      <c r="C24" s="69" t="s">
        <v>489</v>
      </c>
      <c r="D24" s="70">
        <v>0.15</v>
      </c>
    </row>
    <row r="25" spans="2:4">
      <c r="B25" s="68" t="s">
        <v>503</v>
      </c>
      <c r="C25" s="69" t="s">
        <v>487</v>
      </c>
      <c r="D25" s="70">
        <v>0.13</v>
      </c>
    </row>
    <row r="26" spans="2:4">
      <c r="B26" s="152" t="s">
        <v>490</v>
      </c>
      <c r="C26" s="153"/>
      <c r="D26" s="70">
        <v>4.1900000000000004</v>
      </c>
    </row>
    <row r="27" spans="2:4">
      <c r="B27" s="68" t="s">
        <v>504</v>
      </c>
      <c r="C27" s="68" t="s">
        <v>487</v>
      </c>
      <c r="D27" s="70">
        <v>0.98</v>
      </c>
    </row>
    <row r="28" spans="2:4">
      <c r="B28" s="68" t="s">
        <v>505</v>
      </c>
      <c r="C28" s="68" t="s">
        <v>489</v>
      </c>
      <c r="D28" s="70">
        <v>0.87</v>
      </c>
    </row>
    <row r="29" spans="2:4">
      <c r="B29" s="69" t="s">
        <v>506</v>
      </c>
      <c r="C29" s="68" t="s">
        <v>480</v>
      </c>
      <c r="D29" s="70">
        <v>0.78</v>
      </c>
    </row>
    <row r="30" spans="2:4">
      <c r="B30" s="68" t="s">
        <v>507</v>
      </c>
      <c r="C30" s="69" t="s">
        <v>487</v>
      </c>
      <c r="D30" s="70">
        <v>1.34</v>
      </c>
    </row>
    <row r="31" spans="2:4">
      <c r="B31" s="152" t="s">
        <v>490</v>
      </c>
      <c r="C31" s="153"/>
      <c r="D31" s="70">
        <v>2.12</v>
      </c>
    </row>
    <row r="32" spans="2:4" ht="17.25" thickBot="1">
      <c r="B32" s="71" t="s">
        <v>508</v>
      </c>
      <c r="C32" s="71" t="s">
        <v>487</v>
      </c>
      <c r="D32" s="72">
        <v>0.75</v>
      </c>
    </row>
    <row r="33" spans="2:4" ht="17.25" thickTop="1">
      <c r="B33" s="65" t="s">
        <v>509</v>
      </c>
      <c r="C33" s="65" t="s">
        <v>489</v>
      </c>
      <c r="D33" s="67">
        <v>0.28999999999999998</v>
      </c>
    </row>
    <row r="34" spans="2:4">
      <c r="B34" s="68" t="s">
        <v>510</v>
      </c>
      <c r="C34" s="69" t="s">
        <v>489</v>
      </c>
      <c r="D34" s="70">
        <v>0.16</v>
      </c>
    </row>
    <row r="35" spans="2:4">
      <c r="B35" s="68" t="s">
        <v>511</v>
      </c>
      <c r="C35" s="69" t="s">
        <v>489</v>
      </c>
      <c r="D35" s="70">
        <v>0.45</v>
      </c>
    </row>
    <row r="36" spans="2:4">
      <c r="B36" s="68" t="s">
        <v>512</v>
      </c>
      <c r="C36" s="69" t="s">
        <v>480</v>
      </c>
      <c r="D36" s="70">
        <v>0.18</v>
      </c>
    </row>
    <row r="37" spans="2:4">
      <c r="B37" s="68" t="s">
        <v>513</v>
      </c>
      <c r="C37" s="69" t="s">
        <v>480</v>
      </c>
      <c r="D37" s="70">
        <v>0.04</v>
      </c>
    </row>
    <row r="38" spans="2:4">
      <c r="B38" s="68" t="s">
        <v>514</v>
      </c>
      <c r="C38" s="69" t="s">
        <v>487</v>
      </c>
      <c r="D38" s="70">
        <v>0.13</v>
      </c>
    </row>
    <row r="39" spans="2:4">
      <c r="B39" s="152" t="s">
        <v>490</v>
      </c>
      <c r="C39" s="153"/>
      <c r="D39" s="70">
        <v>1.25</v>
      </c>
    </row>
    <row r="40" spans="2:4">
      <c r="B40" s="68" t="s">
        <v>515</v>
      </c>
      <c r="C40" s="68" t="s">
        <v>487</v>
      </c>
      <c r="D40" s="70">
        <v>0.57999999999999996</v>
      </c>
    </row>
    <row r="41" spans="2:4">
      <c r="B41" s="68" t="s">
        <v>516</v>
      </c>
      <c r="C41" s="68" t="s">
        <v>489</v>
      </c>
      <c r="D41" s="70">
        <v>1.29</v>
      </c>
    </row>
    <row r="42" spans="2:4">
      <c r="B42" s="69" t="s">
        <v>517</v>
      </c>
      <c r="C42" s="68" t="s">
        <v>487</v>
      </c>
      <c r="D42" s="70">
        <v>0.11</v>
      </c>
    </row>
    <row r="43" spans="2:4">
      <c r="B43" s="68" t="s">
        <v>518</v>
      </c>
      <c r="C43" s="69" t="s">
        <v>487</v>
      </c>
      <c r="D43" s="70">
        <v>2.11</v>
      </c>
    </row>
    <row r="44" spans="2:4">
      <c r="B44" s="68" t="s">
        <v>519</v>
      </c>
      <c r="C44" s="69" t="s">
        <v>487</v>
      </c>
      <c r="D44" s="70">
        <v>0.05</v>
      </c>
    </row>
    <row r="45" spans="2:4">
      <c r="B45" s="152" t="s">
        <v>490</v>
      </c>
      <c r="C45" s="153"/>
      <c r="D45" s="70">
        <v>2.27</v>
      </c>
    </row>
    <row r="46" spans="2:4">
      <c r="B46" s="69" t="s">
        <v>520</v>
      </c>
      <c r="C46" s="68" t="s">
        <v>480</v>
      </c>
      <c r="D46" s="70">
        <v>0.82</v>
      </c>
    </row>
    <row r="47" spans="2:4">
      <c r="B47" s="68" t="s">
        <v>521</v>
      </c>
      <c r="C47" s="69" t="s">
        <v>480</v>
      </c>
      <c r="D47" s="70">
        <v>0.22</v>
      </c>
    </row>
    <row r="48" spans="2:4">
      <c r="B48" s="68" t="s">
        <v>522</v>
      </c>
      <c r="C48" s="69" t="s">
        <v>480</v>
      </c>
      <c r="D48" s="70">
        <v>0.52</v>
      </c>
    </row>
    <row r="49" spans="2:4">
      <c r="B49" s="68" t="s">
        <v>523</v>
      </c>
      <c r="C49" s="69" t="s">
        <v>480</v>
      </c>
      <c r="D49" s="70">
        <v>0.33</v>
      </c>
    </row>
    <row r="50" spans="2:4">
      <c r="B50" s="68" t="s">
        <v>524</v>
      </c>
      <c r="C50" s="69" t="s">
        <v>480</v>
      </c>
      <c r="D50" s="70">
        <v>0.36</v>
      </c>
    </row>
    <row r="51" spans="2:4">
      <c r="B51" s="68" t="s">
        <v>525</v>
      </c>
      <c r="C51" s="69" t="s">
        <v>487</v>
      </c>
      <c r="D51" s="70">
        <v>0.02</v>
      </c>
    </row>
    <row r="52" spans="2:4">
      <c r="B52" s="68" t="s">
        <v>526</v>
      </c>
      <c r="C52" s="69" t="s">
        <v>489</v>
      </c>
      <c r="D52" s="70">
        <v>0.06</v>
      </c>
    </row>
    <row r="53" spans="2:4">
      <c r="B53" s="68" t="s">
        <v>527</v>
      </c>
      <c r="C53" s="69" t="s">
        <v>487</v>
      </c>
      <c r="D53" s="70">
        <v>0.03</v>
      </c>
    </row>
    <row r="54" spans="2:4">
      <c r="B54" s="152" t="s">
        <v>490</v>
      </c>
      <c r="C54" s="153"/>
      <c r="D54" s="70">
        <v>2.35</v>
      </c>
    </row>
    <row r="55" spans="2:4">
      <c r="B55" s="69" t="s">
        <v>528</v>
      </c>
      <c r="C55" s="68" t="s">
        <v>489</v>
      </c>
      <c r="D55" s="70">
        <v>0.16</v>
      </c>
    </row>
    <row r="56" spans="2:4">
      <c r="B56" s="68" t="s">
        <v>529</v>
      </c>
      <c r="C56" s="69" t="s">
        <v>489</v>
      </c>
      <c r="D56" s="70">
        <v>0.31</v>
      </c>
    </row>
    <row r="57" spans="2:4" ht="17.25" thickBot="1">
      <c r="B57" s="68" t="s">
        <v>530</v>
      </c>
      <c r="C57" s="69" t="s">
        <v>489</v>
      </c>
      <c r="D57" s="70">
        <v>0.14000000000000001</v>
      </c>
    </row>
    <row r="58" spans="2:4" ht="17.25" thickTop="1">
      <c r="B58" s="68" t="s">
        <v>531</v>
      </c>
      <c r="C58" s="66" t="s">
        <v>480</v>
      </c>
      <c r="D58" s="70">
        <v>0.48</v>
      </c>
    </row>
    <row r="59" spans="2:4">
      <c r="B59" s="68" t="s">
        <v>532</v>
      </c>
      <c r="C59" s="69" t="s">
        <v>480</v>
      </c>
      <c r="D59" s="70">
        <v>0.16</v>
      </c>
    </row>
    <row r="60" spans="2:4">
      <c r="B60" s="68" t="s">
        <v>533</v>
      </c>
      <c r="C60" s="68" t="s">
        <v>480</v>
      </c>
      <c r="D60" s="70">
        <v>0.02</v>
      </c>
    </row>
    <row r="61" spans="2:4">
      <c r="B61" s="68" t="s">
        <v>534</v>
      </c>
      <c r="C61" s="68" t="s">
        <v>487</v>
      </c>
      <c r="D61" s="70">
        <v>1.27</v>
      </c>
    </row>
    <row r="62" spans="2:4">
      <c r="B62" s="68" t="s">
        <v>535</v>
      </c>
      <c r="C62" s="68" t="s">
        <v>487</v>
      </c>
      <c r="D62" s="70">
        <v>0.06</v>
      </c>
    </row>
    <row r="63" spans="2:4">
      <c r="B63" s="152" t="s">
        <v>490</v>
      </c>
      <c r="C63" s="153"/>
      <c r="D63" s="70">
        <v>2.6</v>
      </c>
    </row>
    <row r="64" spans="2:4">
      <c r="B64" s="69" t="s">
        <v>536</v>
      </c>
      <c r="C64" s="68" t="s">
        <v>480</v>
      </c>
      <c r="D64" s="70">
        <v>0.52</v>
      </c>
    </row>
    <row r="65" spans="2:4">
      <c r="B65" s="68" t="s">
        <v>537</v>
      </c>
      <c r="C65" s="69" t="s">
        <v>480</v>
      </c>
      <c r="D65" s="70">
        <v>0.69</v>
      </c>
    </row>
    <row r="66" spans="2:4">
      <c r="B66" s="68" t="s">
        <v>538</v>
      </c>
      <c r="C66" s="69" t="s">
        <v>480</v>
      </c>
      <c r="D66" s="70">
        <v>0.15</v>
      </c>
    </row>
    <row r="67" spans="2:4">
      <c r="B67" s="68" t="s">
        <v>539</v>
      </c>
      <c r="C67" s="69" t="s">
        <v>480</v>
      </c>
      <c r="D67" s="70">
        <v>0.55000000000000004</v>
      </c>
    </row>
    <row r="68" spans="2:4">
      <c r="B68" s="68" t="s">
        <v>540</v>
      </c>
      <c r="C68" s="69" t="s">
        <v>487</v>
      </c>
      <c r="D68" s="70">
        <v>0.68</v>
      </c>
    </row>
    <row r="69" spans="2:4" ht="17.25" thickBot="1">
      <c r="B69" s="150" t="s">
        <v>490</v>
      </c>
      <c r="C69" s="151"/>
      <c r="D69" s="72">
        <v>2.6</v>
      </c>
    </row>
    <row r="70" spans="2:4" ht="17.25" thickTop="1">
      <c r="B70" s="65" t="s">
        <v>541</v>
      </c>
      <c r="C70" s="66" t="s">
        <v>489</v>
      </c>
      <c r="D70" s="67">
        <v>0.33</v>
      </c>
    </row>
    <row r="71" spans="2:4">
      <c r="B71" s="68" t="s">
        <v>542</v>
      </c>
      <c r="C71" s="69" t="s">
        <v>489</v>
      </c>
      <c r="D71" s="70">
        <v>0.31</v>
      </c>
    </row>
    <row r="72" spans="2:4">
      <c r="B72" s="68" t="s">
        <v>543</v>
      </c>
      <c r="C72" s="69" t="s">
        <v>489</v>
      </c>
      <c r="D72" s="70">
        <v>0.62</v>
      </c>
    </row>
    <row r="73" spans="2:4">
      <c r="B73" s="68" t="s">
        <v>544</v>
      </c>
      <c r="C73" s="69" t="s">
        <v>480</v>
      </c>
      <c r="D73" s="70">
        <v>0.42</v>
      </c>
    </row>
    <row r="74" spans="2:4">
      <c r="B74" s="68" t="s">
        <v>545</v>
      </c>
      <c r="C74" s="69" t="s">
        <v>480</v>
      </c>
      <c r="D74" s="70">
        <v>0.62</v>
      </c>
    </row>
    <row r="75" spans="2:4">
      <c r="B75" s="68" t="s">
        <v>546</v>
      </c>
      <c r="C75" s="69" t="s">
        <v>480</v>
      </c>
      <c r="D75" s="70">
        <v>0.33</v>
      </c>
    </row>
    <row r="76" spans="2:4">
      <c r="B76" s="68" t="s">
        <v>547</v>
      </c>
      <c r="C76" s="69" t="s">
        <v>489</v>
      </c>
      <c r="D76" s="70">
        <v>1.18</v>
      </c>
    </row>
    <row r="77" spans="2:4">
      <c r="B77" s="68" t="s">
        <v>548</v>
      </c>
      <c r="C77" s="69" t="s">
        <v>487</v>
      </c>
      <c r="D77" s="70">
        <v>0.04</v>
      </c>
    </row>
    <row r="78" spans="2:4">
      <c r="B78" s="152" t="s">
        <v>490</v>
      </c>
      <c r="C78" s="153"/>
      <c r="D78" s="70">
        <v>3.85</v>
      </c>
    </row>
    <row r="79" spans="2:4">
      <c r="B79" s="68" t="s">
        <v>549</v>
      </c>
      <c r="C79" s="69" t="s">
        <v>489</v>
      </c>
      <c r="D79" s="70">
        <v>2.25</v>
      </c>
    </row>
    <row r="80" spans="2:4">
      <c r="B80" s="68" t="s">
        <v>550</v>
      </c>
      <c r="C80" s="68" t="s">
        <v>487</v>
      </c>
      <c r="D80" s="70">
        <v>4.3</v>
      </c>
    </row>
    <row r="81" spans="2:4">
      <c r="B81" s="69" t="s">
        <v>551</v>
      </c>
      <c r="C81" s="68" t="s">
        <v>487</v>
      </c>
      <c r="D81" s="70">
        <v>0.17</v>
      </c>
    </row>
    <row r="82" spans="2:4">
      <c r="B82" s="68" t="s">
        <v>552</v>
      </c>
      <c r="C82" s="69" t="s">
        <v>487</v>
      </c>
      <c r="D82" s="70">
        <v>7.0000000000000007E-2</v>
      </c>
    </row>
    <row r="83" spans="2:4">
      <c r="B83" s="68" t="s">
        <v>553</v>
      </c>
      <c r="C83" s="69" t="s">
        <v>487</v>
      </c>
      <c r="D83" s="70">
        <v>0.05</v>
      </c>
    </row>
    <row r="84" spans="2:4">
      <c r="B84" s="68" t="s">
        <v>554</v>
      </c>
      <c r="C84" s="69" t="s">
        <v>487</v>
      </c>
      <c r="D84" s="70">
        <v>7.0000000000000007E-2</v>
      </c>
    </row>
    <row r="85" spans="2:4">
      <c r="B85" s="68" t="s">
        <v>555</v>
      </c>
      <c r="C85" s="69" t="s">
        <v>487</v>
      </c>
      <c r="D85" s="70">
        <v>0.04</v>
      </c>
    </row>
    <row r="86" spans="2:4">
      <c r="B86" s="152" t="s">
        <v>490</v>
      </c>
      <c r="C86" s="153"/>
      <c r="D86" s="70">
        <v>0.39</v>
      </c>
    </row>
    <row r="87" spans="2:4">
      <c r="B87" s="69" t="s">
        <v>556</v>
      </c>
      <c r="C87" s="68" t="s">
        <v>489</v>
      </c>
      <c r="D87" s="70">
        <v>0.21</v>
      </c>
    </row>
    <row r="88" spans="2:4">
      <c r="B88" s="68" t="s">
        <v>557</v>
      </c>
      <c r="C88" s="69" t="s">
        <v>489</v>
      </c>
      <c r="D88" s="70">
        <v>0.38</v>
      </c>
    </row>
    <row r="89" spans="2:4">
      <c r="B89" s="68" t="s">
        <v>558</v>
      </c>
      <c r="C89" s="69" t="s">
        <v>489</v>
      </c>
      <c r="D89" s="70">
        <v>0.05</v>
      </c>
    </row>
    <row r="90" spans="2:4">
      <c r="B90" s="68" t="s">
        <v>559</v>
      </c>
      <c r="C90" s="69" t="s">
        <v>489</v>
      </c>
      <c r="D90" s="70">
        <v>0.18</v>
      </c>
    </row>
    <row r="91" spans="2:4">
      <c r="B91" s="68" t="s">
        <v>560</v>
      </c>
      <c r="C91" s="69" t="s">
        <v>487</v>
      </c>
      <c r="D91" s="70">
        <v>0.1</v>
      </c>
    </row>
    <row r="92" spans="2:4">
      <c r="B92" s="68" t="s">
        <v>561</v>
      </c>
      <c r="C92" s="69" t="s">
        <v>487</v>
      </c>
      <c r="D92" s="70">
        <v>0.04</v>
      </c>
    </row>
    <row r="93" spans="2:4">
      <c r="B93" s="68" t="s">
        <v>562</v>
      </c>
      <c r="C93" s="69" t="s">
        <v>487</v>
      </c>
      <c r="D93" s="70">
        <v>0.02</v>
      </c>
    </row>
    <row r="94" spans="2:4">
      <c r="B94" s="68" t="s">
        <v>563</v>
      </c>
      <c r="C94" s="69" t="s">
        <v>487</v>
      </c>
      <c r="D94" s="70">
        <v>0.31</v>
      </c>
    </row>
    <row r="95" spans="2:4" ht="17.25" thickBot="1">
      <c r="B95" s="150" t="s">
        <v>490</v>
      </c>
      <c r="C95" s="151"/>
      <c r="D95" s="72">
        <v>1.29</v>
      </c>
    </row>
    <row r="96" spans="2:4" ht="17.25" thickTop="1">
      <c r="B96" s="69" t="s">
        <v>564</v>
      </c>
      <c r="C96" s="68" t="s">
        <v>480</v>
      </c>
      <c r="D96" s="70">
        <v>0.32</v>
      </c>
    </row>
    <row r="97" spans="2:14">
      <c r="B97" s="68" t="s">
        <v>565</v>
      </c>
      <c r="C97" s="69" t="s">
        <v>489</v>
      </c>
      <c r="D97" s="70">
        <v>0.2</v>
      </c>
    </row>
    <row r="98" spans="2:14">
      <c r="B98" s="68" t="s">
        <v>566</v>
      </c>
      <c r="C98" s="69" t="s">
        <v>489</v>
      </c>
      <c r="D98" s="70">
        <v>0.36</v>
      </c>
    </row>
    <row r="99" spans="2:14">
      <c r="B99" s="68" t="s">
        <v>567</v>
      </c>
      <c r="C99" s="69" t="s">
        <v>487</v>
      </c>
      <c r="D99" s="70">
        <v>0.15</v>
      </c>
    </row>
    <row r="100" spans="2:14">
      <c r="B100" s="68" t="s">
        <v>568</v>
      </c>
      <c r="C100" s="69" t="s">
        <v>487</v>
      </c>
      <c r="D100" s="70">
        <v>0.05</v>
      </c>
    </row>
    <row r="101" spans="2:14">
      <c r="B101" s="68" t="s">
        <v>569</v>
      </c>
      <c r="C101" s="69" t="s">
        <v>487</v>
      </c>
      <c r="D101" s="70">
        <v>0.13</v>
      </c>
    </row>
    <row r="102" spans="2:14">
      <c r="B102" s="68" t="s">
        <v>570</v>
      </c>
      <c r="C102" s="69" t="s">
        <v>487</v>
      </c>
      <c r="D102" s="70">
        <v>7.0000000000000007E-2</v>
      </c>
      <c r="F102" t="s">
        <v>579</v>
      </c>
      <c r="G102">
        <f>SUMIF($C$2:$C$113,F102,$D$2:$D$113)</f>
        <v>9.67</v>
      </c>
    </row>
    <row r="103" spans="2:14">
      <c r="B103" s="68" t="s">
        <v>571</v>
      </c>
      <c r="C103" s="69" t="s">
        <v>489</v>
      </c>
      <c r="D103" s="70">
        <v>0.15</v>
      </c>
      <c r="F103" t="s">
        <v>580</v>
      </c>
      <c r="G103">
        <f>SUMIF($C$2:$C$113,F103,$D$2:$D$113)</f>
        <v>16.55</v>
      </c>
      <c r="I103">
        <f>G103/(G103+G102)</f>
        <v>0.63119755911517927</v>
      </c>
    </row>
    <row r="104" spans="2:14">
      <c r="B104" s="68" t="s">
        <v>572</v>
      </c>
      <c r="C104" s="69" t="s">
        <v>487</v>
      </c>
      <c r="D104" s="70">
        <v>0.02</v>
      </c>
      <c r="F104" t="s">
        <v>581</v>
      </c>
      <c r="G104">
        <f>SUMIF($C$2:$C$113,F104,$D$2:$D$113)</f>
        <v>16.079999999999998</v>
      </c>
    </row>
    <row r="105" spans="2:14">
      <c r="B105" s="68" t="s">
        <v>573</v>
      </c>
      <c r="C105" s="69" t="s">
        <v>480</v>
      </c>
      <c r="D105" s="70">
        <v>0.25</v>
      </c>
    </row>
    <row r="106" spans="2:14">
      <c r="B106" s="68" t="s">
        <v>574</v>
      </c>
      <c r="C106" s="69" t="s">
        <v>487</v>
      </c>
      <c r="D106" s="70">
        <v>0.12</v>
      </c>
    </row>
    <row r="107" spans="2:14">
      <c r="B107" s="68" t="s">
        <v>575</v>
      </c>
      <c r="C107" s="69" t="s">
        <v>487</v>
      </c>
      <c r="D107" s="70">
        <v>0.18</v>
      </c>
    </row>
    <row r="108" spans="2:14">
      <c r="B108" s="68" t="s">
        <v>576</v>
      </c>
      <c r="C108" s="69" t="s">
        <v>487</v>
      </c>
      <c r="D108" s="70">
        <v>0.2</v>
      </c>
      <c r="I108" s="75">
        <v>38000</v>
      </c>
      <c r="J108" s="75">
        <v>156000</v>
      </c>
      <c r="K108" s="75">
        <v>194000</v>
      </c>
    </row>
    <row r="109" spans="2:14" ht="17.25" thickBot="1">
      <c r="B109" s="68" t="s">
        <v>577</v>
      </c>
      <c r="C109" s="69" t="s">
        <v>487</v>
      </c>
      <c r="D109" s="70">
        <v>0.03</v>
      </c>
    </row>
    <row r="110" spans="2:14" ht="17.25" thickTop="1">
      <c r="B110" s="68" t="s">
        <v>578</v>
      </c>
      <c r="C110" s="69" t="s">
        <v>487</v>
      </c>
      <c r="D110" s="70">
        <v>0.1</v>
      </c>
      <c r="G110" s="76">
        <f>57249*1.2</f>
        <v>68698.8</v>
      </c>
      <c r="H110" s="76">
        <v>97998</v>
      </c>
      <c r="I110" s="77">
        <v>111487</v>
      </c>
      <c r="J110" s="77">
        <v>140339</v>
      </c>
      <c r="K110" s="77">
        <v>169980</v>
      </c>
      <c r="N110" s="78">
        <v>46762</v>
      </c>
    </row>
    <row r="111" spans="2:14">
      <c r="B111" s="152" t="s">
        <v>490</v>
      </c>
      <c r="C111" s="153"/>
      <c r="D111" s="70">
        <v>2.33</v>
      </c>
      <c r="G111" s="76">
        <v>146000</v>
      </c>
      <c r="H111" s="76">
        <v>146000</v>
      </c>
      <c r="I111" s="76">
        <v>146000</v>
      </c>
      <c r="J111" s="76">
        <v>146000</v>
      </c>
      <c r="K111" s="76">
        <v>194000</v>
      </c>
      <c r="N111" s="79">
        <v>49081</v>
      </c>
    </row>
    <row r="112" spans="2:14">
      <c r="D112" s="73">
        <v>41.01</v>
      </c>
      <c r="G112">
        <f>G110/G111</f>
        <v>0.4705397260273973</v>
      </c>
      <c r="H112">
        <f>H110/H111</f>
        <v>0.67121917808219178</v>
      </c>
      <c r="I112">
        <f t="shared" ref="I112:K112" si="0">I110/I111</f>
        <v>0.76360958904109588</v>
      </c>
      <c r="J112">
        <f t="shared" si="0"/>
        <v>0.96122602739726026</v>
      </c>
      <c r="K112">
        <f t="shared" si="0"/>
        <v>0.87618556701030925</v>
      </c>
      <c r="N112" s="79">
        <v>49808</v>
      </c>
    </row>
    <row r="113" spans="3:14">
      <c r="C113" s="69" t="s">
        <v>489</v>
      </c>
      <c r="D113" s="73">
        <v>1.28</v>
      </c>
      <c r="N113" s="79">
        <v>51187</v>
      </c>
    </row>
    <row r="114" spans="3:14">
      <c r="D114" s="73">
        <v>2</v>
      </c>
      <c r="N114" s="79">
        <v>52128</v>
      </c>
    </row>
    <row r="115" spans="3:14">
      <c r="H115" s="68">
        <v>483</v>
      </c>
      <c r="I115" s="68">
        <v>534</v>
      </c>
      <c r="J115" s="68">
        <v>590</v>
      </c>
      <c r="K115" s="68">
        <v>794</v>
      </c>
      <c r="N115" s="79">
        <v>56312</v>
      </c>
    </row>
    <row r="116" spans="3:14">
      <c r="H116" s="68">
        <v>500</v>
      </c>
      <c r="I116" s="68">
        <v>500</v>
      </c>
      <c r="J116" s="68">
        <v>800</v>
      </c>
      <c r="K116" s="68">
        <v>800</v>
      </c>
      <c r="N116" s="79">
        <v>70026</v>
      </c>
    </row>
    <row r="117" spans="3:14">
      <c r="H117">
        <f>H115/H116</f>
        <v>0.96599999999999997</v>
      </c>
      <c r="I117">
        <f t="shared" ref="I117" si="1">I115/I116</f>
        <v>1.0680000000000001</v>
      </c>
      <c r="J117">
        <f t="shared" ref="J117" si="2">J115/J116</f>
        <v>0.73750000000000004</v>
      </c>
      <c r="K117">
        <f t="shared" ref="K117" si="3">K115/K116</f>
        <v>0.99250000000000005</v>
      </c>
      <c r="N117" s="79">
        <v>65191</v>
      </c>
    </row>
    <row r="118" spans="3:14">
      <c r="N118" s="79">
        <v>73512</v>
      </c>
    </row>
    <row r="119" spans="3:14">
      <c r="N119" s="79">
        <v>62077</v>
      </c>
    </row>
    <row r="120" spans="3:14">
      <c r="H120" s="68">
        <v>419</v>
      </c>
      <c r="I120" s="68">
        <v>574</v>
      </c>
      <c r="J120" s="68">
        <v>574</v>
      </c>
      <c r="K120" s="68">
        <v>574</v>
      </c>
      <c r="N120" s="79">
        <v>53422</v>
      </c>
    </row>
    <row r="121" spans="3:14" ht="17.25" thickBot="1">
      <c r="H121" s="68">
        <v>450</v>
      </c>
      <c r="I121" s="68">
        <v>600</v>
      </c>
      <c r="J121" s="68">
        <v>600</v>
      </c>
      <c r="K121" s="68">
        <v>600</v>
      </c>
      <c r="N121" s="80">
        <v>57485</v>
      </c>
    </row>
    <row r="122" spans="3:14" ht="17.25" thickTop="1">
      <c r="H122">
        <f>H120/H121</f>
        <v>0.93111111111111111</v>
      </c>
      <c r="I122">
        <f t="shared" ref="I122" si="4">I120/I121</f>
        <v>0.95666666666666667</v>
      </c>
      <c r="J122">
        <f t="shared" ref="J122" si="5">J120/J121</f>
        <v>0.95666666666666667</v>
      </c>
      <c r="K122">
        <f t="shared" ref="K122" si="6">K120/K121</f>
        <v>0.95666666666666667</v>
      </c>
      <c r="N122" s="74">
        <f>AVERAGE(N110:N121)</f>
        <v>57249.25</v>
      </c>
    </row>
  </sheetData>
  <mergeCells count="14">
    <mergeCell ref="B39:C39"/>
    <mergeCell ref="B10:C10"/>
    <mergeCell ref="B13:C13"/>
    <mergeCell ref="B17:C17"/>
    <mergeCell ref="B26:C26"/>
    <mergeCell ref="B31:C31"/>
    <mergeCell ref="B95:C95"/>
    <mergeCell ref="B111:C111"/>
    <mergeCell ref="B45:C45"/>
    <mergeCell ref="B54:C54"/>
    <mergeCell ref="B63:C63"/>
    <mergeCell ref="B69:C69"/>
    <mergeCell ref="B78:C78"/>
    <mergeCell ref="B86:C86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4</vt:i4>
      </vt:variant>
    </vt:vector>
  </HeadingPairs>
  <TitlesOfParts>
    <vt:vector size="11" baseType="lpstr">
      <vt:lpstr>사업비</vt:lpstr>
      <vt:lpstr>마을,소규모 급수시설</vt:lpstr>
      <vt:lpstr>사업비-</vt:lpstr>
      <vt:lpstr>개량사업비 산정기준</vt:lpstr>
      <vt:lpstr>개량사업비산출</vt:lpstr>
      <vt:lpstr>지하수 폐공비용</vt:lpstr>
      <vt:lpstr>Sheet1</vt:lpstr>
      <vt:lpstr>'개량사업비 산정기준'!Print_Area</vt:lpstr>
      <vt:lpstr>개량사업비산출!Print_Area</vt:lpstr>
      <vt:lpstr>개량사업비산출!Print_Titles</vt:lpstr>
      <vt:lpstr>'지하수 폐공비용'!Print_Titles</vt:lpstr>
    </vt:vector>
  </TitlesOfParts>
  <Company>withus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withus</dc:creator>
  <cp:lastModifiedBy>admin</cp:lastModifiedBy>
  <cp:lastPrinted>2015-04-01T04:09:15Z</cp:lastPrinted>
  <dcterms:created xsi:type="dcterms:W3CDTF">2015-03-18T06:27:21Z</dcterms:created>
  <dcterms:modified xsi:type="dcterms:W3CDTF">2016-04-30T08:45:35Z</dcterms:modified>
</cp:coreProperties>
</file>