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05" yWindow="-30" windowWidth="13335" windowHeight="12255" tabRatio="946" activeTab="1"/>
  </bookViews>
  <sheets>
    <sheet name="자연적인구보정(최종)" sheetId="103" r:id="rId1"/>
    <sheet name="1.1 가.과거10년 인구" sheetId="40" r:id="rId2"/>
    <sheet name="1.1 나.과거10년 인구(읍면별)" sheetId="59" r:id="rId3"/>
    <sheet name="1.1 다.과거인구추이분석" sheetId="60" r:id="rId4"/>
    <sheet name="1.2.1수학적인구 추정(전체)-10년치" sheetId="97" r:id="rId5"/>
    <sheet name="1.2.2조성법" sheetId="66" r:id="rId6"/>
    <sheet name="생잔모형법(홍성군)" sheetId="88" r:id="rId7"/>
    <sheet name="생잔모형법(충청남도)" sheetId="99" r:id="rId8"/>
    <sheet name="통계청 장래인구 추계" sheetId="100" r:id="rId9"/>
    <sheet name="1.2.1 사회적인구 계획" sheetId="110" r:id="rId10"/>
    <sheet name="외부유입율" sheetId="111" r:id="rId11"/>
    <sheet name="내포외부유입율" sheetId="116" r:id="rId12"/>
    <sheet name="1.3 계획인구(읍면지역)" sheetId="115" r:id="rId13"/>
    <sheet name="계획인구(최종)" sheetId="112" r:id="rId14"/>
    <sheet name="---&gt;출력xxxx" sheetId="98" r:id="rId15"/>
    <sheet name="충남('15) 5세 계급별 인구(내포포함)" sheetId="107" r:id="rId16"/>
    <sheet name="홍성군('15) 5세 계급별 인구(내포제외)" sheetId="91" r:id="rId17"/>
    <sheet name="홍성군('15) 5세 계급별 인구 (내포포함)" sheetId="105" r:id="rId18"/>
    <sheet name="#1. 장래인구 성비" sheetId="93" r:id="rId19"/>
    <sheet name="#2. 모의 연령별 출산율" sheetId="94" r:id="rId20"/>
    <sheet name="#3. 생잔율" sheetId="95" r:id="rId21"/>
    <sheet name="#4. 생명표" sheetId="96" r:id="rId22"/>
    <sheet name="홍성군 인구현황(2015)" sheetId="104" r:id="rId23"/>
    <sheet name="요약보고서 삽도용" sheetId="113" r:id="rId24"/>
    <sheet name="Sheet1" sheetId="114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Fill" localSheetId="7" hidden="1">#REF!</definedName>
    <definedName name="_Fill" localSheetId="15" hidden="1">#REF!</definedName>
    <definedName name="_Fill" localSheetId="17" hidden="1">#REF!</definedName>
    <definedName name="_Fill" hidden="1">#REF!</definedName>
    <definedName name="_xlnm._FilterDatabase" localSheetId="21" hidden="1">'#4. 생명표'!#REF!</definedName>
    <definedName name="_Order1" hidden="1">255</definedName>
    <definedName name="_Order2" hidden="1">255</definedName>
    <definedName name="_Regression_Out" localSheetId="7" hidden="1">#REF!</definedName>
    <definedName name="_Regression_Out" localSheetId="15" hidden="1">#REF!</definedName>
    <definedName name="_Regression_Out" localSheetId="17" hidden="1">#REF!</definedName>
    <definedName name="_Regression_Out" hidden="1">#REF!</definedName>
    <definedName name="_Regression_X" localSheetId="7" hidden="1">#REF!</definedName>
    <definedName name="_Regression_X" localSheetId="15" hidden="1">#REF!</definedName>
    <definedName name="_Regression_X" localSheetId="17" hidden="1">#REF!</definedName>
    <definedName name="_Regression_X" hidden="1">#REF!</definedName>
    <definedName name="_Regression_Y" localSheetId="7" hidden="1">#REF!</definedName>
    <definedName name="_Regression_Y" localSheetId="15" hidden="1">#REF!</definedName>
    <definedName name="_Regression_Y" localSheetId="17" hidden="1">#REF!</definedName>
    <definedName name="_Regression_Y" hidden="1">#REF!</definedName>
    <definedName name="_Sort" localSheetId="7" hidden="1">#REF!</definedName>
    <definedName name="_Sort" localSheetId="15" hidden="1">#REF!</definedName>
    <definedName name="_Sort" localSheetId="17" hidden="1">#REF!</definedName>
    <definedName name="_Sort" hidden="1">#REF!</definedName>
    <definedName name="AAAAA" hidden="1">{#N/A,#N/A,TRUE,"총괄"}</definedName>
    <definedName name="anscount" hidden="1">1</definedName>
    <definedName name="CCTV적재차량경비" localSheetId="7">#REF!</definedName>
    <definedName name="CCTV적재차량경비" localSheetId="15">#REF!</definedName>
    <definedName name="CCTV적재차량경비" localSheetId="17">#REF!</definedName>
    <definedName name="CCTV적재차량경비">#REF!</definedName>
    <definedName name="CCTV적재차량노무비" localSheetId="7">#REF!</definedName>
    <definedName name="CCTV적재차량노무비" localSheetId="15">#REF!</definedName>
    <definedName name="CCTV적재차량노무비" localSheetId="17">#REF!</definedName>
    <definedName name="CCTV적재차량노무비">#REF!</definedName>
    <definedName name="CCTV적재차량재료비" localSheetId="7">#REF!</definedName>
    <definedName name="CCTV적재차량재료비" localSheetId="15">#REF!</definedName>
    <definedName name="CCTV적재차량재료비" localSheetId="17">#REF!</definedName>
    <definedName name="CCTV적재차량재료비">#REF!</definedName>
    <definedName name="CCTV카메라경비" localSheetId="7">#REF!</definedName>
    <definedName name="CCTV카메라경비" localSheetId="15">#REF!</definedName>
    <definedName name="CCTV카메라경비" localSheetId="17">#REF!</definedName>
    <definedName name="CCTV카메라경비">#REF!</definedName>
    <definedName name="CCTV카메라노무비" localSheetId="7">#REF!</definedName>
    <definedName name="CCTV카메라노무비" localSheetId="15">#REF!</definedName>
    <definedName name="CCTV카메라노무비" localSheetId="17">#REF!</definedName>
    <definedName name="CCTV카메라노무비">#REF!</definedName>
    <definedName name="CCTV카메라재료비" localSheetId="7">#REF!</definedName>
    <definedName name="CCTV카메라재료비" localSheetId="15">#REF!</definedName>
    <definedName name="CCTV카메라재료비" localSheetId="17">#REF!</definedName>
    <definedName name="CCTV카메라재료비">#REF!</definedName>
    <definedName name="E">[1]과거자료!$B$57</definedName>
    <definedName name="HTML_CodePage" hidden="1">949</definedName>
    <definedName name="HTML_Control" localSheetId="5" hidden="1">{"'용수수요총괄(일평균)'!$A$1:$AR$182","'용수수요총괄(일평균)'!$J$188"}</definedName>
    <definedName name="HTML_Control" hidden="1">{"'용수수요총괄(일평균)'!$A$1:$AR$182","'용수수요총괄(일평균)'!$J$188"}</definedName>
    <definedName name="HTML_Description" hidden="1">""</definedName>
    <definedName name="HTML_Email" hidden="1">""</definedName>
    <definedName name="HTML_Header" hidden="1">"용수수요총괄(일평균)"</definedName>
    <definedName name="HTML_LastUpdate" hidden="1">"03-05-31"</definedName>
    <definedName name="HTML_LineAfter" hidden="1">FALSE</definedName>
    <definedName name="HTML_LineBefore" hidden="1">FALSE</definedName>
    <definedName name="HTML_Name" hidden="1">"이상엽"</definedName>
    <definedName name="HTML_OBDlg2" hidden="1">TRUE</definedName>
    <definedName name="HTML_OBDlg4" hidden="1">TRUE</definedName>
    <definedName name="HTML_OS" hidden="1">0</definedName>
    <definedName name="HTML_PathFile" hidden="1">"\\윤수환\급수체계조정\PLAN\용수수요2\4.일평균수요량\일평균.htm"</definedName>
    <definedName name="HTML_Title" hidden="1">"용수수요총괄(일평균)"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KATESYSTEM경비" localSheetId="7">#REF!</definedName>
    <definedName name="KATESYSTEM경비" localSheetId="15">#REF!</definedName>
    <definedName name="KATESYSTEM경비" localSheetId="17">#REF!</definedName>
    <definedName name="KATESYSTEM경비">#REF!</definedName>
    <definedName name="KATE탑재차경비" localSheetId="7">#REF!</definedName>
    <definedName name="KATE탑재차경비" localSheetId="15">#REF!</definedName>
    <definedName name="KATE탑재차경비" localSheetId="17">#REF!</definedName>
    <definedName name="KATE탑재차경비">#REF!</definedName>
    <definedName name="KATE탑재차노무비" localSheetId="7">#REF!</definedName>
    <definedName name="KATE탑재차노무비" localSheetId="15">#REF!</definedName>
    <definedName name="KATE탑재차노무비" localSheetId="17">#REF!</definedName>
    <definedName name="KATE탑재차노무비">#REF!</definedName>
    <definedName name="KATE탑재차재료비" localSheetId="7">#REF!</definedName>
    <definedName name="KATE탑재차재료비" localSheetId="15">#REF!</definedName>
    <definedName name="KATE탑재차재료비" localSheetId="17">#REF!</definedName>
    <definedName name="KATE탑재차재료비">#REF!</definedName>
    <definedName name="KKK" hidden="1">{#N/A,#N/A,FALSE,"포장단가"}</definedName>
    <definedName name="LLL" hidden="1">{#N/A,#N/A,FALSE,"포장단가"}</definedName>
    <definedName name="_xlnm.Print_Area" localSheetId="18">'#1. 장래인구 성비'!$A$1:$M$29</definedName>
    <definedName name="_xlnm.Print_Area" localSheetId="19">'#2. 모의 연령별 출산율'!$A$1:$F$15</definedName>
    <definedName name="_xlnm.Print_Area" localSheetId="21">'#4. 생명표'!$A$1:$AG$57</definedName>
    <definedName name="_xlnm.Print_Area" localSheetId="1">'1.1 가.과거10년 인구'!$B$3:$R$21</definedName>
    <definedName name="_xlnm.Print_Area" localSheetId="2">'1.1 나.과거10년 인구(읍면별)'!$A$1:$O$16</definedName>
    <definedName name="_xlnm.Print_Area" localSheetId="3">'1.1 다.과거인구추이분석'!$A$1:$I$45</definedName>
    <definedName name="_xlnm.Print_Area" localSheetId="9">'1.2.1 사회적인구 계획'!$A$1:$J$22</definedName>
    <definedName name="_xlnm.Print_Area" localSheetId="4">'1.2.1수학적인구 추정(전체)-10년치'!$A$3:$K$60</definedName>
    <definedName name="_xlnm.Print_Area" localSheetId="5">'1.2.2조성법'!$A$2:$G$17</definedName>
    <definedName name="_xlnm.Print_Area" localSheetId="13">'계획인구(최종)'!$A$1:$J$113</definedName>
    <definedName name="_xlnm.Print_Area" localSheetId="11">내포외부유입율!$A$1:$G$121</definedName>
    <definedName name="_xlnm.Print_Area" localSheetId="10">외부유입율!$A$1:$G$54</definedName>
    <definedName name="_xlnm.Print_Area" localSheetId="0">'자연적인구보정(최종)'!$A$1:$I$20</definedName>
    <definedName name="_xlnm.Print_Area" localSheetId="15">'충남(''15) 5세 계급별 인구(내포포함)'!$A$1:$D$25</definedName>
    <definedName name="_xlnm.Print_Area" localSheetId="8">'통계청 장래인구 추계'!$A$1:$Q$25</definedName>
    <definedName name="_xlnm.Print_Area" localSheetId="17">'홍성군(''15) 5세 계급별 인구 (내포포함)'!$A$1:$D$25</definedName>
    <definedName name="_xlnm.Print_Area" localSheetId="16">'홍성군(''15) 5세 계급별 인구(내포제외)'!$A$1:$D$25</definedName>
    <definedName name="_xlnm.Print_Area">#REF!</definedName>
    <definedName name="PRINT_AREA_MI" localSheetId="7">#REF!</definedName>
    <definedName name="PRINT_AREA_MI" localSheetId="15">#REF!</definedName>
    <definedName name="PRINT_AREA_MI" localSheetId="17">#REF!</definedName>
    <definedName name="PRINT_AREA_MI">#REF!</definedName>
    <definedName name="_xlnm.Print_Titles" localSheetId="2">'1.1 나.과거10년 인구(읍면별)'!$A:$A</definedName>
    <definedName name="_xlnm.Print_Titles" localSheetId="5">'1.2.2조성법'!$4:$5</definedName>
    <definedName name="_xlnm.Print_Titles" localSheetId="7">'생잔모형법(충청남도)'!$1:$4</definedName>
    <definedName name="_xlnm.Print_Titles" localSheetId="6">'생잔모형법(홍성군)'!$1:$4</definedName>
    <definedName name="SW기사" localSheetId="7">#REF!</definedName>
    <definedName name="SW기사" localSheetId="15">#REF!</definedName>
    <definedName name="SW기사" localSheetId="17">#REF!</definedName>
    <definedName name="SW기사">#REF!</definedName>
    <definedName name="W" hidden="1">{#N/A,#N/A,FALSE,"포장단가"}</definedName>
    <definedName name="WJD" hidden="1">{#N/A,#N/A,FALSE,"포장단가"}</definedName>
    <definedName name="wrn.연동제." hidden="1">{#N/A,#N/A,TRUE,"총괄"}</definedName>
    <definedName name="wrn.포장단가." hidden="1">{#N/A,#N/A,FALSE,"포장단가"}</definedName>
    <definedName name="각시군">[1]과거자료!$12:$12</definedName>
    <definedName name="건축목공" localSheetId="7">#REF!</definedName>
    <definedName name="건축목공" localSheetId="15">#REF!</definedName>
    <definedName name="건축목공" localSheetId="17">#REF!</definedName>
    <definedName name="건축목공">#REF!</definedName>
    <definedName name="고급기술자" localSheetId="7">#REF!</definedName>
    <definedName name="고급기술자" localSheetId="15">#REF!</definedName>
    <definedName name="고급기술자" localSheetId="17">#REF!</definedName>
    <definedName name="고급기술자">#REF!</definedName>
    <definedName name="공기압축기경비" localSheetId="7">#REF!</definedName>
    <definedName name="공기압축기경비" localSheetId="15">#REF!</definedName>
    <definedName name="공기압축기경비" localSheetId="17">#REF!</definedName>
    <definedName name="공기압축기경비">#REF!</definedName>
    <definedName name="공기압축기노무비" localSheetId="7">#REF!</definedName>
    <definedName name="공기압축기노무비" localSheetId="15">#REF!</definedName>
    <definedName name="공기압축기노무비" localSheetId="17">#REF!</definedName>
    <definedName name="공기압축기노무비">#REF!</definedName>
    <definedName name="공기압축기재료비" localSheetId="7">#REF!</definedName>
    <definedName name="공기압축기재료비" localSheetId="15">#REF!</definedName>
    <definedName name="공기압축기재료비" localSheetId="17">#REF!</definedName>
    <definedName name="공기압축기재료비">#REF!</definedName>
    <definedName name="과거인구" localSheetId="4">#REF!</definedName>
    <definedName name="과거인구" localSheetId="7">#REF!</definedName>
    <definedName name="과거인구" localSheetId="15">#REF!</definedName>
    <definedName name="과거인구" localSheetId="17">#REF!</definedName>
    <definedName name="과거인구">#REF!</definedName>
    <definedName name="광주10년추정" localSheetId="4">#REF!</definedName>
    <definedName name="광주10년추정" localSheetId="7">#REF!</definedName>
    <definedName name="광주10년추정" localSheetId="15">#REF!</definedName>
    <definedName name="광주10년추정" localSheetId="17">#REF!</definedName>
    <definedName name="광주10년추정">#REF!</definedName>
    <definedName name="광주15년추정" localSheetId="4">#REF!</definedName>
    <definedName name="광주15년추정" localSheetId="7">#REF!</definedName>
    <definedName name="광주15년추정" localSheetId="15">#REF!</definedName>
    <definedName name="광주15년추정" localSheetId="17">#REF!</definedName>
    <definedName name="광주15년추정">#REF!</definedName>
    <definedName name="광주5년추정" localSheetId="4">#REF!</definedName>
    <definedName name="광주5년추정" localSheetId="7">#REF!</definedName>
    <definedName name="광주5년추정" localSheetId="15">#REF!</definedName>
    <definedName name="광주5년추정" localSheetId="17">#REF!</definedName>
    <definedName name="광주5년추정">#REF!</definedName>
    <definedName name="내면보수차경비" localSheetId="7">#REF!</definedName>
    <definedName name="내면보수차경비" localSheetId="15">#REF!</definedName>
    <definedName name="내면보수차경비" localSheetId="17">#REF!</definedName>
    <definedName name="내면보수차경비">#REF!</definedName>
    <definedName name="내면보수차노무비" localSheetId="7">#REF!</definedName>
    <definedName name="내면보수차노무비" localSheetId="15">#REF!</definedName>
    <definedName name="내면보수차노무비" localSheetId="17">#REF!</definedName>
    <definedName name="내면보수차노무비">#REF!</definedName>
    <definedName name="내면보수차재료비" localSheetId="7">#REF!</definedName>
    <definedName name="내면보수차재료비" localSheetId="15">#REF!</definedName>
    <definedName name="내면보수차재료비" localSheetId="17">#REF!</definedName>
    <definedName name="내면보수차재료비">#REF!</definedName>
    <definedName name="대리석포장" hidden="1">{#N/A,#N/A,TRUE,"총괄"}</definedName>
    <definedName name="디이젤엔진20경비" localSheetId="7">#REF!</definedName>
    <definedName name="디이젤엔진20경비" localSheetId="15">#REF!</definedName>
    <definedName name="디이젤엔진20경비" localSheetId="17">#REF!</definedName>
    <definedName name="디이젤엔진20경비">#REF!</definedName>
    <definedName name="디이젤엔진20노무비" localSheetId="7">#REF!</definedName>
    <definedName name="디이젤엔진20노무비" localSheetId="15">#REF!</definedName>
    <definedName name="디이젤엔진20노무비" localSheetId="17">#REF!</definedName>
    <definedName name="디이젤엔진20노무비">#REF!</definedName>
    <definedName name="디이젤엔진20재료비" localSheetId="7">#REF!</definedName>
    <definedName name="디이젤엔진20재료비" localSheetId="15">#REF!</definedName>
    <definedName name="디이젤엔진20재료비" localSheetId="17">#REF!</definedName>
    <definedName name="디이젤엔진20재료비">#REF!</definedName>
    <definedName name="디이젤엔진7경비" localSheetId="7">#REF!</definedName>
    <definedName name="디이젤엔진7경비" localSheetId="15">#REF!</definedName>
    <definedName name="디이젤엔진7경비" localSheetId="17">#REF!</definedName>
    <definedName name="디이젤엔진7경비">#REF!</definedName>
    <definedName name="디이젤엔진7노무비" localSheetId="7">#REF!</definedName>
    <definedName name="디이젤엔진7노무비" localSheetId="15">#REF!</definedName>
    <definedName name="디이젤엔진7노무비" localSheetId="17">#REF!</definedName>
    <definedName name="디이젤엔진7노무비">#REF!</definedName>
    <definedName name="디이젤엔진7재료비" localSheetId="7">#REF!</definedName>
    <definedName name="디이젤엔진7재료비" localSheetId="15">#REF!</definedName>
    <definedName name="디이젤엔진7재료비" localSheetId="17">#REF!</definedName>
    <definedName name="디이젤엔진7재료비">#REF!</definedName>
    <definedName name="리">[2]Variables!$E$1</definedName>
    <definedName name="ㅁㅁㅁㅁ" hidden="1">{#N/A,#N/A,TRUE,"총괄"}</definedName>
    <definedName name="면내" localSheetId="4">#REF!</definedName>
    <definedName name="면내" localSheetId="7">#REF!</definedName>
    <definedName name="면내" localSheetId="15">#REF!</definedName>
    <definedName name="면내" localSheetId="17">#REF!</definedName>
    <definedName name="면내">#REF!</definedName>
    <definedName name="면외" localSheetId="4">#REF!</definedName>
    <definedName name="면외" localSheetId="7">#REF!</definedName>
    <definedName name="면외" localSheetId="15">#REF!</definedName>
    <definedName name="면외" localSheetId="17">#REF!</definedName>
    <definedName name="면외">#REF!</definedName>
    <definedName name="물가조사" localSheetId="7">#REF!</definedName>
    <definedName name="물가조사" localSheetId="15">#REF!</definedName>
    <definedName name="물가조사" localSheetId="17">#REF!</definedName>
    <definedName name="물가조사">#REF!</definedName>
    <definedName name="물막이공경비" localSheetId="7">#REF!</definedName>
    <definedName name="물막이공경비" localSheetId="15">#REF!</definedName>
    <definedName name="물막이공경비" localSheetId="17">#REF!</definedName>
    <definedName name="물막이공경비">#REF!</definedName>
    <definedName name="물막이공노무비" localSheetId="7">#REF!</definedName>
    <definedName name="물막이공노무비" localSheetId="15">#REF!</definedName>
    <definedName name="물막이공노무비" localSheetId="17">#REF!</definedName>
    <definedName name="물막이공노무비">#REF!</definedName>
    <definedName name="물막이공재료비" localSheetId="7">#REF!</definedName>
    <definedName name="물막이공재료비" localSheetId="15">#REF!</definedName>
    <definedName name="물막이공재료비" localSheetId="17">#REF!</definedName>
    <definedName name="물막이공재료비">#REF!</definedName>
    <definedName name="미장공" localSheetId="7">#REF!</definedName>
    <definedName name="미장공" localSheetId="15">#REF!</definedName>
    <definedName name="미장공" localSheetId="17">#REF!</definedName>
    <definedName name="미장공">#REF!</definedName>
    <definedName name="발전기25kw경비" localSheetId="7">#REF!</definedName>
    <definedName name="발전기25kw경비" localSheetId="15">#REF!</definedName>
    <definedName name="발전기25kw경비" localSheetId="17">#REF!</definedName>
    <definedName name="발전기25kw경비">#REF!</definedName>
    <definedName name="발전기25kw노무비" localSheetId="7">#REF!</definedName>
    <definedName name="발전기25kw노무비" localSheetId="15">#REF!</definedName>
    <definedName name="발전기25kw노무비" localSheetId="17">#REF!</definedName>
    <definedName name="발전기25kw노무비">#REF!</definedName>
    <definedName name="발전기25kw재료비" localSheetId="7">#REF!</definedName>
    <definedName name="발전기25kw재료비" localSheetId="15">#REF!</definedName>
    <definedName name="발전기25kw재료비" localSheetId="17">#REF!</definedName>
    <definedName name="발전기25kw재료비">#REF!</definedName>
    <definedName name="발전기60kw경비" localSheetId="7">#REF!</definedName>
    <definedName name="발전기60kw경비" localSheetId="15">#REF!</definedName>
    <definedName name="발전기60kw경비" localSheetId="17">#REF!</definedName>
    <definedName name="발전기60kw경비">#REF!</definedName>
    <definedName name="발전기60kw노무비" localSheetId="7">#REF!</definedName>
    <definedName name="발전기60kw노무비" localSheetId="15">#REF!</definedName>
    <definedName name="발전기60kw노무비" localSheetId="17">#REF!</definedName>
    <definedName name="발전기60kw노무비">#REF!</definedName>
    <definedName name="발전기60kw재료비" localSheetId="7">#REF!</definedName>
    <definedName name="발전기60kw재료비" localSheetId="15">#REF!</definedName>
    <definedName name="발전기60kw재료비" localSheetId="17">#REF!</definedName>
    <definedName name="발전기60kw재료비">#REF!</definedName>
    <definedName name="발전기탑재차경비" localSheetId="7">#REF!</definedName>
    <definedName name="발전기탑재차경비" localSheetId="15">#REF!</definedName>
    <definedName name="발전기탑재차경비" localSheetId="17">#REF!</definedName>
    <definedName name="발전기탑재차경비">#REF!</definedName>
    <definedName name="발전기탑재차노무비" localSheetId="7">#REF!</definedName>
    <definedName name="발전기탑재차노무비" localSheetId="15">#REF!</definedName>
    <definedName name="발전기탑재차노무비" localSheetId="17">#REF!</definedName>
    <definedName name="발전기탑재차노무비">#REF!</definedName>
    <definedName name="발전기탑재차재료비" localSheetId="7">#REF!</definedName>
    <definedName name="발전기탑재차재료비" localSheetId="15">#REF!</definedName>
    <definedName name="발전기탑재차재료비" localSheetId="17">#REF!</definedName>
    <definedName name="발전기탑재차재료비">#REF!</definedName>
    <definedName name="방수공" localSheetId="7">#REF!</definedName>
    <definedName name="방수공" localSheetId="15">#REF!</definedName>
    <definedName name="방수공" localSheetId="17">#REF!</definedName>
    <definedName name="방수공">#REF!</definedName>
    <definedName name="보도" hidden="1">{#N/A,#N/A,TRUE,"총괄"}</definedName>
    <definedName name="보수기1000" localSheetId="7">#REF!</definedName>
    <definedName name="보수기1000" localSheetId="15">#REF!</definedName>
    <definedName name="보수기1000" localSheetId="17">#REF!</definedName>
    <definedName name="보수기1000">#REF!</definedName>
    <definedName name="보수기1100" localSheetId="7">#REF!</definedName>
    <definedName name="보수기1100" localSheetId="15">#REF!</definedName>
    <definedName name="보수기1100" localSheetId="17">#REF!</definedName>
    <definedName name="보수기1100">#REF!</definedName>
    <definedName name="보수기1200" localSheetId="7">#REF!</definedName>
    <definedName name="보수기1200" localSheetId="15">#REF!</definedName>
    <definedName name="보수기1200" localSheetId="17">#REF!</definedName>
    <definedName name="보수기1200">#REF!</definedName>
    <definedName name="보수기250" localSheetId="7">#REF!</definedName>
    <definedName name="보수기250" localSheetId="15">#REF!</definedName>
    <definedName name="보수기250" localSheetId="17">#REF!</definedName>
    <definedName name="보수기250">#REF!</definedName>
    <definedName name="보수기300" localSheetId="7">#REF!</definedName>
    <definedName name="보수기300" localSheetId="15">#REF!</definedName>
    <definedName name="보수기300" localSheetId="17">#REF!</definedName>
    <definedName name="보수기300">#REF!</definedName>
    <definedName name="보수기350" localSheetId="7">#REF!</definedName>
    <definedName name="보수기350" localSheetId="15">#REF!</definedName>
    <definedName name="보수기350" localSheetId="17">#REF!</definedName>
    <definedName name="보수기350">#REF!</definedName>
    <definedName name="보수기400450" localSheetId="7">#REF!</definedName>
    <definedName name="보수기400450" localSheetId="15">#REF!</definedName>
    <definedName name="보수기400450" localSheetId="17">#REF!</definedName>
    <definedName name="보수기400450">#REF!</definedName>
    <definedName name="보수기500" localSheetId="7">#REF!</definedName>
    <definedName name="보수기500" localSheetId="15">#REF!</definedName>
    <definedName name="보수기500" localSheetId="17">#REF!</definedName>
    <definedName name="보수기500">#REF!</definedName>
    <definedName name="보수기600700" localSheetId="7">#REF!</definedName>
    <definedName name="보수기600700" localSheetId="15">#REF!</definedName>
    <definedName name="보수기600700" localSheetId="17">#REF!</definedName>
    <definedName name="보수기600700">#REF!</definedName>
    <definedName name="보수기800" localSheetId="7">#REF!</definedName>
    <definedName name="보수기800" localSheetId="15">#REF!</definedName>
    <definedName name="보수기800" localSheetId="17">#REF!</definedName>
    <definedName name="보수기800">#REF!</definedName>
    <definedName name="보수기900" localSheetId="7">#REF!</definedName>
    <definedName name="보수기900" localSheetId="15">#REF!</definedName>
    <definedName name="보수기900" localSheetId="17">#REF!</definedName>
    <definedName name="보수기900">#REF!</definedName>
    <definedName name="보통인부" localSheetId="7">#REF!</definedName>
    <definedName name="보통인부" localSheetId="15">#REF!</definedName>
    <definedName name="보통인부" localSheetId="17">#REF!</definedName>
    <definedName name="보통인부">#REF!</definedName>
    <definedName name="비계공" localSheetId="7">#REF!</definedName>
    <definedName name="비계공" localSheetId="15">#REF!</definedName>
    <definedName name="비계공" localSheetId="17">#REF!</definedName>
    <definedName name="비계공">#REF!</definedName>
    <definedName name="사다" localSheetId="7" hidden="1">'[3]6PILE  (돌출)'!#REF!</definedName>
    <definedName name="사다" localSheetId="15" hidden="1">'[3]6PILE  (돌출)'!#REF!</definedName>
    <definedName name="사다" localSheetId="17" hidden="1">'[3]6PILE  (돌출)'!#REF!</definedName>
    <definedName name="사다" hidden="1">'[3]6PILE  (돌출)'!#REF!</definedName>
    <definedName name="산술통계" localSheetId="4">#REF!</definedName>
    <definedName name="산술통계" localSheetId="7">#REF!</definedName>
    <definedName name="산술통계" localSheetId="15">#REF!</definedName>
    <definedName name="산술통계" localSheetId="17">#REF!</definedName>
    <definedName name="산술통계">#REF!</definedName>
    <definedName name="선택셀">[1]과거자료!$F$30</definedName>
    <definedName name="수식" localSheetId="7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수식" localSheetId="15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수식" localSheetId="17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수식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수식2" localSheetId="7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수식2" localSheetId="15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수식2" localSheetId="17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수식2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수식3" localSheetId="7">[4]최종인구!#REF!,[4]최종인구!#REF!,[4]최종인구!#REF!</definedName>
    <definedName name="수식3" localSheetId="15">[4]최종인구!#REF!,[4]최종인구!#REF!,[4]최종인구!#REF!</definedName>
    <definedName name="수식3" localSheetId="17">[4]최종인구!#REF!,[4]최종인구!#REF!,[4]최종인구!#REF!</definedName>
    <definedName name="수식3">[4]최종인구!#REF!,[4]최종인구!#REF!,[4]최종인구!#REF!</definedName>
    <definedName name="수원시">[1]과거자료!$B$35</definedName>
    <definedName name="시도명">[2]DongCode!$B$1:$B$1</definedName>
    <definedName name="ㅇㄴㄻㅇㄹㄴㅁ" localSheetId="7" hidden="1">#REF!</definedName>
    <definedName name="ㅇㄴㄻㅇㄹㄴㅁ" localSheetId="15" hidden="1">#REF!</definedName>
    <definedName name="ㅇㄴㄻㅇㄹㄴㅁ" localSheetId="17" hidden="1">#REF!</definedName>
    <definedName name="ㅇㄴㄻㅇㄹㄴㅁ" hidden="1">#REF!</definedName>
    <definedName name="ㅇㅇ" localSheetId="7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ㅇㅇ" localSheetId="15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ㅇㅇ" localSheetId="17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ㅇㅇ">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,[4]최종인구!#REF!</definedName>
    <definedName name="양수기100경비" localSheetId="7">#REF!</definedName>
    <definedName name="양수기100경비" localSheetId="15">#REF!</definedName>
    <definedName name="양수기100경비" localSheetId="17">#REF!</definedName>
    <definedName name="양수기100경비">#REF!</definedName>
    <definedName name="양수기150경비" localSheetId="7">#REF!</definedName>
    <definedName name="양수기150경비" localSheetId="15">#REF!</definedName>
    <definedName name="양수기150경비" localSheetId="17">#REF!</definedName>
    <definedName name="양수기150경비">#REF!</definedName>
    <definedName name="우오수" hidden="1">{#N/A,#N/A,FALSE,"포장단가"}</definedName>
    <definedName name="육각블럭" hidden="1">{#N/A,#N/A,FALSE,"포장단가"}</definedName>
    <definedName name="읍" localSheetId="4">#REF!</definedName>
    <definedName name="읍" localSheetId="7">#REF!</definedName>
    <definedName name="읍" localSheetId="15">#REF!</definedName>
    <definedName name="읍" localSheetId="17">#REF!</definedName>
    <definedName name="읍">#REF!</definedName>
    <definedName name="인구지정내역">[2]DongCode!$CQ$10002:$CQ$10005</definedName>
    <definedName name="ㅈ1" localSheetId="7">#REF!</definedName>
    <definedName name="ㅈ1" localSheetId="15">#REF!</definedName>
    <definedName name="ㅈ1" localSheetId="17">#REF!</definedName>
    <definedName name="ㅈ1">#REF!</definedName>
    <definedName name="ㅈ10" localSheetId="7">#REF!</definedName>
    <definedName name="ㅈ10" localSheetId="15">#REF!</definedName>
    <definedName name="ㅈ10" localSheetId="17">#REF!</definedName>
    <definedName name="ㅈ10">#REF!</definedName>
    <definedName name="ㅈ11" localSheetId="7">#REF!</definedName>
    <definedName name="ㅈ11" localSheetId="15">#REF!</definedName>
    <definedName name="ㅈ11" localSheetId="17">#REF!</definedName>
    <definedName name="ㅈ11">#REF!</definedName>
    <definedName name="ㅈ12" localSheetId="7">#REF!</definedName>
    <definedName name="ㅈ12" localSheetId="15">#REF!</definedName>
    <definedName name="ㅈ12" localSheetId="17">#REF!</definedName>
    <definedName name="ㅈ12">#REF!</definedName>
    <definedName name="ㅈ13" localSheetId="7">#REF!</definedName>
    <definedName name="ㅈ13" localSheetId="15">#REF!</definedName>
    <definedName name="ㅈ13" localSheetId="17">#REF!</definedName>
    <definedName name="ㅈ13">#REF!</definedName>
    <definedName name="ㅈ14" localSheetId="7">#REF!</definedName>
    <definedName name="ㅈ14" localSheetId="15">#REF!</definedName>
    <definedName name="ㅈ14" localSheetId="17">#REF!</definedName>
    <definedName name="ㅈ14">#REF!</definedName>
    <definedName name="ㅈ15" localSheetId="7">#REF!</definedName>
    <definedName name="ㅈ15" localSheetId="15">#REF!</definedName>
    <definedName name="ㅈ15" localSheetId="17">#REF!</definedName>
    <definedName name="ㅈ15">#REF!</definedName>
    <definedName name="ㅈ16" localSheetId="7">#REF!</definedName>
    <definedName name="ㅈ16" localSheetId="15">#REF!</definedName>
    <definedName name="ㅈ16" localSheetId="17">#REF!</definedName>
    <definedName name="ㅈ16">#REF!</definedName>
    <definedName name="ㅈ17" localSheetId="7">#REF!</definedName>
    <definedName name="ㅈ17" localSheetId="15">#REF!</definedName>
    <definedName name="ㅈ17" localSheetId="17">#REF!</definedName>
    <definedName name="ㅈ17">#REF!</definedName>
    <definedName name="ㅈ18" localSheetId="7">#REF!</definedName>
    <definedName name="ㅈ18" localSheetId="15">#REF!</definedName>
    <definedName name="ㅈ18" localSheetId="17">#REF!</definedName>
    <definedName name="ㅈ18">#REF!</definedName>
    <definedName name="ㅈ19" localSheetId="7">#REF!</definedName>
    <definedName name="ㅈ19" localSheetId="15">#REF!</definedName>
    <definedName name="ㅈ19" localSheetId="17">#REF!</definedName>
    <definedName name="ㅈ19">#REF!</definedName>
    <definedName name="ㅈ2" localSheetId="7">#REF!</definedName>
    <definedName name="ㅈ2" localSheetId="15">#REF!</definedName>
    <definedName name="ㅈ2" localSheetId="17">#REF!</definedName>
    <definedName name="ㅈ2">#REF!</definedName>
    <definedName name="ㅈ20" localSheetId="7">#REF!</definedName>
    <definedName name="ㅈ20" localSheetId="15">#REF!</definedName>
    <definedName name="ㅈ20" localSheetId="17">#REF!</definedName>
    <definedName name="ㅈ20">#REF!</definedName>
    <definedName name="ㅈ3" localSheetId="7">#REF!</definedName>
    <definedName name="ㅈ3" localSheetId="15">#REF!</definedName>
    <definedName name="ㅈ3" localSheetId="17">#REF!</definedName>
    <definedName name="ㅈ3">#REF!</definedName>
    <definedName name="ㅈ4" localSheetId="7">#REF!</definedName>
    <definedName name="ㅈ4" localSheetId="15">#REF!</definedName>
    <definedName name="ㅈ4" localSheetId="17">#REF!</definedName>
    <definedName name="ㅈ4">#REF!</definedName>
    <definedName name="ㅈ5" localSheetId="7">#REF!</definedName>
    <definedName name="ㅈ5" localSheetId="15">#REF!</definedName>
    <definedName name="ㅈ5" localSheetId="17">#REF!</definedName>
    <definedName name="ㅈ5">#REF!</definedName>
    <definedName name="ㅈ6" localSheetId="7">#REF!</definedName>
    <definedName name="ㅈ6" localSheetId="15">#REF!</definedName>
    <definedName name="ㅈ6" localSheetId="17">#REF!</definedName>
    <definedName name="ㅈ6">#REF!</definedName>
    <definedName name="ㅈ7" localSheetId="7">#REF!</definedName>
    <definedName name="ㅈ7" localSheetId="15">#REF!</definedName>
    <definedName name="ㅈ7" localSheetId="17">#REF!</definedName>
    <definedName name="ㅈ7">#REF!</definedName>
    <definedName name="ㅈ8" localSheetId="7">#REF!</definedName>
    <definedName name="ㅈ8" localSheetId="15">#REF!</definedName>
    <definedName name="ㅈ8" localSheetId="17">#REF!</definedName>
    <definedName name="ㅈ8">#REF!</definedName>
    <definedName name="ㅈ9" localSheetId="7">#REF!</definedName>
    <definedName name="ㅈ9" localSheetId="15">#REF!</definedName>
    <definedName name="ㅈ9" localSheetId="17">#REF!</definedName>
    <definedName name="ㅈ9">#REF!</definedName>
    <definedName name="자동차">[5]Sheet1!$K$3:$K$9</definedName>
    <definedName name="작업반장" localSheetId="7">#REF!</definedName>
    <definedName name="작업반장" localSheetId="15">#REF!</definedName>
    <definedName name="작업반장" localSheetId="17">#REF!</definedName>
    <definedName name="작업반장">#REF!</definedName>
    <definedName name="중급기술자" localSheetId="7">#REF!</definedName>
    <definedName name="중급기술자" localSheetId="15">#REF!</definedName>
    <definedName name="중급기술자" localSheetId="17">#REF!</definedName>
    <definedName name="중급기술자">#REF!</definedName>
    <definedName name="지자체단위급수량" localSheetId="7">#REF!</definedName>
    <definedName name="지자체단위급수량" localSheetId="15">#REF!</definedName>
    <definedName name="지자체단위급수량" localSheetId="17">#REF!</definedName>
    <definedName name="지자체단위급수량">#REF!</definedName>
    <definedName name="ㅊ" hidden="1">{#N/A,#N/A,TRUE,"총괄"}</definedName>
    <definedName name="참조" localSheetId="7">[1]과거자료!#REF!</definedName>
    <definedName name="참조" localSheetId="15">[1]과거자료!#REF!</definedName>
    <definedName name="참조" localSheetId="17">[1]과거자료!#REF!</definedName>
    <definedName name="참조">[1]과거자료!#REF!</definedName>
    <definedName name="참조영역" localSheetId="7">[1]과거자료!#REF!</definedName>
    <definedName name="참조영역" localSheetId="15">[1]과거자료!#REF!</definedName>
    <definedName name="참조영역" localSheetId="17">[1]과거자료!#REF!</definedName>
    <definedName name="참조영역">[1]과거자료!#REF!</definedName>
    <definedName name="천공기차경비" localSheetId="7">#REF!</definedName>
    <definedName name="천공기차경비" localSheetId="15">#REF!</definedName>
    <definedName name="천공기차경비" localSheetId="17">#REF!</definedName>
    <definedName name="천공기차경비">#REF!</definedName>
    <definedName name="천공기차노무비" localSheetId="7">#REF!</definedName>
    <definedName name="천공기차노무비" localSheetId="15">#REF!</definedName>
    <definedName name="천공기차노무비" localSheetId="17">#REF!</definedName>
    <definedName name="천공기차노무비">#REF!</definedName>
    <definedName name="천공기차재료비" localSheetId="7">#REF!</definedName>
    <definedName name="천공기차재료비" localSheetId="15">#REF!</definedName>
    <definedName name="천공기차재료비" localSheetId="17">#REF!</definedName>
    <definedName name="천공기차재료비">#REF!</definedName>
    <definedName name="초급기술자" localSheetId="7">#REF!</definedName>
    <definedName name="초급기술자" localSheetId="15">#REF!</definedName>
    <definedName name="초급기술자" localSheetId="17">#REF!</definedName>
    <definedName name="초급기술자">#REF!</definedName>
    <definedName name="총괄표" hidden="1">{#N/A,#N/A,TRUE,"총괄"}</definedName>
    <definedName name="충청북도">[2]DongCode!$B$101:$B$101</definedName>
    <definedName name="충청북도청주시상당구">[6]DongCode!$B$102:$B$140</definedName>
    <definedName name="충청북도청주시흥덕구">[2]DongCode!$B$102:$B$144</definedName>
    <definedName name="콘크리트공" localSheetId="7">#REF!</definedName>
    <definedName name="콘크리트공" localSheetId="15">#REF!</definedName>
    <definedName name="콘크리트공" localSheetId="17">#REF!</definedName>
    <definedName name="콘크리트공">#REF!</definedName>
    <definedName name="크레인차25경비" localSheetId="7">#REF!</definedName>
    <definedName name="크레인차25경비" localSheetId="15">#REF!</definedName>
    <definedName name="크레인차25경비" localSheetId="17">#REF!</definedName>
    <definedName name="크레인차25경비">#REF!</definedName>
    <definedName name="크레인차25노무비" localSheetId="7">#REF!</definedName>
    <definedName name="크레인차25노무비" localSheetId="15">#REF!</definedName>
    <definedName name="크레인차25노무비" localSheetId="17">#REF!</definedName>
    <definedName name="크레인차25노무비">#REF!</definedName>
    <definedName name="크레인차25재료비" localSheetId="7">#REF!</definedName>
    <definedName name="크레인차25재료비" localSheetId="15">#REF!</definedName>
    <definedName name="크레인차25재료비" localSheetId="17">#REF!</definedName>
    <definedName name="크레인차25재료비">#REF!</definedName>
    <definedName name="토적표" localSheetId="7" hidden="1">#REF!</definedName>
    <definedName name="토적표" localSheetId="15" hidden="1">#REF!</definedName>
    <definedName name="토적표" localSheetId="17" hidden="1">#REF!</definedName>
    <definedName name="토적표" hidden="1">#REF!</definedName>
    <definedName name="특별인부" localSheetId="7">#REF!</definedName>
    <definedName name="특별인부" localSheetId="15">#REF!</definedName>
    <definedName name="특별인부" localSheetId="17">#REF!</definedName>
    <definedName name="특별인부">#REF!</definedName>
    <definedName name="파일" localSheetId="7" hidden="1">#REF!</definedName>
    <definedName name="파일" localSheetId="15" hidden="1">#REF!</definedName>
    <definedName name="파일" localSheetId="17" hidden="1">#REF!</definedName>
    <definedName name="파일" hidden="1">#REF!</definedName>
    <definedName name="포설공" localSheetId="7">#REF!</definedName>
    <definedName name="포설공" localSheetId="15">#REF!</definedName>
    <definedName name="포설공" localSheetId="17">#REF!</definedName>
    <definedName name="포설공">#REF!</definedName>
    <definedName name="포장공" localSheetId="7">#REF!</definedName>
    <definedName name="포장공" localSheetId="15">#REF!</definedName>
    <definedName name="포장공" localSheetId="17">#REF!</definedName>
    <definedName name="포장공">#REF!</definedName>
    <definedName name="하수암거" hidden="1">{#N/A,#N/A,FALSE,"포장단가"}</definedName>
    <definedName name="형틀목공" localSheetId="7">#REF!</definedName>
    <definedName name="형틀목공" localSheetId="15">#REF!</definedName>
    <definedName name="형틀목공" localSheetId="17">#REF!</definedName>
    <definedName name="형틀목공">#REF!</definedName>
    <definedName name="활석공" localSheetId="7">#REF!</definedName>
    <definedName name="활석공" localSheetId="15">#REF!</definedName>
    <definedName name="활석공" localSheetId="17">#REF!</definedName>
    <definedName name="활석공">#REF!</definedName>
  </definedNames>
  <calcPr calcId="124519"/>
</workbook>
</file>

<file path=xl/calcChain.xml><?xml version="1.0" encoding="utf-8"?>
<calcChain xmlns="http://schemas.openxmlformats.org/spreadsheetml/2006/main">
  <c r="E3" i="110"/>
  <c r="D83" i="112"/>
  <c r="C112" i="116"/>
  <c r="C113"/>
  <c r="C114"/>
  <c r="C115"/>
  <c r="C116"/>
  <c r="C117"/>
  <c r="C118"/>
  <c r="C119"/>
  <c r="L131" l="1"/>
  <c r="L132" s="1"/>
  <c r="K131"/>
  <c r="K132" s="1"/>
  <c r="J131"/>
  <c r="J132" s="1"/>
  <c r="I131"/>
  <c r="I132" s="1"/>
  <c r="L125"/>
  <c r="L126" s="1"/>
  <c r="K125"/>
  <c r="K126" s="1"/>
  <c r="J125"/>
  <c r="J126" s="1"/>
  <c r="J133" s="1"/>
  <c r="I125"/>
  <c r="I126" s="1"/>
  <c r="I133" s="1"/>
  <c r="K119"/>
  <c r="K116"/>
  <c r="K117" s="1"/>
  <c r="K106"/>
  <c r="J106"/>
  <c r="K105"/>
  <c r="J105"/>
  <c r="K104"/>
  <c r="J104"/>
  <c r="K103"/>
  <c r="J103"/>
  <c r="K102"/>
  <c r="J102"/>
  <c r="K101"/>
  <c r="J101"/>
  <c r="K100"/>
  <c r="J100"/>
  <c r="K99"/>
  <c r="J99"/>
  <c r="J91"/>
  <c r="J90"/>
  <c r="J89"/>
  <c r="J88"/>
  <c r="J87"/>
  <c r="J86"/>
  <c r="J85"/>
  <c r="J84"/>
  <c r="E68"/>
  <c r="D68"/>
  <c r="C68"/>
  <c r="E67"/>
  <c r="D67"/>
  <c r="C67"/>
  <c r="E66"/>
  <c r="D66"/>
  <c r="C66"/>
  <c r="J65"/>
  <c r="E65"/>
  <c r="D65"/>
  <c r="C65"/>
  <c r="J61"/>
  <c r="J60"/>
  <c r="J59"/>
  <c r="J58"/>
  <c r="J57"/>
  <c r="J56"/>
  <c r="J55"/>
  <c r="J54"/>
  <c r="E43"/>
  <c r="D43"/>
  <c r="C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F68" l="1"/>
  <c r="L133"/>
  <c r="F65"/>
  <c r="K65" s="1"/>
  <c r="L65" s="1"/>
  <c r="J72" s="1"/>
  <c r="F66"/>
  <c r="F43"/>
  <c r="K133"/>
  <c r="G43"/>
  <c r="C44" s="1"/>
  <c r="F67"/>
  <c r="G65"/>
  <c r="C72" s="1"/>
  <c r="G66"/>
  <c r="E73" s="1"/>
  <c r="G67"/>
  <c r="F74" s="1"/>
  <c r="C110" s="1"/>
  <c r="G68"/>
  <c r="D75" s="1"/>
  <c r="J66"/>
  <c r="D44" l="1"/>
  <c r="E74"/>
  <c r="D72"/>
  <c r="D76" s="1"/>
  <c r="E72"/>
  <c r="E76" s="1"/>
  <c r="E44"/>
  <c r="D73"/>
  <c r="D74"/>
  <c r="J97"/>
  <c r="K97" s="1"/>
  <c r="J80"/>
  <c r="E75"/>
  <c r="C74"/>
  <c r="J82" s="1"/>
  <c r="C75"/>
  <c r="J83" s="1"/>
  <c r="F73"/>
  <c r="C109" s="1"/>
  <c r="F75"/>
  <c r="C111" s="1"/>
  <c r="K72"/>
  <c r="J50" s="1"/>
  <c r="K66"/>
  <c r="L66" s="1"/>
  <c r="J73" s="1"/>
  <c r="C73"/>
  <c r="J81" s="1"/>
  <c r="J67"/>
  <c r="F72"/>
  <c r="C108" s="1"/>
  <c r="G74" l="1"/>
  <c r="C120"/>
  <c r="C76"/>
  <c r="F76"/>
  <c r="J95"/>
  <c r="G72"/>
  <c r="J68"/>
  <c r="K73"/>
  <c r="J51" s="1"/>
  <c r="K67"/>
  <c r="J98"/>
  <c r="K98" s="1"/>
  <c r="G75"/>
  <c r="J96"/>
  <c r="K96" s="1"/>
  <c r="G73"/>
  <c r="L72"/>
  <c r="K68" l="1"/>
  <c r="L68" s="1"/>
  <c r="J75" s="1"/>
  <c r="K95"/>
  <c r="K108" s="1"/>
  <c r="J108"/>
  <c r="K111" s="1"/>
  <c r="K112" s="1"/>
  <c r="G76"/>
  <c r="L67"/>
  <c r="J74" s="1"/>
  <c r="L73"/>
  <c r="K75" l="1"/>
  <c r="J53" s="1"/>
  <c r="K74"/>
  <c r="J52" s="1"/>
  <c r="L74" l="1"/>
  <c r="L75"/>
  <c r="D72" i="112" l="1"/>
  <c r="C17" i="110" l="1"/>
  <c r="D17" s="1"/>
  <c r="E17" s="1"/>
  <c r="F17" s="1"/>
  <c r="E51" i="112" l="1"/>
  <c r="F51" l="1"/>
  <c r="R99"/>
  <c r="Q99"/>
  <c r="P99"/>
  <c r="O99"/>
  <c r="E113" s="1"/>
  <c r="G51" l="1"/>
  <c r="F113"/>
  <c r="G113" s="1"/>
  <c r="E98"/>
  <c r="F98" s="1"/>
  <c r="G98" s="1"/>
  <c r="E89"/>
  <c r="F89" s="1"/>
  <c r="G89" s="1"/>
  <c r="E101"/>
  <c r="F101" s="1"/>
  <c r="G101" s="1"/>
  <c r="E107"/>
  <c r="F107" s="1"/>
  <c r="G107" s="1"/>
  <c r="E92"/>
  <c r="F92" s="1"/>
  <c r="G92" s="1"/>
  <c r="E110"/>
  <c r="F110" s="1"/>
  <c r="G110" s="1"/>
  <c r="E86"/>
  <c r="F86" s="1"/>
  <c r="G86" s="1"/>
  <c r="E95"/>
  <c r="F95" s="1"/>
  <c r="G95" s="1"/>
  <c r="E104"/>
  <c r="F104" s="1"/>
  <c r="G104" s="1"/>
  <c r="F7" i="110"/>
  <c r="B52" i="111"/>
  <c r="B51"/>
  <c r="F5" i="110" s="1"/>
  <c r="G5" s="1"/>
  <c r="B50" i="111"/>
  <c r="F6" i="110" s="1"/>
  <c r="F4" l="1"/>
  <c r="F8"/>
  <c r="G8" s="1"/>
  <c r="H8" s="1"/>
  <c r="H51" i="112"/>
  <c r="J7" i="40"/>
  <c r="J8"/>
  <c r="J9"/>
  <c r="N31" i="114"/>
  <c r="M31"/>
  <c r="L31"/>
  <c r="K31"/>
  <c r="J31"/>
  <c r="I31"/>
  <c r="H31"/>
  <c r="G31"/>
  <c r="F31"/>
  <c r="E31"/>
  <c r="D31"/>
  <c r="C31"/>
  <c r="N30"/>
  <c r="M30"/>
  <c r="L30"/>
  <c r="K30"/>
  <c r="J30"/>
  <c r="I30"/>
  <c r="H30"/>
  <c r="G30"/>
  <c r="F30"/>
  <c r="E30"/>
  <c r="D30"/>
  <c r="C30"/>
  <c r="C29"/>
  <c r="C28"/>
  <c r="C27"/>
  <c r="C26"/>
  <c r="C25"/>
  <c r="C24"/>
  <c r="C23"/>
  <c r="C22"/>
  <c r="C21"/>
  <c r="C20"/>
  <c r="C19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  <c r="N4"/>
  <c r="M4"/>
  <c r="N3"/>
  <c r="M3"/>
  <c r="L3"/>
  <c r="K3"/>
  <c r="J3"/>
  <c r="I3"/>
  <c r="H3"/>
  <c r="G3"/>
  <c r="F3"/>
  <c r="E3"/>
  <c r="D3"/>
  <c r="C3"/>
  <c r="B3"/>
  <c r="C20" i="110" l="1"/>
  <c r="D20" s="1"/>
  <c r="E20" s="1"/>
  <c r="F20" s="1"/>
  <c r="E54" i="112"/>
  <c r="F54" s="1"/>
  <c r="G54" s="1"/>
  <c r="H54" s="1"/>
  <c r="AB38" i="40"/>
  <c r="AB37"/>
  <c r="AB36"/>
  <c r="AB35"/>
  <c r="AB34"/>
  <c r="AB33"/>
  <c r="AB32"/>
  <c r="AB31"/>
  <c r="AB30"/>
  <c r="AB29"/>
  <c r="AB28"/>
  <c r="AB27"/>
  <c r="J16"/>
  <c r="J17"/>
  <c r="I50"/>
  <c r="E36" l="1"/>
  <c r="F37"/>
  <c r="D44" l="1"/>
  <c r="E46" s="1"/>
  <c r="E45" l="1"/>
  <c r="E44" s="1"/>
  <c r="J50"/>
  <c r="C18"/>
  <c r="C16"/>
  <c r="E31" i="104"/>
  <c r="C17" i="40"/>
  <c r="D143" i="104"/>
  <c r="D126"/>
  <c r="D113"/>
  <c r="D103"/>
  <c r="D91"/>
  <c r="D74"/>
  <c r="D59"/>
  <c r="D45"/>
  <c r="D31"/>
  <c r="D17"/>
  <c r="D4"/>
  <c r="J38" i="40"/>
  <c r="G38"/>
  <c r="F38"/>
  <c r="E38"/>
  <c r="J37"/>
  <c r="G37"/>
  <c r="E37"/>
  <c r="J36"/>
  <c r="G36"/>
  <c r="Q36" s="1"/>
  <c r="F36"/>
  <c r="J35"/>
  <c r="G35"/>
  <c r="F35"/>
  <c r="E35"/>
  <c r="J34"/>
  <c r="G34"/>
  <c r="F34"/>
  <c r="E34"/>
  <c r="J33"/>
  <c r="G33"/>
  <c r="F33"/>
  <c r="E33"/>
  <c r="J32"/>
  <c r="G32"/>
  <c r="F32"/>
  <c r="E32"/>
  <c r="J31"/>
  <c r="G31"/>
  <c r="F31"/>
  <c r="E31"/>
  <c r="J30"/>
  <c r="G30"/>
  <c r="F30"/>
  <c r="E30"/>
  <c r="J29"/>
  <c r="G29"/>
  <c r="G9" s="1"/>
  <c r="F29"/>
  <c r="E29"/>
  <c r="J28"/>
  <c r="G28"/>
  <c r="G8" s="1"/>
  <c r="F28"/>
  <c r="E28"/>
  <c r="J27"/>
  <c r="G27"/>
  <c r="G7" s="1"/>
  <c r="F27"/>
  <c r="E27"/>
  <c r="G7" i="110"/>
  <c r="G6"/>
  <c r="G10"/>
  <c r="G9"/>
  <c r="H7" l="1"/>
  <c r="C19" s="1"/>
  <c r="D19" s="1"/>
  <c r="E19" s="1"/>
  <c r="F19" s="1"/>
  <c r="C18"/>
  <c r="D18" s="1"/>
  <c r="E18" s="1"/>
  <c r="F18" s="1"/>
  <c r="H6"/>
  <c r="N7" i="40"/>
  <c r="O7"/>
  <c r="B5" i="97"/>
  <c r="O8" i="40"/>
  <c r="N8"/>
  <c r="O9"/>
  <c r="N9"/>
  <c r="B6" i="97"/>
  <c r="Z30" i="40"/>
  <c r="D30"/>
  <c r="D10" s="1"/>
  <c r="G10"/>
  <c r="AA30"/>
  <c r="D31"/>
  <c r="D11" s="1"/>
  <c r="G11"/>
  <c r="AA31"/>
  <c r="Z31"/>
  <c r="G12"/>
  <c r="Z32"/>
  <c r="AA32"/>
  <c r="D32"/>
  <c r="D12" s="1"/>
  <c r="D35"/>
  <c r="D15" s="1"/>
  <c r="G15"/>
  <c r="AA35"/>
  <c r="Z35"/>
  <c r="AA37"/>
  <c r="Z37"/>
  <c r="D37"/>
  <c r="W37" s="1"/>
  <c r="Z28"/>
  <c r="H8" s="1"/>
  <c r="E8" s="1"/>
  <c r="AA28"/>
  <c r="I8" s="1"/>
  <c r="F8" s="1"/>
  <c r="D28"/>
  <c r="X28" s="1"/>
  <c r="AA33"/>
  <c r="Z33"/>
  <c r="D33"/>
  <c r="D13" s="1"/>
  <c r="G13"/>
  <c r="Z38"/>
  <c r="D38"/>
  <c r="X38" s="1"/>
  <c r="AA38"/>
  <c r="D27"/>
  <c r="D7" s="1"/>
  <c r="AA27"/>
  <c r="I7" s="1"/>
  <c r="F7" s="1"/>
  <c r="Z27"/>
  <c r="H7" s="1"/>
  <c r="E7" s="1"/>
  <c r="Z34"/>
  <c r="D34"/>
  <c r="D14" s="1"/>
  <c r="G14"/>
  <c r="AA34"/>
  <c r="X33"/>
  <c r="Z36"/>
  <c r="AA36"/>
  <c r="D36"/>
  <c r="X36" s="1"/>
  <c r="AA29"/>
  <c r="I9" s="1"/>
  <c r="F9" s="1"/>
  <c r="Z29"/>
  <c r="H9" s="1"/>
  <c r="E9" s="1"/>
  <c r="D29"/>
  <c r="W29" s="1"/>
  <c r="D3" i="104"/>
  <c r="O27" i="40"/>
  <c r="O31"/>
  <c r="O33"/>
  <c r="N33"/>
  <c r="M33" s="1"/>
  <c r="O35"/>
  <c r="D80" i="112"/>
  <c r="D68"/>
  <c r="N45"/>
  <c r="N44"/>
  <c r="N43"/>
  <c r="N42"/>
  <c r="N41"/>
  <c r="N40"/>
  <c r="N39"/>
  <c r="N38"/>
  <c r="N37"/>
  <c r="N36"/>
  <c r="N35"/>
  <c r="N34"/>
  <c r="Y34" i="40" l="1"/>
  <c r="V34" s="1"/>
  <c r="W32"/>
  <c r="N32"/>
  <c r="M32" s="1"/>
  <c r="X32"/>
  <c r="O32"/>
  <c r="Y30"/>
  <c r="V30" s="1"/>
  <c r="O10"/>
  <c r="N10"/>
  <c r="B7" i="97"/>
  <c r="O29" i="40"/>
  <c r="O13"/>
  <c r="N13"/>
  <c r="B10" i="97"/>
  <c r="N15" i="40"/>
  <c r="B12" i="97"/>
  <c r="O15" i="40"/>
  <c r="N11"/>
  <c r="B8" i="97"/>
  <c r="O11" i="40"/>
  <c r="O14"/>
  <c r="N14"/>
  <c r="B11" i="97"/>
  <c r="B9"/>
  <c r="O12" i="40"/>
  <c r="N12"/>
  <c r="W33"/>
  <c r="Y33"/>
  <c r="V33" s="1"/>
  <c r="AG33" s="1"/>
  <c r="X27"/>
  <c r="O34"/>
  <c r="O30"/>
  <c r="N31"/>
  <c r="M31" s="1"/>
  <c r="N29"/>
  <c r="M29" s="1"/>
  <c r="N27"/>
  <c r="M27" s="1"/>
  <c r="W38"/>
  <c r="X34"/>
  <c r="Y38"/>
  <c r="V38" s="1"/>
  <c r="Y31"/>
  <c r="V31" s="1"/>
  <c r="AG31" s="1"/>
  <c r="X29"/>
  <c r="D9"/>
  <c r="M7"/>
  <c r="W28"/>
  <c r="D8"/>
  <c r="N34"/>
  <c r="M34" s="1"/>
  <c r="N30"/>
  <c r="M30" s="1"/>
  <c r="N28"/>
  <c r="M28" s="1"/>
  <c r="W27"/>
  <c r="Y37"/>
  <c r="V37" s="1"/>
  <c r="AG37" s="1"/>
  <c r="O28"/>
  <c r="Y29"/>
  <c r="V29" s="1"/>
  <c r="Y36"/>
  <c r="X30"/>
  <c r="W30"/>
  <c r="Y28"/>
  <c r="V28" s="1"/>
  <c r="AG28" s="1"/>
  <c r="AI36"/>
  <c r="V36"/>
  <c r="N35"/>
  <c r="M35" s="1"/>
  <c r="X35"/>
  <c r="X31"/>
  <c r="Y35"/>
  <c r="V35" s="1"/>
  <c r="W36"/>
  <c r="D16"/>
  <c r="O36"/>
  <c r="AG34"/>
  <c r="W35"/>
  <c r="W31"/>
  <c r="I13"/>
  <c r="H13"/>
  <c r="D17"/>
  <c r="X37"/>
  <c r="O37"/>
  <c r="N37"/>
  <c r="M37" s="1"/>
  <c r="H10"/>
  <c r="I10"/>
  <c r="N36"/>
  <c r="M36" s="1"/>
  <c r="Y27"/>
  <c r="V27" s="1"/>
  <c r="O38"/>
  <c r="D18"/>
  <c r="N38"/>
  <c r="M38" s="1"/>
  <c r="W34"/>
  <c r="I15"/>
  <c r="H15"/>
  <c r="Y32"/>
  <c r="V32" s="1"/>
  <c r="AF33" s="1"/>
  <c r="AE33" s="1"/>
  <c r="I11"/>
  <c r="H11"/>
  <c r="H14"/>
  <c r="I14"/>
  <c r="AG38"/>
  <c r="H12"/>
  <c r="I12"/>
  <c r="AG30"/>
  <c r="AF38" l="1"/>
  <c r="AE38" s="1"/>
  <c r="AF34"/>
  <c r="AE34" s="1"/>
  <c r="AF29"/>
  <c r="AE29" s="1"/>
  <c r="AF30"/>
  <c r="AE30" s="1"/>
  <c r="AF31"/>
  <c r="AE31" s="1"/>
  <c r="AG29"/>
  <c r="M8"/>
  <c r="M9"/>
  <c r="AG27"/>
  <c r="AF27"/>
  <c r="AE27" s="1"/>
  <c r="AG35"/>
  <c r="AF35"/>
  <c r="AE35" s="1"/>
  <c r="AF28"/>
  <c r="AE28" s="1"/>
  <c r="H47"/>
  <c r="E18" s="1"/>
  <c r="I47"/>
  <c r="K47"/>
  <c r="G17"/>
  <c r="K46"/>
  <c r="H46"/>
  <c r="I46"/>
  <c r="F17" s="1"/>
  <c r="K45"/>
  <c r="G16"/>
  <c r="I45"/>
  <c r="F16" s="1"/>
  <c r="H45"/>
  <c r="AF37"/>
  <c r="AE37" s="1"/>
  <c r="AG36"/>
  <c r="AF36"/>
  <c r="AE36" s="1"/>
  <c r="AG32"/>
  <c r="AF32"/>
  <c r="AE32" s="1"/>
  <c r="E53" i="112"/>
  <c r="E52"/>
  <c r="G4" i="110"/>
  <c r="G3" l="1"/>
  <c r="H4"/>
  <c r="H3" s="1"/>
  <c r="B13" i="97"/>
  <c r="O16" i="40"/>
  <c r="N16"/>
  <c r="O17"/>
  <c r="N17"/>
  <c r="B14" i="97"/>
  <c r="E50" i="112"/>
  <c r="E16" i="40"/>
  <c r="J45"/>
  <c r="L45" s="1"/>
  <c r="E17"/>
  <c r="J46"/>
  <c r="L46" s="1"/>
  <c r="J47"/>
  <c r="L47" s="1"/>
  <c r="F18"/>
  <c r="H16"/>
  <c r="I16"/>
  <c r="I17"/>
  <c r="H17"/>
  <c r="F52" i="112"/>
  <c r="F53"/>
  <c r="D27" i="99"/>
  <c r="C27"/>
  <c r="D26"/>
  <c r="C26"/>
  <c r="B26" s="1"/>
  <c r="F26" s="1"/>
  <c r="D25"/>
  <c r="C25"/>
  <c r="D24"/>
  <c r="C24"/>
  <c r="D23"/>
  <c r="C23"/>
  <c r="D22"/>
  <c r="C22"/>
  <c r="D21"/>
  <c r="C21"/>
  <c r="D20"/>
  <c r="C20"/>
  <c r="B20" s="1"/>
  <c r="F20" s="1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C28" s="1"/>
  <c r="D7"/>
  <c r="C7"/>
  <c r="D25" i="107"/>
  <c r="C25"/>
  <c r="B25"/>
  <c r="D24" i="105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F143" i="104"/>
  <c r="B17" i="66" s="1"/>
  <c r="D30" i="112" s="1"/>
  <c r="F126" i="104"/>
  <c r="B16" i="66" s="1"/>
  <c r="D29" i="112" s="1"/>
  <c r="F113" i="104"/>
  <c r="B15" i="66" s="1"/>
  <c r="D28" i="112" s="1"/>
  <c r="F103" i="104"/>
  <c r="B14" i="66" s="1"/>
  <c r="D27" i="112" s="1"/>
  <c r="F91" i="104"/>
  <c r="B13" i="66" s="1"/>
  <c r="D26" i="112" s="1"/>
  <c r="F74" i="104"/>
  <c r="B12" i="66" s="1"/>
  <c r="D25" i="112" s="1"/>
  <c r="F59" i="104"/>
  <c r="B11" i="66" s="1"/>
  <c r="D24" i="112" s="1"/>
  <c r="F45" i="104"/>
  <c r="B10" i="66" s="1"/>
  <c r="D23" i="112" s="1"/>
  <c r="F31" i="104"/>
  <c r="F17"/>
  <c r="B8" i="66" s="1"/>
  <c r="D21" i="112" s="1"/>
  <c r="F4" i="104"/>
  <c r="B7" i="66" s="1"/>
  <c r="D20" i="112" s="1"/>
  <c r="E143" i="104"/>
  <c r="E126"/>
  <c r="E113"/>
  <c r="E103"/>
  <c r="E91"/>
  <c r="E74"/>
  <c r="E59"/>
  <c r="E45"/>
  <c r="E17"/>
  <c r="E4"/>
  <c r="H11" i="103"/>
  <c r="G11"/>
  <c r="F11"/>
  <c r="E11"/>
  <c r="Y102" i="99"/>
  <c r="Y77"/>
  <c r="Y52"/>
  <c r="A52"/>
  <c r="A77" s="1"/>
  <c r="A102" s="1"/>
  <c r="A51"/>
  <c r="A76" s="1"/>
  <c r="A101" s="1"/>
  <c r="A50"/>
  <c r="A75" s="1"/>
  <c r="A100" s="1"/>
  <c r="A49"/>
  <c r="A74" s="1"/>
  <c r="A99" s="1"/>
  <c r="A48"/>
  <c r="A73" s="1"/>
  <c r="A98" s="1"/>
  <c r="A47"/>
  <c r="A72" s="1"/>
  <c r="A97" s="1"/>
  <c r="A46"/>
  <c r="A71" s="1"/>
  <c r="A96" s="1"/>
  <c r="A45"/>
  <c r="A70" s="1"/>
  <c r="A95" s="1"/>
  <c r="A44"/>
  <c r="A69" s="1"/>
  <c r="A94" s="1"/>
  <c r="A43"/>
  <c r="A68" s="1"/>
  <c r="A93" s="1"/>
  <c r="A42"/>
  <c r="A67" s="1"/>
  <c r="A92" s="1"/>
  <c r="A41"/>
  <c r="A66" s="1"/>
  <c r="A91" s="1"/>
  <c r="A40"/>
  <c r="A65" s="1"/>
  <c r="A90" s="1"/>
  <c r="A39"/>
  <c r="A64" s="1"/>
  <c r="A89" s="1"/>
  <c r="A38"/>
  <c r="A63" s="1"/>
  <c r="A88" s="1"/>
  <c r="A37"/>
  <c r="A62" s="1"/>
  <c r="A87" s="1"/>
  <c r="A36"/>
  <c r="A61" s="1"/>
  <c r="A86" s="1"/>
  <c r="A35"/>
  <c r="A60" s="1"/>
  <c r="A85" s="1"/>
  <c r="A34"/>
  <c r="A59" s="1"/>
  <c r="A84" s="1"/>
  <c r="A33"/>
  <c r="A58" s="1"/>
  <c r="A83" s="1"/>
  <c r="A32"/>
  <c r="A57" s="1"/>
  <c r="A82" s="1"/>
  <c r="B23"/>
  <c r="E23" s="1"/>
  <c r="B21"/>
  <c r="B15"/>
  <c r="B11"/>
  <c r="B9"/>
  <c r="F9" s="1"/>
  <c r="Z5"/>
  <c r="B30" s="1"/>
  <c r="Z30" s="1"/>
  <c r="B55" s="1"/>
  <c r="Z55" s="1"/>
  <c r="B80" s="1"/>
  <c r="Z80" s="1"/>
  <c r="C16" i="110" l="1"/>
  <c r="E49" i="112"/>
  <c r="E117" s="1"/>
  <c r="B8" i="99"/>
  <c r="E8" s="1"/>
  <c r="B10"/>
  <c r="E10" s="1"/>
  <c r="B14"/>
  <c r="E14" s="1"/>
  <c r="B18"/>
  <c r="F18" s="1"/>
  <c r="B24"/>
  <c r="F24" s="1"/>
  <c r="B25" i="105"/>
  <c r="C25"/>
  <c r="F3" i="104"/>
  <c r="B9" i="66"/>
  <c r="D22" i="112" s="1"/>
  <c r="D37" s="1"/>
  <c r="O81" s="1"/>
  <c r="D25" i="105"/>
  <c r="D41" i="112"/>
  <c r="F50"/>
  <c r="G53"/>
  <c r="G52"/>
  <c r="D38"/>
  <c r="D42"/>
  <c r="D35"/>
  <c r="O79" s="1"/>
  <c r="D39"/>
  <c r="D43"/>
  <c r="D40"/>
  <c r="D44"/>
  <c r="D45"/>
  <c r="O89" s="1"/>
  <c r="E3" i="104"/>
  <c r="E26" i="99"/>
  <c r="E18"/>
  <c r="B7"/>
  <c r="F15"/>
  <c r="D28"/>
  <c r="E9"/>
  <c r="F10"/>
  <c r="E11"/>
  <c r="B13"/>
  <c r="E13" s="1"/>
  <c r="F14"/>
  <c r="E15"/>
  <c r="B17"/>
  <c r="E17" s="1"/>
  <c r="E21"/>
  <c r="F23"/>
  <c r="B25"/>
  <c r="E25" s="1"/>
  <c r="B12"/>
  <c r="E12" s="1"/>
  <c r="B16"/>
  <c r="F16" s="1"/>
  <c r="B19"/>
  <c r="F19" s="1"/>
  <c r="B22"/>
  <c r="F22" s="1"/>
  <c r="E24"/>
  <c r="B27"/>
  <c r="F27" s="1"/>
  <c r="F8"/>
  <c r="F11"/>
  <c r="E20"/>
  <c r="F21"/>
  <c r="O88" i="112" l="1"/>
  <c r="D109" s="1"/>
  <c r="D97"/>
  <c r="O84"/>
  <c r="O86"/>
  <c r="D103" s="1"/>
  <c r="D106"/>
  <c r="O87"/>
  <c r="O82"/>
  <c r="D91" s="1"/>
  <c r="D100"/>
  <c r="O85"/>
  <c r="O83"/>
  <c r="D94" s="1"/>
  <c r="C15" i="110"/>
  <c r="D16"/>
  <c r="E68" i="112"/>
  <c r="E83"/>
  <c r="F49"/>
  <c r="D96"/>
  <c r="C130" s="1"/>
  <c r="C145"/>
  <c r="D105"/>
  <c r="C133" s="1"/>
  <c r="C148"/>
  <c r="D99"/>
  <c r="C131" s="1"/>
  <c r="C146"/>
  <c r="E16" i="99"/>
  <c r="G3" i="104"/>
  <c r="C11" i="91" s="1"/>
  <c r="C14" i="88" s="1"/>
  <c r="F25" i="99"/>
  <c r="E27"/>
  <c r="D88" i="112"/>
  <c r="D112"/>
  <c r="G50"/>
  <c r="D82"/>
  <c r="C140" s="1"/>
  <c r="C24" i="91"/>
  <c r="C22"/>
  <c r="C20"/>
  <c r="C23" i="88" s="1"/>
  <c r="C16" i="91"/>
  <c r="D13"/>
  <c r="D9"/>
  <c r="D12" i="88" s="1"/>
  <c r="D5" i="91"/>
  <c r="C12"/>
  <c r="C15" i="88" s="1"/>
  <c r="D23" i="91"/>
  <c r="D19"/>
  <c r="D17"/>
  <c r="D15"/>
  <c r="C9"/>
  <c r="C7"/>
  <c r="C5"/>
  <c r="C23"/>
  <c r="C21"/>
  <c r="C24" i="88" s="1"/>
  <c r="C19" i="91"/>
  <c r="C15"/>
  <c r="D11"/>
  <c r="D14" i="88" s="1"/>
  <c r="D8" i="91"/>
  <c r="D11" i="88" s="1"/>
  <c r="D4" i="91"/>
  <c r="C10"/>
  <c r="C13" i="88" s="1"/>
  <c r="C13" i="91"/>
  <c r="C16" i="88" s="1"/>
  <c r="D22" i="91"/>
  <c r="D25" i="88" s="1"/>
  <c r="D20" i="91"/>
  <c r="D23" i="88" s="1"/>
  <c r="D18" i="91"/>
  <c r="D21" i="88" s="1"/>
  <c r="D14" i="91"/>
  <c r="D17" i="88" s="1"/>
  <c r="D10" i="91"/>
  <c r="C8"/>
  <c r="B8" s="1"/>
  <c r="C4"/>
  <c r="E80" i="112"/>
  <c r="H52"/>
  <c r="H53"/>
  <c r="F17" i="99"/>
  <c r="F7"/>
  <c r="E7"/>
  <c r="F13"/>
  <c r="B28"/>
  <c r="D10" i="103" s="1"/>
  <c r="D11" s="1"/>
  <c r="E19" i="99"/>
  <c r="E22"/>
  <c r="F12"/>
  <c r="Y102" i="88"/>
  <c r="Y77"/>
  <c r="Y52"/>
  <c r="A52"/>
  <c r="A77" s="1"/>
  <c r="A102" s="1"/>
  <c r="A51"/>
  <c r="A76" s="1"/>
  <c r="A101" s="1"/>
  <c r="A50"/>
  <c r="A75" s="1"/>
  <c r="A100" s="1"/>
  <c r="A49"/>
  <c r="A74" s="1"/>
  <c r="A99" s="1"/>
  <c r="A48"/>
  <c r="A73" s="1"/>
  <c r="A98" s="1"/>
  <c r="A47"/>
  <c r="A72" s="1"/>
  <c r="A97" s="1"/>
  <c r="A46"/>
  <c r="A71" s="1"/>
  <c r="A96" s="1"/>
  <c r="A45"/>
  <c r="A70" s="1"/>
  <c r="A95" s="1"/>
  <c r="A44"/>
  <c r="A69" s="1"/>
  <c r="A94" s="1"/>
  <c r="A43"/>
  <c r="A68" s="1"/>
  <c r="A93" s="1"/>
  <c r="A42"/>
  <c r="A67" s="1"/>
  <c r="A92" s="1"/>
  <c r="A41"/>
  <c r="A66" s="1"/>
  <c r="A91" s="1"/>
  <c r="A40"/>
  <c r="A65" s="1"/>
  <c r="A90" s="1"/>
  <c r="A39"/>
  <c r="A64" s="1"/>
  <c r="A89" s="1"/>
  <c r="A38"/>
  <c r="A63" s="1"/>
  <c r="A88" s="1"/>
  <c r="A37"/>
  <c r="A62" s="1"/>
  <c r="A87" s="1"/>
  <c r="A36"/>
  <c r="A61" s="1"/>
  <c r="A86" s="1"/>
  <c r="A35"/>
  <c r="A60" s="1"/>
  <c r="A85" s="1"/>
  <c r="A34"/>
  <c r="A59" s="1"/>
  <c r="A84" s="1"/>
  <c r="A33"/>
  <c r="A58" s="1"/>
  <c r="A83" s="1"/>
  <c r="A32"/>
  <c r="A57" s="1"/>
  <c r="A82" s="1"/>
  <c r="D26"/>
  <c r="D22"/>
  <c r="D18"/>
  <c r="D7"/>
  <c r="C27"/>
  <c r="C26"/>
  <c r="C25"/>
  <c r="C22"/>
  <c r="D20"/>
  <c r="C19"/>
  <c r="C18"/>
  <c r="D16"/>
  <c r="D13"/>
  <c r="C12"/>
  <c r="C10"/>
  <c r="D8"/>
  <c r="C8"/>
  <c r="V65" i="93"/>
  <c r="L21" s="1"/>
  <c r="U65"/>
  <c r="J21" s="1"/>
  <c r="T65"/>
  <c r="H21" s="1"/>
  <c r="S65"/>
  <c r="F21" s="1"/>
  <c r="R65"/>
  <c r="D21" s="1"/>
  <c r="Q65"/>
  <c r="B21" s="1"/>
  <c r="V64"/>
  <c r="L20" s="1"/>
  <c r="U64"/>
  <c r="J20" s="1"/>
  <c r="T64"/>
  <c r="H20" s="1"/>
  <c r="S64"/>
  <c r="F20" s="1"/>
  <c r="R64"/>
  <c r="D20" s="1"/>
  <c r="Q64"/>
  <c r="B20" s="1"/>
  <c r="V63"/>
  <c r="L19" s="1"/>
  <c r="U63"/>
  <c r="J19" s="1"/>
  <c r="T63"/>
  <c r="H19" s="1"/>
  <c r="S63"/>
  <c r="F19" s="1"/>
  <c r="R63"/>
  <c r="D19" s="1"/>
  <c r="Q63"/>
  <c r="B19" s="1"/>
  <c r="V62"/>
  <c r="L18" s="1"/>
  <c r="U62"/>
  <c r="J18" s="1"/>
  <c r="T62"/>
  <c r="H18" s="1"/>
  <c r="S62"/>
  <c r="F18" s="1"/>
  <c r="R62"/>
  <c r="D18" s="1"/>
  <c r="Q62"/>
  <c r="B18" s="1"/>
  <c r="V61"/>
  <c r="L17" s="1"/>
  <c r="U61"/>
  <c r="J17" s="1"/>
  <c r="T61"/>
  <c r="H17" s="1"/>
  <c r="S61"/>
  <c r="F17" s="1"/>
  <c r="R61"/>
  <c r="D17" s="1"/>
  <c r="Q61"/>
  <c r="B17" s="1"/>
  <c r="V60"/>
  <c r="L16" s="1"/>
  <c r="U60"/>
  <c r="J16" s="1"/>
  <c r="T60"/>
  <c r="H16" s="1"/>
  <c r="S60"/>
  <c r="F16" s="1"/>
  <c r="R60"/>
  <c r="D16" s="1"/>
  <c r="Q60"/>
  <c r="B16" s="1"/>
  <c r="V59"/>
  <c r="L15" s="1"/>
  <c r="U59"/>
  <c r="J15" s="1"/>
  <c r="T59"/>
  <c r="H15" s="1"/>
  <c r="S59"/>
  <c r="F15" s="1"/>
  <c r="R59"/>
  <c r="D15" s="1"/>
  <c r="Q59"/>
  <c r="B15" s="1"/>
  <c r="V58"/>
  <c r="L14" s="1"/>
  <c r="U58"/>
  <c r="J14" s="1"/>
  <c r="T58"/>
  <c r="H14" s="1"/>
  <c r="S58"/>
  <c r="F14" s="1"/>
  <c r="R58"/>
  <c r="D14" s="1"/>
  <c r="Q58"/>
  <c r="B14" s="1"/>
  <c r="V57"/>
  <c r="L13" s="1"/>
  <c r="U57"/>
  <c r="J13" s="1"/>
  <c r="T57"/>
  <c r="H13" s="1"/>
  <c r="S57"/>
  <c r="F13" s="1"/>
  <c r="R57"/>
  <c r="D13" s="1"/>
  <c r="Q57"/>
  <c r="B13" s="1"/>
  <c r="V56"/>
  <c r="L12" s="1"/>
  <c r="U56"/>
  <c r="J12" s="1"/>
  <c r="T56"/>
  <c r="H12" s="1"/>
  <c r="S56"/>
  <c r="F12" s="1"/>
  <c r="R56"/>
  <c r="D12" s="1"/>
  <c r="Q56"/>
  <c r="B12" s="1"/>
  <c r="V55"/>
  <c r="L11" s="1"/>
  <c r="U55"/>
  <c r="J11" s="1"/>
  <c r="T55"/>
  <c r="H11" s="1"/>
  <c r="S55"/>
  <c r="F11" s="1"/>
  <c r="R55"/>
  <c r="D11" s="1"/>
  <c r="Q55"/>
  <c r="B11" s="1"/>
  <c r="V54"/>
  <c r="L10" s="1"/>
  <c r="U54"/>
  <c r="J10" s="1"/>
  <c r="T54"/>
  <c r="H10" s="1"/>
  <c r="S54"/>
  <c r="F10" s="1"/>
  <c r="R54"/>
  <c r="D10" s="1"/>
  <c r="Q54"/>
  <c r="B10" s="1"/>
  <c r="V53"/>
  <c r="L9" s="1"/>
  <c r="U53"/>
  <c r="J9" s="1"/>
  <c r="T53"/>
  <c r="H9" s="1"/>
  <c r="S53"/>
  <c r="F9" s="1"/>
  <c r="R53"/>
  <c r="D9" s="1"/>
  <c r="Q53"/>
  <c r="B9" s="1"/>
  <c r="V52"/>
  <c r="L8" s="1"/>
  <c r="U52"/>
  <c r="J8" s="1"/>
  <c r="T52"/>
  <c r="H8" s="1"/>
  <c r="S52"/>
  <c r="F8" s="1"/>
  <c r="R52"/>
  <c r="D8" s="1"/>
  <c r="Q52"/>
  <c r="B8" s="1"/>
  <c r="V51"/>
  <c r="L7" s="1"/>
  <c r="U51"/>
  <c r="J7" s="1"/>
  <c r="T51"/>
  <c r="H7" s="1"/>
  <c r="S51"/>
  <c r="F7" s="1"/>
  <c r="R51"/>
  <c r="D7" s="1"/>
  <c r="Q51"/>
  <c r="B7" s="1"/>
  <c r="V50"/>
  <c r="L6" s="1"/>
  <c r="U50"/>
  <c r="J6" s="1"/>
  <c r="T50"/>
  <c r="H6" s="1"/>
  <c r="S50"/>
  <c r="F6" s="1"/>
  <c r="R50"/>
  <c r="D6" s="1"/>
  <c r="Q50"/>
  <c r="B6" s="1"/>
  <c r="V49"/>
  <c r="U49"/>
  <c r="T49"/>
  <c r="S49"/>
  <c r="R49"/>
  <c r="Q49"/>
  <c r="B34" i="96"/>
  <c r="B4" i="95" s="1"/>
  <c r="P7" i="99" s="1"/>
  <c r="C34" i="96"/>
  <c r="D34"/>
  <c r="E34"/>
  <c r="B35"/>
  <c r="B5" i="95" s="1"/>
  <c r="C35" i="96"/>
  <c r="D35"/>
  <c r="E35"/>
  <c r="B36"/>
  <c r="B6" i="95" s="1"/>
  <c r="C36" i="96"/>
  <c r="D36"/>
  <c r="E36"/>
  <c r="B37"/>
  <c r="B7" i="95" s="1"/>
  <c r="C37" i="96"/>
  <c r="D37"/>
  <c r="E37"/>
  <c r="B38"/>
  <c r="B8" i="95" s="1"/>
  <c r="C38" i="96"/>
  <c r="D38"/>
  <c r="E38"/>
  <c r="B39"/>
  <c r="B9" i="95" s="1"/>
  <c r="C39" i="96"/>
  <c r="D39"/>
  <c r="E39"/>
  <c r="B40"/>
  <c r="B10" i="95" s="1"/>
  <c r="C40" i="96"/>
  <c r="D40"/>
  <c r="E40"/>
  <c r="B41"/>
  <c r="B11" i="95" s="1"/>
  <c r="C41" i="96"/>
  <c r="D41"/>
  <c r="E41"/>
  <c r="B42"/>
  <c r="B12" i="95" s="1"/>
  <c r="C42" i="96"/>
  <c r="D42"/>
  <c r="E42"/>
  <c r="B43"/>
  <c r="B13" i="95" s="1"/>
  <c r="C43" i="96"/>
  <c r="D43"/>
  <c r="E43"/>
  <c r="B44"/>
  <c r="B14" i="95" s="1"/>
  <c r="C44" i="96"/>
  <c r="D44"/>
  <c r="E44"/>
  <c r="B45"/>
  <c r="B15" i="95" s="1"/>
  <c r="C45" i="96"/>
  <c r="D45"/>
  <c r="E45"/>
  <c r="B46"/>
  <c r="B16" i="95" s="1"/>
  <c r="C46" i="96"/>
  <c r="D46"/>
  <c r="E46"/>
  <c r="B47"/>
  <c r="B17" i="95" s="1"/>
  <c r="C47" i="96"/>
  <c r="D47"/>
  <c r="E47"/>
  <c r="B48"/>
  <c r="B18" i="95" s="1"/>
  <c r="C48" i="96"/>
  <c r="D48"/>
  <c r="E48"/>
  <c r="B49"/>
  <c r="B19" i="95" s="1"/>
  <c r="C49" i="96"/>
  <c r="D49"/>
  <c r="E49"/>
  <c r="B50"/>
  <c r="B20" i="95" s="1"/>
  <c r="C50" i="96"/>
  <c r="D50"/>
  <c r="E50"/>
  <c r="B51"/>
  <c r="B21" i="95" s="1"/>
  <c r="C51" i="96"/>
  <c r="D51"/>
  <c r="E51"/>
  <c r="B52"/>
  <c r="B22" i="95" s="1"/>
  <c r="C52" i="96"/>
  <c r="D52"/>
  <c r="E52"/>
  <c r="B53"/>
  <c r="B23" i="95" s="1"/>
  <c r="C53" i="96"/>
  <c r="D53"/>
  <c r="E53"/>
  <c r="B54"/>
  <c r="B24" i="95" s="1"/>
  <c r="C54" i="96"/>
  <c r="D54"/>
  <c r="E54"/>
  <c r="B55"/>
  <c r="B25" i="95" s="1"/>
  <c r="C55" i="96"/>
  <c r="D55"/>
  <c r="E55"/>
  <c r="F14" i="94"/>
  <c r="B7"/>
  <c r="A6" i="97"/>
  <c r="A7" s="1"/>
  <c r="A8" s="1"/>
  <c r="A9" s="1"/>
  <c r="A10" s="1"/>
  <c r="A11" s="1"/>
  <c r="A12" s="1"/>
  <c r="A13" s="1"/>
  <c r="A14" s="1"/>
  <c r="A15" s="1"/>
  <c r="B17" i="60"/>
  <c r="B16"/>
  <c r="B15"/>
  <c r="J4" i="59"/>
  <c r="I4"/>
  <c r="H4"/>
  <c r="G4"/>
  <c r="F4"/>
  <c r="E4"/>
  <c r="D4"/>
  <c r="C4"/>
  <c r="B4"/>
  <c r="J18" i="40"/>
  <c r="G18" s="1"/>
  <c r="M17"/>
  <c r="Q16"/>
  <c r="J15"/>
  <c r="F15"/>
  <c r="E15"/>
  <c r="J14"/>
  <c r="F14"/>
  <c r="E14"/>
  <c r="J13"/>
  <c r="F13"/>
  <c r="E13"/>
  <c r="J12"/>
  <c r="F12"/>
  <c r="E12"/>
  <c r="J11"/>
  <c r="F11"/>
  <c r="E11"/>
  <c r="J10"/>
  <c r="F10"/>
  <c r="E10"/>
  <c r="D102" i="112" l="1"/>
  <c r="C132" s="1"/>
  <c r="C147"/>
  <c r="D90"/>
  <c r="C128" s="1"/>
  <c r="C143"/>
  <c r="D93"/>
  <c r="C129" s="1"/>
  <c r="C144"/>
  <c r="D108"/>
  <c r="C134" s="1"/>
  <c r="C149"/>
  <c r="B4" i="91"/>
  <c r="D15" i="110"/>
  <c r="E16"/>
  <c r="F83" i="112"/>
  <c r="F117"/>
  <c r="F68"/>
  <c r="G49"/>
  <c r="G117" s="1"/>
  <c r="C11" i="88"/>
  <c r="C6" i="91"/>
  <c r="D16"/>
  <c r="D19" i="88" s="1"/>
  <c r="D24" i="91"/>
  <c r="D27" i="88" s="1"/>
  <c r="D6" i="91"/>
  <c r="D9" i="88" s="1"/>
  <c r="C17" i="91"/>
  <c r="C20" i="88" s="1"/>
  <c r="C14" i="91"/>
  <c r="C17" i="88" s="1"/>
  <c r="D12" i="91"/>
  <c r="D15" i="88" s="1"/>
  <c r="D21" i="91"/>
  <c r="D24" i="88" s="1"/>
  <c r="D7" i="91"/>
  <c r="D10" i="88" s="1"/>
  <c r="C18" i="91"/>
  <c r="C21" i="88" s="1"/>
  <c r="D111" i="112"/>
  <c r="C135" s="1"/>
  <c r="C150"/>
  <c r="D87"/>
  <c r="C127" s="1"/>
  <c r="C142"/>
  <c r="B17" i="91"/>
  <c r="O18" i="40"/>
  <c r="N18"/>
  <c r="M18" s="1"/>
  <c r="B15" i="97"/>
  <c r="D4" i="112" s="1"/>
  <c r="H50"/>
  <c r="F80"/>
  <c r="D81"/>
  <c r="C125" s="1"/>
  <c r="H18" i="40"/>
  <c r="I18"/>
  <c r="B21" i="91"/>
  <c r="B15"/>
  <c r="B23"/>
  <c r="B9"/>
  <c r="C7" i="88"/>
  <c r="B13" i="91"/>
  <c r="B19"/>
  <c r="B5"/>
  <c r="B20"/>
  <c r="B10"/>
  <c r="B12"/>
  <c r="B22"/>
  <c r="B16"/>
  <c r="B24"/>
  <c r="B14"/>
  <c r="B11"/>
  <c r="B27" i="88"/>
  <c r="F27" s="1"/>
  <c r="D28"/>
  <c r="B25"/>
  <c r="E25" s="1"/>
  <c r="B26"/>
  <c r="F26" s="1"/>
  <c r="D25" i="91"/>
  <c r="C25"/>
  <c r="L32" i="59"/>
  <c r="K32"/>
  <c r="J32"/>
  <c r="J33" s="1"/>
  <c r="I32"/>
  <c r="I33" s="1"/>
  <c r="H32"/>
  <c r="H33" s="1"/>
  <c r="G32"/>
  <c r="G33" s="1"/>
  <c r="F32"/>
  <c r="F33" s="1"/>
  <c r="E32"/>
  <c r="E33" s="1"/>
  <c r="D32"/>
  <c r="D33" s="1"/>
  <c r="C32"/>
  <c r="C33" s="1"/>
  <c r="B32"/>
  <c r="B33" s="1"/>
  <c r="E15" i="110" l="1"/>
  <c r="F16"/>
  <c r="F15" s="1"/>
  <c r="G68" i="112"/>
  <c r="G83"/>
  <c r="G80" s="1"/>
  <c r="H49"/>
  <c r="H117" s="1"/>
  <c r="B18" i="91"/>
  <c r="B7"/>
  <c r="B25" s="1"/>
  <c r="B6"/>
  <c r="C9" i="88"/>
  <c r="C28" s="1"/>
  <c r="F25"/>
  <c r="E27"/>
  <c r="E26"/>
  <c r="K4" i="59"/>
  <c r="K33" s="1"/>
  <c r="L4"/>
  <c r="L33" s="1"/>
  <c r="H68" i="112" l="1"/>
  <c r="H83"/>
  <c r="H80" s="1"/>
  <c r="U265" i="97"/>
  <c r="AA265" s="1"/>
  <c r="AG265" s="1"/>
  <c r="AM265" s="1"/>
  <c r="AS265" s="1"/>
  <c r="AY265" s="1"/>
  <c r="BE265" s="1"/>
  <c r="BK265" s="1"/>
  <c r="U264"/>
  <c r="AA264" s="1"/>
  <c r="AG264" s="1"/>
  <c r="AM264" s="1"/>
  <c r="AS264" s="1"/>
  <c r="AY264" s="1"/>
  <c r="BE264" s="1"/>
  <c r="BK264" s="1"/>
  <c r="D253"/>
  <c r="U227"/>
  <c r="AA227" s="1"/>
  <c r="AG227" s="1"/>
  <c r="AM227" s="1"/>
  <c r="AS227" s="1"/>
  <c r="AY227" s="1"/>
  <c r="BE227" s="1"/>
  <c r="BK227" s="1"/>
  <c r="U226"/>
  <c r="AA226" s="1"/>
  <c r="AG226" s="1"/>
  <c r="AM226" s="1"/>
  <c r="AS226" s="1"/>
  <c r="AY226" s="1"/>
  <c r="BE226" s="1"/>
  <c r="BK226" s="1"/>
  <c r="M225"/>
  <c r="M263" s="1"/>
  <c r="S263" s="1"/>
  <c r="Y263" s="1"/>
  <c r="AE263" s="1"/>
  <c r="AK263" s="1"/>
  <c r="AQ263" s="1"/>
  <c r="AW263" s="1"/>
  <c r="BC263" s="1"/>
  <c r="BI263" s="1"/>
  <c r="D216"/>
  <c r="F194"/>
  <c r="G181" s="1"/>
  <c r="V190"/>
  <c r="AC190" s="1"/>
  <c r="AJ190" s="1"/>
  <c r="AQ190" s="1"/>
  <c r="AX190" s="1"/>
  <c r="BE190" s="1"/>
  <c r="BL190" s="1"/>
  <c r="BS190" s="1"/>
  <c r="BZ190" s="1"/>
  <c r="CG190" s="1"/>
  <c r="CN190" s="1"/>
  <c r="CU190" s="1"/>
  <c r="DB190" s="1"/>
  <c r="DI190" s="1"/>
  <c r="DP190" s="1"/>
  <c r="V189"/>
  <c r="AC189" s="1"/>
  <c r="AJ189" s="1"/>
  <c r="AQ189" s="1"/>
  <c r="AX189" s="1"/>
  <c r="BE189" s="1"/>
  <c r="BL189" s="1"/>
  <c r="BS189" s="1"/>
  <c r="BZ189" s="1"/>
  <c r="CG189" s="1"/>
  <c r="CN189" s="1"/>
  <c r="CU189" s="1"/>
  <c r="DB189" s="1"/>
  <c r="DI189" s="1"/>
  <c r="DP189" s="1"/>
  <c r="D179"/>
  <c r="E178"/>
  <c r="E177"/>
  <c r="E159"/>
  <c r="V153"/>
  <c r="V140" s="1"/>
  <c r="E160" s="1"/>
  <c r="V152"/>
  <c r="AC152" s="1"/>
  <c r="AJ152" s="1"/>
  <c r="AQ152" s="1"/>
  <c r="AX152" s="1"/>
  <c r="BE152" s="1"/>
  <c r="BL152" s="1"/>
  <c r="BS152" s="1"/>
  <c r="BZ152" s="1"/>
  <c r="D142"/>
  <c r="BY137"/>
  <c r="D105"/>
  <c r="C68"/>
  <c r="A66"/>
  <c r="A103" s="1"/>
  <c r="A177" s="1"/>
  <c r="A214" s="1"/>
  <c r="A251" s="1"/>
  <c r="B76"/>
  <c r="B75"/>
  <c r="B74"/>
  <c r="B111" s="1"/>
  <c r="C111" s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H4"/>
  <c r="G4"/>
  <c r="F4"/>
  <c r="E4"/>
  <c r="D4"/>
  <c r="C4"/>
  <c r="E17" i="60"/>
  <c r="F17" s="1"/>
  <c r="V180" i="97" l="1"/>
  <c r="F195" s="1"/>
  <c r="AC153"/>
  <c r="AJ153" s="1"/>
  <c r="AQ153" s="1"/>
  <c r="AX153" s="1"/>
  <c r="BE153" s="1"/>
  <c r="BL153" s="1"/>
  <c r="BS153" s="1"/>
  <c r="BZ153" s="1"/>
  <c r="G17" i="60"/>
  <c r="H17" s="1"/>
  <c r="I15" i="97"/>
  <c r="I13"/>
  <c r="B113"/>
  <c r="B112"/>
  <c r="I14"/>
  <c r="D106"/>
  <c r="D143"/>
  <c r="C69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A140"/>
  <c r="E179"/>
  <c r="D180"/>
  <c r="A67"/>
  <c r="B185"/>
  <c r="B148"/>
  <c r="D217"/>
  <c r="D254"/>
  <c r="S225"/>
  <c r="Y225" s="1"/>
  <c r="AE225" s="1"/>
  <c r="AK225" s="1"/>
  <c r="AQ225" s="1"/>
  <c r="AW225" s="1"/>
  <c r="BC225" s="1"/>
  <c r="BI225" s="1"/>
  <c r="L29" i="59"/>
  <c r="L28"/>
  <c r="L27"/>
  <c r="L26"/>
  <c r="L25"/>
  <c r="L24"/>
  <c r="L23"/>
  <c r="L22"/>
  <c r="L21"/>
  <c r="L20"/>
  <c r="L19"/>
  <c r="L18"/>
  <c r="AC180" i="97" l="1"/>
  <c r="AC140"/>
  <c r="J17" i="60"/>
  <c r="A104" i="97"/>
  <c r="A68"/>
  <c r="T148"/>
  <c r="M148"/>
  <c r="D107"/>
  <c r="B186"/>
  <c r="B149"/>
  <c r="C112"/>
  <c r="D255"/>
  <c r="D218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B222"/>
  <c r="T185"/>
  <c r="M185"/>
  <c r="D181"/>
  <c r="E180"/>
  <c r="D144"/>
  <c r="B187"/>
  <c r="B150"/>
  <c r="C113"/>
  <c r="AJ180" l="1"/>
  <c r="F196"/>
  <c r="AA185"/>
  <c r="E161"/>
  <c r="F144" s="1"/>
  <c r="AA148"/>
  <c r="AJ140"/>
  <c r="AH148" s="1"/>
  <c r="D182"/>
  <c r="E181"/>
  <c r="B259"/>
  <c r="A105"/>
  <c r="A69"/>
  <c r="B224"/>
  <c r="AA187"/>
  <c r="M187"/>
  <c r="T187"/>
  <c r="D108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256"/>
  <c r="AA149"/>
  <c r="T149"/>
  <c r="M149"/>
  <c r="A178"/>
  <c r="A215" s="1"/>
  <c r="A252" s="1"/>
  <c r="A141"/>
  <c r="M150"/>
  <c r="AA150"/>
  <c r="T150"/>
  <c r="D145"/>
  <c r="B223"/>
  <c r="AA186"/>
  <c r="T186"/>
  <c r="M186"/>
  <c r="AH150" l="1"/>
  <c r="AH185"/>
  <c r="AQ180"/>
  <c r="F197"/>
  <c r="AH186"/>
  <c r="AH187"/>
  <c r="AH149"/>
  <c r="AQ140"/>
  <c r="E162"/>
  <c r="D257"/>
  <c r="B261"/>
  <c r="D183"/>
  <c r="E182"/>
  <c r="B260"/>
  <c r="D146"/>
  <c r="A106"/>
  <c r="A70"/>
  <c r="A179"/>
  <c r="A216" s="1"/>
  <c r="A253" s="1"/>
  <c r="A142"/>
  <c r="E18" i="59"/>
  <c r="F18"/>
  <c r="G18"/>
  <c r="H18"/>
  <c r="I18"/>
  <c r="J18"/>
  <c r="K18"/>
  <c r="E19"/>
  <c r="F19"/>
  <c r="G19"/>
  <c r="H19"/>
  <c r="I19"/>
  <c r="J19"/>
  <c r="K19"/>
  <c r="E20"/>
  <c r="F20"/>
  <c r="G20"/>
  <c r="H20"/>
  <c r="I20"/>
  <c r="J20"/>
  <c r="K20"/>
  <c r="E21"/>
  <c r="F21"/>
  <c r="G21"/>
  <c r="H21"/>
  <c r="I21"/>
  <c r="J21"/>
  <c r="K21"/>
  <c r="E22"/>
  <c r="F22"/>
  <c r="G22"/>
  <c r="H22"/>
  <c r="I22"/>
  <c r="J22"/>
  <c r="K22"/>
  <c r="E23"/>
  <c r="F23"/>
  <c r="G23"/>
  <c r="H23"/>
  <c r="I23"/>
  <c r="J23"/>
  <c r="K23"/>
  <c r="E24"/>
  <c r="F24"/>
  <c r="G24"/>
  <c r="H24"/>
  <c r="I24"/>
  <c r="J24"/>
  <c r="K24"/>
  <c r="E25"/>
  <c r="F25"/>
  <c r="G25"/>
  <c r="H25"/>
  <c r="I25"/>
  <c r="J25"/>
  <c r="K25"/>
  <c r="E26"/>
  <c r="F26"/>
  <c r="G26"/>
  <c r="H26"/>
  <c r="I26"/>
  <c r="J26"/>
  <c r="K26"/>
  <c r="E27"/>
  <c r="F27"/>
  <c r="G27"/>
  <c r="H27"/>
  <c r="I27"/>
  <c r="J27"/>
  <c r="K27"/>
  <c r="E28"/>
  <c r="F28"/>
  <c r="G28"/>
  <c r="H28"/>
  <c r="I28"/>
  <c r="J28"/>
  <c r="K28"/>
  <c r="E29"/>
  <c r="F29"/>
  <c r="G29"/>
  <c r="H29"/>
  <c r="I29"/>
  <c r="J29"/>
  <c r="K29"/>
  <c r="D28"/>
  <c r="D29"/>
  <c r="D19"/>
  <c r="D20"/>
  <c r="D21"/>
  <c r="D22"/>
  <c r="D23"/>
  <c r="D24"/>
  <c r="D25"/>
  <c r="D26"/>
  <c r="D27"/>
  <c r="E5" i="60"/>
  <c r="G5" s="1"/>
  <c r="E6"/>
  <c r="E7"/>
  <c r="E8"/>
  <c r="E9"/>
  <c r="E10"/>
  <c r="E16"/>
  <c r="F16" s="1"/>
  <c r="AD35" i="96"/>
  <c r="S5" i="95" s="1"/>
  <c r="AE35" i="96"/>
  <c r="AF35"/>
  <c r="AG35"/>
  <c r="AD36"/>
  <c r="S6" i="95" s="1"/>
  <c r="AE36" i="96"/>
  <c r="AF36"/>
  <c r="AG36"/>
  <c r="AD37"/>
  <c r="S7" i="95" s="1"/>
  <c r="AE37" i="96"/>
  <c r="AF37"/>
  <c r="AG37"/>
  <c r="AD38"/>
  <c r="S8" i="95" s="1"/>
  <c r="AE38" i="96"/>
  <c r="AF38"/>
  <c r="AG38"/>
  <c r="AD39"/>
  <c r="S9" i="95" s="1"/>
  <c r="AE39" i="96"/>
  <c r="AF39"/>
  <c r="AG39"/>
  <c r="AD40"/>
  <c r="S10" i="95" s="1"/>
  <c r="AE40" i="96"/>
  <c r="AF40"/>
  <c r="AG40"/>
  <c r="AD41"/>
  <c r="S11" i="95" s="1"/>
  <c r="AE41" i="96"/>
  <c r="AF41"/>
  <c r="AG41"/>
  <c r="AD42"/>
  <c r="S12" i="95" s="1"/>
  <c r="AE42" i="96"/>
  <c r="AF42"/>
  <c r="AG42"/>
  <c r="AD43"/>
  <c r="S13" i="95" s="1"/>
  <c r="AE43" i="96"/>
  <c r="AF43"/>
  <c r="AG43"/>
  <c r="AD44"/>
  <c r="S14" i="95" s="1"/>
  <c r="AE44" i="96"/>
  <c r="AF44"/>
  <c r="AG44"/>
  <c r="AD45"/>
  <c r="S15" i="95" s="1"/>
  <c r="AE45" i="96"/>
  <c r="AF45"/>
  <c r="AG45"/>
  <c r="AD46"/>
  <c r="S16" i="95" s="1"/>
  <c r="AE46" i="96"/>
  <c r="AF46"/>
  <c r="AG46"/>
  <c r="AD47"/>
  <c r="S17" i="95" s="1"/>
  <c r="AE47" i="96"/>
  <c r="AF47"/>
  <c r="AG47"/>
  <c r="AD48"/>
  <c r="S18" i="95" s="1"/>
  <c r="AE48" i="96"/>
  <c r="AF48"/>
  <c r="AG48"/>
  <c r="AD49"/>
  <c r="S19" i="95" s="1"/>
  <c r="AE49" i="96"/>
  <c r="AF49"/>
  <c r="AG49"/>
  <c r="AD50"/>
  <c r="S20" i="95" s="1"/>
  <c r="AE50" i="96"/>
  <c r="AF50"/>
  <c r="AG50"/>
  <c r="AD51"/>
  <c r="S21" i="95" s="1"/>
  <c r="AE51" i="96"/>
  <c r="AF51"/>
  <c r="AG51"/>
  <c r="AD52"/>
  <c r="S22" i="95" s="1"/>
  <c r="AE52" i="96"/>
  <c r="AF52"/>
  <c r="AG52"/>
  <c r="AD53"/>
  <c r="S23" i="95" s="1"/>
  <c r="AE53" i="96"/>
  <c r="AF53"/>
  <c r="AG53"/>
  <c r="AD54"/>
  <c r="S24" i="95" s="1"/>
  <c r="AE54" i="96"/>
  <c r="AF54"/>
  <c r="AG54"/>
  <c r="AD55"/>
  <c r="S25" i="95" s="1"/>
  <c r="AE55" i="96"/>
  <c r="AF55"/>
  <c r="AG55"/>
  <c r="AE34"/>
  <c r="AF34"/>
  <c r="AG34"/>
  <c r="AD8"/>
  <c r="O5" i="95" s="1"/>
  <c r="AE8" i="96"/>
  <c r="AF8"/>
  <c r="AG8"/>
  <c r="AD9"/>
  <c r="O6" i="95" s="1"/>
  <c r="AE9" i="96"/>
  <c r="AF9"/>
  <c r="AG9"/>
  <c r="AD10"/>
  <c r="O7" i="95" s="1"/>
  <c r="AE10" i="96"/>
  <c r="AF10"/>
  <c r="AG10"/>
  <c r="AD11"/>
  <c r="O8" i="95" s="1"/>
  <c r="AE11" i="96"/>
  <c r="AF11"/>
  <c r="AG11"/>
  <c r="AD12"/>
  <c r="O9" i="95" s="1"/>
  <c r="AE12" i="96"/>
  <c r="AF12"/>
  <c r="AG12"/>
  <c r="AD13"/>
  <c r="O10" i="95" s="1"/>
  <c r="AE13" i="96"/>
  <c r="AF13"/>
  <c r="AG13"/>
  <c r="AD14"/>
  <c r="O11" i="95" s="1"/>
  <c r="AE14" i="96"/>
  <c r="AF14"/>
  <c r="AG14"/>
  <c r="AD15"/>
  <c r="O12" i="95" s="1"/>
  <c r="AE15" i="96"/>
  <c r="AF15"/>
  <c r="AG15"/>
  <c r="AD16"/>
  <c r="O13" i="95" s="1"/>
  <c r="AE16" i="96"/>
  <c r="AF16"/>
  <c r="AG16"/>
  <c r="AD17"/>
  <c r="O14" i="95" s="1"/>
  <c r="AE17" i="96"/>
  <c r="AF17"/>
  <c r="AG17"/>
  <c r="AD18"/>
  <c r="O15" i="95" s="1"/>
  <c r="AE18" i="96"/>
  <c r="AF18"/>
  <c r="AG18"/>
  <c r="AD19"/>
  <c r="O16" i="95" s="1"/>
  <c r="AE19" i="96"/>
  <c r="AF19"/>
  <c r="AG19"/>
  <c r="AD20"/>
  <c r="O17" i="95" s="1"/>
  <c r="AE20" i="96"/>
  <c r="AF20"/>
  <c r="AG20"/>
  <c r="AD21"/>
  <c r="O18" i="95" s="1"/>
  <c r="AE21" i="96"/>
  <c r="AF21"/>
  <c r="AG21"/>
  <c r="AD22"/>
  <c r="O19" i="95" s="1"/>
  <c r="AE22" i="96"/>
  <c r="AF22"/>
  <c r="AG22"/>
  <c r="AD23"/>
  <c r="O20" i="95" s="1"/>
  <c r="AE23" i="96"/>
  <c r="AF23"/>
  <c r="AG23"/>
  <c r="AD24"/>
  <c r="O21" i="95" s="1"/>
  <c r="AE24" i="96"/>
  <c r="AF24"/>
  <c r="AG24"/>
  <c r="AD25"/>
  <c r="O22" i="95" s="1"/>
  <c r="AE25" i="96"/>
  <c r="AF25"/>
  <c r="AG25"/>
  <c r="AD26"/>
  <c r="O23" i="95" s="1"/>
  <c r="AE26" i="96"/>
  <c r="AF26"/>
  <c r="AG26"/>
  <c r="AD27"/>
  <c r="O24" i="95" s="1"/>
  <c r="AE27" i="96"/>
  <c r="AF27"/>
  <c r="AG27"/>
  <c r="AD28"/>
  <c r="O25" i="95" s="1"/>
  <c r="AE28" i="96"/>
  <c r="AF28"/>
  <c r="AG28"/>
  <c r="AE7"/>
  <c r="AF7"/>
  <c r="AG7"/>
  <c r="X35"/>
  <c r="R5" i="95" s="1"/>
  <c r="Y35" i="96"/>
  <c r="Z35"/>
  <c r="AA35"/>
  <c r="X36"/>
  <c r="R6" i="95" s="1"/>
  <c r="Y36" i="96"/>
  <c r="Z36"/>
  <c r="AA36"/>
  <c r="X37"/>
  <c r="R7" i="95" s="1"/>
  <c r="Y37" i="96"/>
  <c r="Z37"/>
  <c r="AA37"/>
  <c r="X38"/>
  <c r="R8" i="95" s="1"/>
  <c r="Y38" i="96"/>
  <c r="Z38"/>
  <c r="AA38"/>
  <c r="X39"/>
  <c r="R9" i="95" s="1"/>
  <c r="Y39" i="96"/>
  <c r="Z39"/>
  <c r="AA39"/>
  <c r="X40"/>
  <c r="R10" i="95" s="1"/>
  <c r="Y40" i="96"/>
  <c r="Z40"/>
  <c r="AA40"/>
  <c r="X41"/>
  <c r="R11" i="95" s="1"/>
  <c r="Y41" i="96"/>
  <c r="Z41"/>
  <c r="AA41"/>
  <c r="X42"/>
  <c r="R12" i="95" s="1"/>
  <c r="Y42" i="96"/>
  <c r="Z42"/>
  <c r="AA42"/>
  <c r="X43"/>
  <c r="R13" i="95" s="1"/>
  <c r="Y43" i="96"/>
  <c r="Z43"/>
  <c r="AA43"/>
  <c r="X44"/>
  <c r="R14" i="95" s="1"/>
  <c r="Y44" i="96"/>
  <c r="Z44"/>
  <c r="AA44"/>
  <c r="X45"/>
  <c r="R15" i="95" s="1"/>
  <c r="Y45" i="96"/>
  <c r="Z45"/>
  <c r="AA45"/>
  <c r="X46"/>
  <c r="R16" i="95" s="1"/>
  <c r="Y46" i="96"/>
  <c r="Z46"/>
  <c r="AA46"/>
  <c r="X47"/>
  <c r="R17" i="95" s="1"/>
  <c r="Y47" i="96"/>
  <c r="Z47"/>
  <c r="AA47"/>
  <c r="X48"/>
  <c r="R18" i="95" s="1"/>
  <c r="Y48" i="96"/>
  <c r="Z48"/>
  <c r="AA48"/>
  <c r="X49"/>
  <c r="R19" i="95" s="1"/>
  <c r="Y49" i="96"/>
  <c r="Z49"/>
  <c r="AA49"/>
  <c r="X50"/>
  <c r="R20" i="95" s="1"/>
  <c r="Y50" i="96"/>
  <c r="Z50"/>
  <c r="AA50"/>
  <c r="X51"/>
  <c r="R21" i="95" s="1"/>
  <c r="Y51" i="96"/>
  <c r="Z51"/>
  <c r="AA51"/>
  <c r="X52"/>
  <c r="R22" i="95" s="1"/>
  <c r="Y52" i="96"/>
  <c r="Z52"/>
  <c r="AA52"/>
  <c r="X53"/>
  <c r="R23" i="95" s="1"/>
  <c r="Y53" i="96"/>
  <c r="Z53"/>
  <c r="AA53"/>
  <c r="X54"/>
  <c r="R24" i="95" s="1"/>
  <c r="Y54" i="96"/>
  <c r="Z54"/>
  <c r="AA54"/>
  <c r="X55"/>
  <c r="R25" i="95" s="1"/>
  <c r="Y55" i="96"/>
  <c r="Z55"/>
  <c r="AA55"/>
  <c r="Y34"/>
  <c r="Z34"/>
  <c r="AA34"/>
  <c r="X8"/>
  <c r="N5" i="95" s="1"/>
  <c r="Y8" i="96"/>
  <c r="Z8"/>
  <c r="AA8"/>
  <c r="X9"/>
  <c r="N6" i="95" s="1"/>
  <c r="Y9" i="96"/>
  <c r="Z9"/>
  <c r="AA9"/>
  <c r="X10"/>
  <c r="N7" i="95" s="1"/>
  <c r="Y10" i="96"/>
  <c r="Z10"/>
  <c r="AA10"/>
  <c r="X11"/>
  <c r="N8" i="95" s="1"/>
  <c r="Y11" i="96"/>
  <c r="Z11"/>
  <c r="AA11"/>
  <c r="X12"/>
  <c r="N9" i="95" s="1"/>
  <c r="Y12" i="96"/>
  <c r="Z12"/>
  <c r="AA12"/>
  <c r="X13"/>
  <c r="N10" i="95" s="1"/>
  <c r="Y13" i="96"/>
  <c r="Z13"/>
  <c r="AA13"/>
  <c r="X14"/>
  <c r="N11" i="95" s="1"/>
  <c r="Y14" i="96"/>
  <c r="Z14"/>
  <c r="AA14"/>
  <c r="X15"/>
  <c r="N12" i="95" s="1"/>
  <c r="Y15" i="96"/>
  <c r="Z15"/>
  <c r="AA15"/>
  <c r="X16"/>
  <c r="N13" i="95" s="1"/>
  <c r="Y16" i="96"/>
  <c r="Z16"/>
  <c r="AA16"/>
  <c r="X17"/>
  <c r="N14" i="95" s="1"/>
  <c r="Y17" i="96"/>
  <c r="Z17"/>
  <c r="AA17"/>
  <c r="X18"/>
  <c r="N15" i="95" s="1"/>
  <c r="Y18" i="96"/>
  <c r="Z18"/>
  <c r="AA18"/>
  <c r="X19"/>
  <c r="N16" i="95" s="1"/>
  <c r="Y19" i="96"/>
  <c r="Z19"/>
  <c r="AA19"/>
  <c r="X20"/>
  <c r="N17" i="95" s="1"/>
  <c r="Y20" i="96"/>
  <c r="Z20"/>
  <c r="AA20"/>
  <c r="X21"/>
  <c r="N18" i="95" s="1"/>
  <c r="Y21" i="96"/>
  <c r="Z21"/>
  <c r="AA21"/>
  <c r="X22"/>
  <c r="N19" i="95" s="1"/>
  <c r="Y22" i="96"/>
  <c r="Z22"/>
  <c r="AA22"/>
  <c r="X23"/>
  <c r="N20" i="95" s="1"/>
  <c r="Y23" i="96"/>
  <c r="Z23"/>
  <c r="AA23"/>
  <c r="X24"/>
  <c r="N21" i="95" s="1"/>
  <c r="Y24" i="96"/>
  <c r="Z24"/>
  <c r="AA24"/>
  <c r="X25"/>
  <c r="N22" i="95" s="1"/>
  <c r="Y25" i="96"/>
  <c r="Z25"/>
  <c r="AA25"/>
  <c r="X26"/>
  <c r="N23" i="95" s="1"/>
  <c r="Y26" i="96"/>
  <c r="Z26"/>
  <c r="AA26"/>
  <c r="X27"/>
  <c r="N24" i="95" s="1"/>
  <c r="Y27" i="96"/>
  <c r="Z27"/>
  <c r="AA27"/>
  <c r="X28"/>
  <c r="N25" i="95" s="1"/>
  <c r="Y28" i="96"/>
  <c r="Z28"/>
  <c r="AA28"/>
  <c r="Y7"/>
  <c r="Z7"/>
  <c r="AA7"/>
  <c r="S35"/>
  <c r="K5" i="95" s="1"/>
  <c r="T35" i="96"/>
  <c r="U35"/>
  <c r="V35"/>
  <c r="S36"/>
  <c r="K6" i="95" s="1"/>
  <c r="T36" i="96"/>
  <c r="U36"/>
  <c r="V36"/>
  <c r="S37"/>
  <c r="K7" i="95" s="1"/>
  <c r="T37" i="96"/>
  <c r="U37"/>
  <c r="V37"/>
  <c r="S38"/>
  <c r="K8" i="95" s="1"/>
  <c r="T38" i="96"/>
  <c r="U38"/>
  <c r="V38"/>
  <c r="S39"/>
  <c r="K9" i="95" s="1"/>
  <c r="T39" i="96"/>
  <c r="U39"/>
  <c r="V39"/>
  <c r="S40"/>
  <c r="K10" i="95" s="1"/>
  <c r="T40" i="96"/>
  <c r="U40"/>
  <c r="V40"/>
  <c r="S41"/>
  <c r="K11" i="95" s="1"/>
  <c r="T41" i="96"/>
  <c r="U41"/>
  <c r="V41"/>
  <c r="S42"/>
  <c r="K12" i="95" s="1"/>
  <c r="T42" i="96"/>
  <c r="U42"/>
  <c r="V42"/>
  <c r="S43"/>
  <c r="K13" i="95" s="1"/>
  <c r="T43" i="96"/>
  <c r="U43"/>
  <c r="V43"/>
  <c r="S44"/>
  <c r="K14" i="95" s="1"/>
  <c r="T44" i="96"/>
  <c r="U44"/>
  <c r="V44"/>
  <c r="S45"/>
  <c r="K15" i="95" s="1"/>
  <c r="T45" i="96"/>
  <c r="U45"/>
  <c r="V45"/>
  <c r="S46"/>
  <c r="K16" i="95" s="1"/>
  <c r="T46" i="96"/>
  <c r="U46"/>
  <c r="V46"/>
  <c r="S47"/>
  <c r="K17" i="95" s="1"/>
  <c r="T47" i="96"/>
  <c r="U47"/>
  <c r="V47"/>
  <c r="S48"/>
  <c r="K18" i="95" s="1"/>
  <c r="T48" i="96"/>
  <c r="U48"/>
  <c r="V48"/>
  <c r="S49"/>
  <c r="K19" i="95" s="1"/>
  <c r="T49" i="96"/>
  <c r="U49"/>
  <c r="V49"/>
  <c r="S50"/>
  <c r="K20" i="95" s="1"/>
  <c r="T50" i="96"/>
  <c r="U50"/>
  <c r="V50"/>
  <c r="S51"/>
  <c r="K21" i="95" s="1"/>
  <c r="T51" i="96"/>
  <c r="U51"/>
  <c r="V51"/>
  <c r="S52"/>
  <c r="K22" i="95" s="1"/>
  <c r="T52" i="96"/>
  <c r="U52"/>
  <c r="V52"/>
  <c r="S53"/>
  <c r="K23" i="95" s="1"/>
  <c r="T53" i="96"/>
  <c r="U53"/>
  <c r="V53"/>
  <c r="S54"/>
  <c r="K24" i="95" s="1"/>
  <c r="T54" i="96"/>
  <c r="U54"/>
  <c r="V54"/>
  <c r="S55"/>
  <c r="K25" i="95" s="1"/>
  <c r="T55" i="96"/>
  <c r="U55"/>
  <c r="V55"/>
  <c r="T34"/>
  <c r="U34"/>
  <c r="V34"/>
  <c r="S8"/>
  <c r="G5" i="95" s="1"/>
  <c r="T8" i="96"/>
  <c r="U8"/>
  <c r="V8"/>
  <c r="S9"/>
  <c r="G6" i="95" s="1"/>
  <c r="T9" i="96"/>
  <c r="U9"/>
  <c r="V9"/>
  <c r="S10"/>
  <c r="G7" i="95" s="1"/>
  <c r="T10" i="96"/>
  <c r="U10"/>
  <c r="V10"/>
  <c r="S11"/>
  <c r="G8" i="95" s="1"/>
  <c r="T11" i="96"/>
  <c r="U11"/>
  <c r="V11"/>
  <c r="S12"/>
  <c r="G9" i="95" s="1"/>
  <c r="T12" i="96"/>
  <c r="U12"/>
  <c r="V12"/>
  <c r="S13"/>
  <c r="G10" i="95" s="1"/>
  <c r="T13" i="96"/>
  <c r="U13"/>
  <c r="V13"/>
  <c r="S14"/>
  <c r="G11" i="95" s="1"/>
  <c r="T14" i="96"/>
  <c r="U14"/>
  <c r="V14"/>
  <c r="S15"/>
  <c r="G12" i="95" s="1"/>
  <c r="T15" i="96"/>
  <c r="U15"/>
  <c r="V15"/>
  <c r="S16"/>
  <c r="G13" i="95" s="1"/>
  <c r="T16" i="96"/>
  <c r="U16"/>
  <c r="V16"/>
  <c r="S17"/>
  <c r="G14" i="95" s="1"/>
  <c r="T17" i="96"/>
  <c r="U17"/>
  <c r="V17"/>
  <c r="S18"/>
  <c r="G15" i="95" s="1"/>
  <c r="T18" i="96"/>
  <c r="U18"/>
  <c r="V18"/>
  <c r="S19"/>
  <c r="G16" i="95" s="1"/>
  <c r="T19" i="96"/>
  <c r="U19"/>
  <c r="V19"/>
  <c r="S20"/>
  <c r="G17" i="95" s="1"/>
  <c r="T20" i="96"/>
  <c r="U20"/>
  <c r="V20"/>
  <c r="S21"/>
  <c r="G18" i="95" s="1"/>
  <c r="T21" i="96"/>
  <c r="U21"/>
  <c r="V21"/>
  <c r="S22"/>
  <c r="G19" i="95" s="1"/>
  <c r="T22" i="96"/>
  <c r="U22"/>
  <c r="V22"/>
  <c r="S23"/>
  <c r="G20" i="95" s="1"/>
  <c r="T23" i="96"/>
  <c r="U23"/>
  <c r="V23"/>
  <c r="S24"/>
  <c r="G21" i="95" s="1"/>
  <c r="T24" i="96"/>
  <c r="U24"/>
  <c r="V24"/>
  <c r="S25"/>
  <c r="G22" i="95" s="1"/>
  <c r="T25" i="96"/>
  <c r="U25"/>
  <c r="V25"/>
  <c r="S26"/>
  <c r="G23" i="95" s="1"/>
  <c r="T26" i="96"/>
  <c r="U26"/>
  <c r="V26"/>
  <c r="S27"/>
  <c r="G24" i="95" s="1"/>
  <c r="T27" i="96"/>
  <c r="U27"/>
  <c r="V27"/>
  <c r="S28"/>
  <c r="G25" i="95" s="1"/>
  <c r="T28" i="96"/>
  <c r="U28"/>
  <c r="V28"/>
  <c r="T7"/>
  <c r="U7"/>
  <c r="V7"/>
  <c r="M35"/>
  <c r="J5" i="95" s="1"/>
  <c r="N35" i="96"/>
  <c r="O35"/>
  <c r="P35"/>
  <c r="M36"/>
  <c r="J6" i="95" s="1"/>
  <c r="N36" i="96"/>
  <c r="O36"/>
  <c r="P36"/>
  <c r="M37"/>
  <c r="J7" i="95" s="1"/>
  <c r="N37" i="96"/>
  <c r="O37"/>
  <c r="P37"/>
  <c r="M38"/>
  <c r="J8" i="95" s="1"/>
  <c r="N38" i="96"/>
  <c r="O38"/>
  <c r="P38"/>
  <c r="M39"/>
  <c r="J9" i="95" s="1"/>
  <c r="N39" i="96"/>
  <c r="O39"/>
  <c r="P39"/>
  <c r="M40"/>
  <c r="J10" i="95" s="1"/>
  <c r="N40" i="96"/>
  <c r="O40"/>
  <c r="P40"/>
  <c r="M41"/>
  <c r="J11" i="95" s="1"/>
  <c r="N41" i="96"/>
  <c r="O41"/>
  <c r="P41"/>
  <c r="M42"/>
  <c r="J12" i="95" s="1"/>
  <c r="N42" i="96"/>
  <c r="O42"/>
  <c r="P42"/>
  <c r="M43"/>
  <c r="J13" i="95" s="1"/>
  <c r="N43" i="96"/>
  <c r="O43"/>
  <c r="P43"/>
  <c r="M44"/>
  <c r="J14" i="95" s="1"/>
  <c r="N44" i="96"/>
  <c r="O44"/>
  <c r="P44"/>
  <c r="M45"/>
  <c r="J15" i="95" s="1"/>
  <c r="N45" i="96"/>
  <c r="O45"/>
  <c r="P45"/>
  <c r="M46"/>
  <c r="J16" i="95" s="1"/>
  <c r="N46" i="96"/>
  <c r="O46"/>
  <c r="P46"/>
  <c r="M47"/>
  <c r="J17" i="95" s="1"/>
  <c r="N47" i="96"/>
  <c r="O47"/>
  <c r="P47"/>
  <c r="M48"/>
  <c r="J18" i="95" s="1"/>
  <c r="N48" i="96"/>
  <c r="O48"/>
  <c r="P48"/>
  <c r="M49"/>
  <c r="J19" i="95" s="1"/>
  <c r="N49" i="96"/>
  <c r="O49"/>
  <c r="P49"/>
  <c r="M50"/>
  <c r="J20" i="95" s="1"/>
  <c r="N50" i="96"/>
  <c r="O50"/>
  <c r="P50"/>
  <c r="M51"/>
  <c r="J21" i="95" s="1"/>
  <c r="N51" i="96"/>
  <c r="O51"/>
  <c r="P51"/>
  <c r="M52"/>
  <c r="J22" i="95" s="1"/>
  <c r="N52" i="96"/>
  <c r="O52"/>
  <c r="P52"/>
  <c r="M53"/>
  <c r="J23" i="95" s="1"/>
  <c r="N53" i="96"/>
  <c r="O53"/>
  <c r="P53"/>
  <c r="M54"/>
  <c r="J24" i="95" s="1"/>
  <c r="N54" i="96"/>
  <c r="O54"/>
  <c r="P54"/>
  <c r="M55"/>
  <c r="J25" i="95" s="1"/>
  <c r="N55" i="96"/>
  <c r="O55"/>
  <c r="P55"/>
  <c r="N34"/>
  <c r="O34"/>
  <c r="P34"/>
  <c r="M8"/>
  <c r="F5" i="95" s="1"/>
  <c r="N8" i="96"/>
  <c r="O8"/>
  <c r="P8"/>
  <c r="M9"/>
  <c r="F6" i="95" s="1"/>
  <c r="N9" i="96"/>
  <c r="O9"/>
  <c r="P9"/>
  <c r="M10"/>
  <c r="F7" i="95" s="1"/>
  <c r="N10" i="96"/>
  <c r="O10"/>
  <c r="P10"/>
  <c r="M11"/>
  <c r="F8" i="95" s="1"/>
  <c r="N11" i="96"/>
  <c r="O11"/>
  <c r="P11"/>
  <c r="M12"/>
  <c r="F9" i="95" s="1"/>
  <c r="N12" i="96"/>
  <c r="O12"/>
  <c r="P12"/>
  <c r="M13"/>
  <c r="F10" i="95" s="1"/>
  <c r="N13" i="96"/>
  <c r="O13"/>
  <c r="P13"/>
  <c r="M14"/>
  <c r="F11" i="95" s="1"/>
  <c r="N14" i="96"/>
  <c r="O14"/>
  <c r="P14"/>
  <c r="M15"/>
  <c r="F12" i="95" s="1"/>
  <c r="N15" i="96"/>
  <c r="O15"/>
  <c r="P15"/>
  <c r="M16"/>
  <c r="F13" i="95" s="1"/>
  <c r="N16" i="96"/>
  <c r="O16"/>
  <c r="P16"/>
  <c r="M17"/>
  <c r="F14" i="95" s="1"/>
  <c r="N17" i="96"/>
  <c r="O17"/>
  <c r="P17"/>
  <c r="M18"/>
  <c r="F15" i="95" s="1"/>
  <c r="N18" i="96"/>
  <c r="O18"/>
  <c r="P18"/>
  <c r="M19"/>
  <c r="F16" i="95" s="1"/>
  <c r="N19" i="96"/>
  <c r="O19"/>
  <c r="P19"/>
  <c r="M20"/>
  <c r="F17" i="95" s="1"/>
  <c r="N20" i="96"/>
  <c r="O20"/>
  <c r="P20"/>
  <c r="M21"/>
  <c r="F18" i="95" s="1"/>
  <c r="N21" i="96"/>
  <c r="O21"/>
  <c r="P21"/>
  <c r="M22"/>
  <c r="F19" i="95" s="1"/>
  <c r="N22" i="96"/>
  <c r="O22"/>
  <c r="P22"/>
  <c r="M23"/>
  <c r="F20" i="95" s="1"/>
  <c r="N23" i="96"/>
  <c r="O23"/>
  <c r="P23"/>
  <c r="M24"/>
  <c r="F21" i="95" s="1"/>
  <c r="N24" i="96"/>
  <c r="O24"/>
  <c r="P24"/>
  <c r="M25"/>
  <c r="F22" i="95" s="1"/>
  <c r="N25" i="96"/>
  <c r="O25"/>
  <c r="P25"/>
  <c r="M26"/>
  <c r="F23" i="95" s="1"/>
  <c r="N26" i="96"/>
  <c r="O26"/>
  <c r="P26"/>
  <c r="M27"/>
  <c r="F24" i="95" s="1"/>
  <c r="N27" i="96"/>
  <c r="O27"/>
  <c r="P27"/>
  <c r="M28"/>
  <c r="F25" i="95" s="1"/>
  <c r="N28" i="96"/>
  <c r="O28"/>
  <c r="P28"/>
  <c r="N7"/>
  <c r="O7"/>
  <c r="P7"/>
  <c r="H35"/>
  <c r="C5" i="95" s="1"/>
  <c r="I35" i="96"/>
  <c r="J35"/>
  <c r="K35"/>
  <c r="H36"/>
  <c r="C6" i="95" s="1"/>
  <c r="I36" i="96"/>
  <c r="J36"/>
  <c r="K36"/>
  <c r="H37"/>
  <c r="C7" i="95" s="1"/>
  <c r="I37" i="96"/>
  <c r="J37"/>
  <c r="K37"/>
  <c r="H38"/>
  <c r="C8" i="95" s="1"/>
  <c r="I38" i="96"/>
  <c r="J38"/>
  <c r="K38"/>
  <c r="H39"/>
  <c r="C9" i="95" s="1"/>
  <c r="I39" i="96"/>
  <c r="J39"/>
  <c r="K39"/>
  <c r="H40"/>
  <c r="C10" i="95" s="1"/>
  <c r="I40" i="96"/>
  <c r="J40"/>
  <c r="K40"/>
  <c r="H41"/>
  <c r="C11" i="95" s="1"/>
  <c r="I41" i="96"/>
  <c r="J41"/>
  <c r="K41"/>
  <c r="H42"/>
  <c r="C12" i="95" s="1"/>
  <c r="I42" i="96"/>
  <c r="J42"/>
  <c r="K42"/>
  <c r="H43"/>
  <c r="C13" i="95" s="1"/>
  <c r="I43" i="96"/>
  <c r="J43"/>
  <c r="K43"/>
  <c r="H44"/>
  <c r="C14" i="95" s="1"/>
  <c r="I44" i="96"/>
  <c r="J44"/>
  <c r="K44"/>
  <c r="H45"/>
  <c r="C15" i="95" s="1"/>
  <c r="I45" i="96"/>
  <c r="J45"/>
  <c r="K45"/>
  <c r="H46"/>
  <c r="C16" i="95" s="1"/>
  <c r="I46" i="96"/>
  <c r="J46"/>
  <c r="K46"/>
  <c r="H47"/>
  <c r="C17" i="95" s="1"/>
  <c r="I47" i="96"/>
  <c r="J47"/>
  <c r="K47"/>
  <c r="H48"/>
  <c r="C18" i="95" s="1"/>
  <c r="I48" i="96"/>
  <c r="J48"/>
  <c r="K48"/>
  <c r="H49"/>
  <c r="C19" i="95" s="1"/>
  <c r="I49" i="96"/>
  <c r="J49"/>
  <c r="K49"/>
  <c r="H50"/>
  <c r="C20" i="95" s="1"/>
  <c r="I50" i="96"/>
  <c r="J50"/>
  <c r="K50"/>
  <c r="H51"/>
  <c r="C21" i="95" s="1"/>
  <c r="I51" i="96"/>
  <c r="J51"/>
  <c r="K51"/>
  <c r="H52"/>
  <c r="C22" i="95" s="1"/>
  <c r="I52" i="96"/>
  <c r="J52"/>
  <c r="K52"/>
  <c r="H53"/>
  <c r="C23" i="95" s="1"/>
  <c r="I53" i="96"/>
  <c r="J53"/>
  <c r="K53"/>
  <c r="H54"/>
  <c r="C24" i="95" s="1"/>
  <c r="I54" i="96"/>
  <c r="J54"/>
  <c r="K54"/>
  <c r="H55"/>
  <c r="C25" i="95" s="1"/>
  <c r="I55" i="96"/>
  <c r="J55"/>
  <c r="K55"/>
  <c r="I34"/>
  <c r="J34"/>
  <c r="K34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H19"/>
  <c r="I19"/>
  <c r="J19"/>
  <c r="K19"/>
  <c r="H20"/>
  <c r="I20"/>
  <c r="J20"/>
  <c r="K20"/>
  <c r="H21"/>
  <c r="I21"/>
  <c r="J21"/>
  <c r="K21"/>
  <c r="H22"/>
  <c r="I22"/>
  <c r="J22"/>
  <c r="K22"/>
  <c r="H23"/>
  <c r="I23"/>
  <c r="J23"/>
  <c r="K23"/>
  <c r="H24"/>
  <c r="I24"/>
  <c r="J24"/>
  <c r="K24"/>
  <c r="H25"/>
  <c r="I25"/>
  <c r="J25"/>
  <c r="K25"/>
  <c r="H26"/>
  <c r="I26"/>
  <c r="J26"/>
  <c r="K26"/>
  <c r="H27"/>
  <c r="I27"/>
  <c r="J27"/>
  <c r="K27"/>
  <c r="H28"/>
  <c r="I28"/>
  <c r="J28"/>
  <c r="K28"/>
  <c r="I7"/>
  <c r="J7"/>
  <c r="K7"/>
  <c r="AD34"/>
  <c r="S4" i="95" s="1"/>
  <c r="X34" i="96"/>
  <c r="R4" i="95" s="1"/>
  <c r="AD7" i="96"/>
  <c r="O4" i="95" s="1"/>
  <c r="Q82" i="99" s="1"/>
  <c r="X7" i="96"/>
  <c r="N4" i="95" s="1"/>
  <c r="P82" i="99" s="1"/>
  <c r="S34" i="96"/>
  <c r="K4" i="95" s="1"/>
  <c r="Q57" i="99" s="1"/>
  <c r="M34" i="96"/>
  <c r="J4" i="95" s="1"/>
  <c r="P57" i="99" s="1"/>
  <c r="S7" i="96"/>
  <c r="G4" i="95" s="1"/>
  <c r="Q32" i="99" s="1"/>
  <c r="M7" i="96"/>
  <c r="F4" i="95" s="1"/>
  <c r="P32" i="99" s="1"/>
  <c r="H34" i="96"/>
  <c r="C4" i="95" s="1"/>
  <c r="Q7" i="99" s="1"/>
  <c r="O7" s="1"/>
  <c r="H7" i="96"/>
  <c r="B8"/>
  <c r="C8"/>
  <c r="D8"/>
  <c r="E8"/>
  <c r="B9"/>
  <c r="C9"/>
  <c r="D9"/>
  <c r="E9"/>
  <c r="B10"/>
  <c r="C10"/>
  <c r="D10"/>
  <c r="E10"/>
  <c r="B11"/>
  <c r="C11"/>
  <c r="D11"/>
  <c r="E11"/>
  <c r="B12"/>
  <c r="C12"/>
  <c r="D12"/>
  <c r="E12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B20"/>
  <c r="C20"/>
  <c r="D20"/>
  <c r="E20"/>
  <c r="B21"/>
  <c r="C21"/>
  <c r="D21"/>
  <c r="E21"/>
  <c r="B22"/>
  <c r="C22"/>
  <c r="D22"/>
  <c r="E22"/>
  <c r="B23"/>
  <c r="C23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E7"/>
  <c r="D7"/>
  <c r="C7"/>
  <c r="B7"/>
  <c r="C8" i="94"/>
  <c r="I35" i="99" s="1"/>
  <c r="D8" i="94"/>
  <c r="I60" i="99" s="1"/>
  <c r="E8" i="94"/>
  <c r="I85" i="99" s="1"/>
  <c r="F8" i="94"/>
  <c r="C9"/>
  <c r="D9"/>
  <c r="I61" i="99" s="1"/>
  <c r="E9" i="94"/>
  <c r="I86" i="99" s="1"/>
  <c r="F9" i="94"/>
  <c r="C10"/>
  <c r="D10"/>
  <c r="I62" i="99" s="1"/>
  <c r="E10" i="94"/>
  <c r="I87" i="99" s="1"/>
  <c r="F10" i="94"/>
  <c r="C11"/>
  <c r="D11"/>
  <c r="I63" i="99" s="1"/>
  <c r="E11" i="94"/>
  <c r="I88" i="99" s="1"/>
  <c r="F11" i="94"/>
  <c r="C12"/>
  <c r="D12"/>
  <c r="I64" i="99" s="1"/>
  <c r="E12" i="94"/>
  <c r="I89" i="99" s="1"/>
  <c r="F12" i="94"/>
  <c r="C13"/>
  <c r="D13"/>
  <c r="I65" i="99" s="1"/>
  <c r="E13" i="94"/>
  <c r="I90" i="99" s="1"/>
  <c r="F13" i="94"/>
  <c r="C14"/>
  <c r="D14"/>
  <c r="I66" i="99" s="1"/>
  <c r="E14" i="94"/>
  <c r="I91" i="99" s="1"/>
  <c r="B14" i="94"/>
  <c r="I16" i="99" s="1"/>
  <c r="B13" i="94"/>
  <c r="I15" i="99" s="1"/>
  <c r="B12" i="94"/>
  <c r="I14" i="99" s="1"/>
  <c r="B11" i="94"/>
  <c r="I13" i="99" s="1"/>
  <c r="B10" i="94"/>
  <c r="I12" i="99" s="1"/>
  <c r="B9" i="94"/>
  <c r="I11" i="99" s="1"/>
  <c r="B8" i="94"/>
  <c r="I10" i="99" s="1"/>
  <c r="D7" i="94"/>
  <c r="E7"/>
  <c r="F7"/>
  <c r="C7"/>
  <c r="B6" i="66"/>
  <c r="O32" i="99" l="1"/>
  <c r="O57"/>
  <c r="O82"/>
  <c r="I40" i="88"/>
  <c r="I40" i="99"/>
  <c r="I38" i="88"/>
  <c r="I38" i="99"/>
  <c r="I36" i="88"/>
  <c r="I36" i="99"/>
  <c r="I41" i="88"/>
  <c r="I41" i="99"/>
  <c r="I39" i="88"/>
  <c r="I39" i="99"/>
  <c r="I37" i="88"/>
  <c r="I37" i="99"/>
  <c r="AX180" i="97"/>
  <c r="BE180" s="1"/>
  <c r="AO185"/>
  <c r="F198"/>
  <c r="AO187"/>
  <c r="AO186"/>
  <c r="AO148"/>
  <c r="AX140"/>
  <c r="BE140" s="1"/>
  <c r="E163"/>
  <c r="AO150"/>
  <c r="AO149"/>
  <c r="N27" i="59"/>
  <c r="N13" s="1"/>
  <c r="N23"/>
  <c r="N9" s="1"/>
  <c r="N19"/>
  <c r="N5" s="1"/>
  <c r="G16" i="60"/>
  <c r="H16" s="1"/>
  <c r="A180" i="97"/>
  <c r="A217" s="1"/>
  <c r="A254" s="1"/>
  <c r="A143"/>
  <c r="D258"/>
  <c r="D147"/>
  <c r="A107"/>
  <c r="A71"/>
  <c r="D184"/>
  <c r="E183"/>
  <c r="N26" i="59"/>
  <c r="N12" s="1"/>
  <c r="N22"/>
  <c r="N8" s="1"/>
  <c r="N24"/>
  <c r="N10" s="1"/>
  <c r="N20"/>
  <c r="N6" s="1"/>
  <c r="N29"/>
  <c r="N15" s="1"/>
  <c r="N25"/>
  <c r="N11" s="1"/>
  <c r="N28"/>
  <c r="N14" s="1"/>
  <c r="M29"/>
  <c r="M15" s="1"/>
  <c r="M25"/>
  <c r="M11" s="1"/>
  <c r="M21"/>
  <c r="M7" s="1"/>
  <c r="N21"/>
  <c r="N7" s="1"/>
  <c r="M18"/>
  <c r="M4" s="1"/>
  <c r="M27"/>
  <c r="M13" s="1"/>
  <c r="M23"/>
  <c r="M9" s="1"/>
  <c r="M19"/>
  <c r="M5" s="1"/>
  <c r="M26"/>
  <c r="M12" s="1"/>
  <c r="M22"/>
  <c r="M8" s="1"/>
  <c r="M28"/>
  <c r="M14" s="1"/>
  <c r="M24"/>
  <c r="M10" s="1"/>
  <c r="M20"/>
  <c r="M6" s="1"/>
  <c r="F5" i="60"/>
  <c r="J5"/>
  <c r="H5"/>
  <c r="G6"/>
  <c r="E11"/>
  <c r="E12"/>
  <c r="E13"/>
  <c r="E14"/>
  <c r="E15"/>
  <c r="D18" i="59"/>
  <c r="E164" i="97" l="1"/>
  <c r="F199"/>
  <c r="AV187"/>
  <c r="AV185"/>
  <c r="AV186"/>
  <c r="AV148"/>
  <c r="AV150"/>
  <c r="AV149"/>
  <c r="J16" i="60"/>
  <c r="A144" i="97"/>
  <c r="A181"/>
  <c r="A218" s="1"/>
  <c r="A255" s="1"/>
  <c r="F200"/>
  <c r="BL180"/>
  <c r="BC185"/>
  <c r="BC186"/>
  <c r="BC187"/>
  <c r="E165"/>
  <c r="BL140"/>
  <c r="BC148"/>
  <c r="BC150"/>
  <c r="BC149"/>
  <c r="E184"/>
  <c r="D185"/>
  <c r="D148"/>
  <c r="D259"/>
  <c r="A72"/>
  <c r="A108"/>
  <c r="N18" i="59"/>
  <c r="N4" s="1"/>
  <c r="F6" i="60"/>
  <c r="F15"/>
  <c r="J6"/>
  <c r="H6"/>
  <c r="A73" i="97" l="1"/>
  <c r="A109"/>
  <c r="E185"/>
  <c r="D186"/>
  <c r="F201"/>
  <c r="BS180"/>
  <c r="BJ185"/>
  <c r="BJ186"/>
  <c r="BJ187"/>
  <c r="D260"/>
  <c r="A182"/>
  <c r="A219" s="1"/>
  <c r="A256" s="1"/>
  <c r="A145"/>
  <c r="D149"/>
  <c r="E166"/>
  <c r="BS140"/>
  <c r="BJ148"/>
  <c r="BJ150"/>
  <c r="BJ149"/>
  <c r="E167" l="1"/>
  <c r="BZ140"/>
  <c r="BQ148"/>
  <c r="BQ149"/>
  <c r="BQ150"/>
  <c r="D150"/>
  <c r="E186"/>
  <c r="D187"/>
  <c r="F202"/>
  <c r="BZ180"/>
  <c r="BQ185"/>
  <c r="BQ187"/>
  <c r="BQ186"/>
  <c r="A146"/>
  <c r="A183"/>
  <c r="A220" s="1"/>
  <c r="A257" s="1"/>
  <c r="D261"/>
  <c r="A74"/>
  <c r="A110"/>
  <c r="Q7" i="88"/>
  <c r="P32"/>
  <c r="Q32"/>
  <c r="L4" i="95"/>
  <c r="P4"/>
  <c r="D5"/>
  <c r="E5"/>
  <c r="Y7" i="99" s="1"/>
  <c r="H5" i="95"/>
  <c r="I5"/>
  <c r="Y32" i="99" s="1"/>
  <c r="L5" i="95"/>
  <c r="X57" i="99" s="1"/>
  <c r="M5" i="95"/>
  <c r="Y57" i="99" s="1"/>
  <c r="P5" i="95"/>
  <c r="X82" i="99" s="1"/>
  <c r="Q5" i="95"/>
  <c r="Y82" i="99" s="1"/>
  <c r="T5" i="95"/>
  <c r="U5"/>
  <c r="D6"/>
  <c r="E6"/>
  <c r="H6"/>
  <c r="I6"/>
  <c r="L6"/>
  <c r="X58" i="99" s="1"/>
  <c r="M6" i="95"/>
  <c r="Y58" i="99" s="1"/>
  <c r="P6" i="95"/>
  <c r="Q6"/>
  <c r="Y83" i="99" s="1"/>
  <c r="T6" i="95"/>
  <c r="U6"/>
  <c r="D7"/>
  <c r="E7"/>
  <c r="H7"/>
  <c r="I7"/>
  <c r="L7"/>
  <c r="M7"/>
  <c r="Y59" i="99" s="1"/>
  <c r="P7" i="95"/>
  <c r="Q7"/>
  <c r="Y84" i="99" s="1"/>
  <c r="T7" i="95"/>
  <c r="U7"/>
  <c r="D8"/>
  <c r="E8"/>
  <c r="H8"/>
  <c r="I8"/>
  <c r="L8"/>
  <c r="M8"/>
  <c r="Y60" i="99" s="1"/>
  <c r="P8" i="95"/>
  <c r="X85" i="99" s="1"/>
  <c r="Q8" i="95"/>
  <c r="Y85" i="99" s="1"/>
  <c r="T8" i="95"/>
  <c r="U8"/>
  <c r="D9"/>
  <c r="E9"/>
  <c r="H9"/>
  <c r="I9"/>
  <c r="L9"/>
  <c r="X61" i="99" s="1"/>
  <c r="M9" i="95"/>
  <c r="Y61" i="99" s="1"/>
  <c r="P9" i="95"/>
  <c r="Q9"/>
  <c r="Y86" i="99" s="1"/>
  <c r="T9" i="95"/>
  <c r="U9"/>
  <c r="D10"/>
  <c r="E10"/>
  <c r="H10"/>
  <c r="I10"/>
  <c r="L10"/>
  <c r="X62" i="99" s="1"/>
  <c r="M10" i="95"/>
  <c r="Y62" i="99" s="1"/>
  <c r="P10" i="95"/>
  <c r="Q10"/>
  <c r="Y87" i="99" s="1"/>
  <c r="T10" i="95"/>
  <c r="U10"/>
  <c r="D11"/>
  <c r="E11"/>
  <c r="H11"/>
  <c r="I11"/>
  <c r="L11"/>
  <c r="M11"/>
  <c r="Y63" i="99" s="1"/>
  <c r="P11" i="95"/>
  <c r="Q11"/>
  <c r="Y88" i="99" s="1"/>
  <c r="T11" i="95"/>
  <c r="U11"/>
  <c r="D12"/>
  <c r="E12"/>
  <c r="H12"/>
  <c r="I12"/>
  <c r="L12"/>
  <c r="M12"/>
  <c r="Y64" i="99" s="1"/>
  <c r="P12" i="95"/>
  <c r="X89" i="99" s="1"/>
  <c r="Q12" i="95"/>
  <c r="Y89" i="99" s="1"/>
  <c r="T12" i="95"/>
  <c r="U12"/>
  <c r="D13"/>
  <c r="E13"/>
  <c r="H13"/>
  <c r="I13"/>
  <c r="L13"/>
  <c r="X65" i="99" s="1"/>
  <c r="M13" i="95"/>
  <c r="Y65" i="99" s="1"/>
  <c r="P13" i="95"/>
  <c r="X90" i="99" s="1"/>
  <c r="Q13" i="95"/>
  <c r="Y90" i="99" s="1"/>
  <c r="T13" i="95"/>
  <c r="U13"/>
  <c r="D14"/>
  <c r="E14"/>
  <c r="H14"/>
  <c r="I14"/>
  <c r="L14"/>
  <c r="X66" i="99" s="1"/>
  <c r="M14" i="95"/>
  <c r="Y66" i="99" s="1"/>
  <c r="P14" i="95"/>
  <c r="Q14"/>
  <c r="Y91" i="99" s="1"/>
  <c r="T14" i="95"/>
  <c r="U14"/>
  <c r="D15"/>
  <c r="E15"/>
  <c r="H15"/>
  <c r="I15"/>
  <c r="L15"/>
  <c r="M15"/>
  <c r="Y67" i="99" s="1"/>
  <c r="P15" i="95"/>
  <c r="Q15"/>
  <c r="Y92" i="99" s="1"/>
  <c r="T15" i="95"/>
  <c r="U15"/>
  <c r="D16"/>
  <c r="E16"/>
  <c r="H16"/>
  <c r="I16"/>
  <c r="L16"/>
  <c r="M16"/>
  <c r="Y68" i="99" s="1"/>
  <c r="P16" i="95"/>
  <c r="X93" i="99" s="1"/>
  <c r="Q16" i="95"/>
  <c r="Y93" i="99" s="1"/>
  <c r="T16" i="95"/>
  <c r="U16"/>
  <c r="D17"/>
  <c r="E17"/>
  <c r="H17"/>
  <c r="I17"/>
  <c r="L17"/>
  <c r="X69" i="99" s="1"/>
  <c r="M17" i="95"/>
  <c r="Y69" i="99" s="1"/>
  <c r="P17" i="95"/>
  <c r="X94" i="99" s="1"/>
  <c r="Q17" i="95"/>
  <c r="Y94" i="99" s="1"/>
  <c r="T17" i="95"/>
  <c r="U17"/>
  <c r="D18"/>
  <c r="E18"/>
  <c r="H18"/>
  <c r="I18"/>
  <c r="L18"/>
  <c r="M18"/>
  <c r="Y70" i="99" s="1"/>
  <c r="P18" i="95"/>
  <c r="Q18"/>
  <c r="Y95" i="99" s="1"/>
  <c r="T18" i="95"/>
  <c r="U18"/>
  <c r="D19"/>
  <c r="E19"/>
  <c r="H19"/>
  <c r="I19"/>
  <c r="L19"/>
  <c r="M19"/>
  <c r="Y71" i="99" s="1"/>
  <c r="P19" i="95"/>
  <c r="Q19"/>
  <c r="Y96" i="99" s="1"/>
  <c r="T19" i="95"/>
  <c r="U19"/>
  <c r="D20"/>
  <c r="E20"/>
  <c r="H20"/>
  <c r="I20"/>
  <c r="L20"/>
  <c r="M20"/>
  <c r="Y72" i="99" s="1"/>
  <c r="P20" i="95"/>
  <c r="Q20"/>
  <c r="Y97" i="99" s="1"/>
  <c r="T20" i="95"/>
  <c r="U20"/>
  <c r="D21"/>
  <c r="E21"/>
  <c r="H21"/>
  <c r="I21"/>
  <c r="L21"/>
  <c r="M21"/>
  <c r="Y73" i="99" s="1"/>
  <c r="P21" i="95"/>
  <c r="Q21"/>
  <c r="Y98" i="99" s="1"/>
  <c r="T21" i="95"/>
  <c r="U21"/>
  <c r="D22"/>
  <c r="E22"/>
  <c r="H22"/>
  <c r="I22"/>
  <c r="L22"/>
  <c r="X74" i="99" s="1"/>
  <c r="M22" i="95"/>
  <c r="Y74" i="99" s="1"/>
  <c r="P22" i="95"/>
  <c r="X99" i="99" s="1"/>
  <c r="Q22" i="95"/>
  <c r="Y99" i="99" s="1"/>
  <c r="T22" i="95"/>
  <c r="U22"/>
  <c r="D23"/>
  <c r="E23"/>
  <c r="H23"/>
  <c r="I23"/>
  <c r="L23"/>
  <c r="M23"/>
  <c r="P23"/>
  <c r="Q23"/>
  <c r="T23"/>
  <c r="U23"/>
  <c r="D24"/>
  <c r="E24"/>
  <c r="H24"/>
  <c r="I24"/>
  <c r="L24"/>
  <c r="M24"/>
  <c r="P24"/>
  <c r="Q24"/>
  <c r="T24"/>
  <c r="U24"/>
  <c r="D25"/>
  <c r="E25"/>
  <c r="H25"/>
  <c r="L25"/>
  <c r="P25"/>
  <c r="T25"/>
  <c r="B26" i="93"/>
  <c r="D26"/>
  <c r="F26"/>
  <c r="H26"/>
  <c r="J26"/>
  <c r="L26"/>
  <c r="Q48"/>
  <c r="B4" s="1"/>
  <c r="R48"/>
  <c r="D4" s="1"/>
  <c r="S48"/>
  <c r="F4" s="1"/>
  <c r="T48"/>
  <c r="H4" s="1"/>
  <c r="U48"/>
  <c r="J4" s="1"/>
  <c r="V48"/>
  <c r="L4" s="1"/>
  <c r="B5"/>
  <c r="D5"/>
  <c r="F5"/>
  <c r="H5"/>
  <c r="J5"/>
  <c r="L5"/>
  <c r="Z5" i="88"/>
  <c r="B30" s="1"/>
  <c r="Z30" s="1"/>
  <c r="B55" s="1"/>
  <c r="Z55" s="1"/>
  <c r="B80" s="1"/>
  <c r="P7"/>
  <c r="I10"/>
  <c r="I11"/>
  <c r="I12"/>
  <c r="I13"/>
  <c r="I14"/>
  <c r="I15"/>
  <c r="I16"/>
  <c r="I35"/>
  <c r="Q57"/>
  <c r="I60"/>
  <c r="I61"/>
  <c r="I62"/>
  <c r="I63"/>
  <c r="I64"/>
  <c r="I65"/>
  <c r="I66"/>
  <c r="P82"/>
  <c r="Q82"/>
  <c r="I85"/>
  <c r="I86"/>
  <c r="I87"/>
  <c r="I88"/>
  <c r="I89"/>
  <c r="I90"/>
  <c r="I91"/>
  <c r="X102" l="1"/>
  <c r="X102" i="99"/>
  <c r="X27" i="88"/>
  <c r="X27" i="99"/>
  <c r="X101" i="88"/>
  <c r="X101" i="99"/>
  <c r="X51" i="88"/>
  <c r="X51" i="99"/>
  <c r="X75" i="88"/>
  <c r="X75" i="99"/>
  <c r="X25" i="88"/>
  <c r="X25" i="99"/>
  <c r="X49" i="88"/>
  <c r="X49" i="99"/>
  <c r="X73" i="88"/>
  <c r="X73" i="99"/>
  <c r="X23" i="88"/>
  <c r="X23" i="99"/>
  <c r="X97" i="88"/>
  <c r="X97" i="99"/>
  <c r="X47" i="88"/>
  <c r="X47" i="99"/>
  <c r="X71" i="88"/>
  <c r="X71" i="99"/>
  <c r="X21" i="88"/>
  <c r="X21" i="99"/>
  <c r="X95" i="88"/>
  <c r="X95" i="99"/>
  <c r="X45" i="88"/>
  <c r="X45" i="99"/>
  <c r="X19" i="88"/>
  <c r="X19" i="99"/>
  <c r="X43" i="88"/>
  <c r="X43" i="99"/>
  <c r="X67" i="88"/>
  <c r="X67" i="99"/>
  <c r="X17" i="88"/>
  <c r="X17" i="99"/>
  <c r="X91" i="88"/>
  <c r="X91" i="99"/>
  <c r="X41" i="88"/>
  <c r="X41" i="99"/>
  <c r="X15" i="88"/>
  <c r="X15" i="99"/>
  <c r="X39" i="88"/>
  <c r="X39" i="99"/>
  <c r="X63" i="88"/>
  <c r="X63" i="99"/>
  <c r="X13" i="88"/>
  <c r="X13" i="99"/>
  <c r="X87" i="88"/>
  <c r="X87" i="99"/>
  <c r="X37" i="88"/>
  <c r="X37" i="99"/>
  <c r="X11" i="88"/>
  <c r="X11" i="99"/>
  <c r="X35" i="88"/>
  <c r="X35" i="99"/>
  <c r="X59" i="88"/>
  <c r="X59" i="99"/>
  <c r="X9" i="88"/>
  <c r="X9" i="99"/>
  <c r="X83" i="88"/>
  <c r="X83" i="99"/>
  <c r="X33" i="88"/>
  <c r="X33" i="99"/>
  <c r="X7" i="88"/>
  <c r="X7" i="99"/>
  <c r="X77" i="88"/>
  <c r="X77" i="99"/>
  <c r="Y76" i="88"/>
  <c r="Y76" i="99"/>
  <c r="Y26" i="88"/>
  <c r="Y26" i="99"/>
  <c r="Y100" i="88"/>
  <c r="Y100" i="99"/>
  <c r="Y50" i="88"/>
  <c r="Y50" i="99"/>
  <c r="Y24" i="88"/>
  <c r="Y24" i="99"/>
  <c r="Y48" i="88"/>
  <c r="Y48" i="99"/>
  <c r="Y22" i="88"/>
  <c r="Y22" i="99"/>
  <c r="Y46" i="88"/>
  <c r="Y46" i="99"/>
  <c r="Y20" i="88"/>
  <c r="Y20" i="99"/>
  <c r="Y44" i="88"/>
  <c r="Y44" i="99"/>
  <c r="Y18" i="88"/>
  <c r="Y18" i="99"/>
  <c r="Y42" i="88"/>
  <c r="Y42" i="99"/>
  <c r="Y16" i="88"/>
  <c r="Y16" i="99"/>
  <c r="Y40" i="88"/>
  <c r="Y40" i="99"/>
  <c r="Y14" i="88"/>
  <c r="Y14" i="99"/>
  <c r="Y38" i="88"/>
  <c r="Y38" i="99"/>
  <c r="Y12" i="88"/>
  <c r="Y12" i="99"/>
  <c r="Y36" i="88"/>
  <c r="Y36" i="99"/>
  <c r="Y10" i="88"/>
  <c r="Y10" i="99"/>
  <c r="Y34" i="88"/>
  <c r="Y34" i="99"/>
  <c r="Y8" i="88"/>
  <c r="Y8" i="99"/>
  <c r="AB8" s="1"/>
  <c r="D33" s="1"/>
  <c r="X52" i="88"/>
  <c r="X52" i="99"/>
  <c r="X76" i="88"/>
  <c r="X76" i="99"/>
  <c r="X26" i="88"/>
  <c r="X26" i="99"/>
  <c r="X100" i="88"/>
  <c r="X100" i="99"/>
  <c r="X50" i="88"/>
  <c r="X50" i="99"/>
  <c r="X24" i="88"/>
  <c r="X24" i="99"/>
  <c r="AA25" s="1"/>
  <c r="X98" i="88"/>
  <c r="X98" i="99"/>
  <c r="X48" i="88"/>
  <c r="X48" i="99"/>
  <c r="X72" i="88"/>
  <c r="X72" i="99"/>
  <c r="X22" i="88"/>
  <c r="AA23" s="1"/>
  <c r="X22" i="99"/>
  <c r="AA23" s="1"/>
  <c r="X96" i="88"/>
  <c r="X96" i="99"/>
  <c r="X46" i="88"/>
  <c r="X46" i="99"/>
  <c r="X70" i="88"/>
  <c r="X70" i="99"/>
  <c r="X20" i="88"/>
  <c r="AA21" s="1"/>
  <c r="X20" i="99"/>
  <c r="AA21" s="1"/>
  <c r="X44" i="88"/>
  <c r="X44" i="99"/>
  <c r="X68" i="88"/>
  <c r="X68" i="99"/>
  <c r="X18" i="88"/>
  <c r="X18" i="99"/>
  <c r="X92" i="88"/>
  <c r="X92" i="99"/>
  <c r="X42" i="88"/>
  <c r="X42" i="99"/>
  <c r="X16" i="88"/>
  <c r="X16" i="99"/>
  <c r="AA17" s="1"/>
  <c r="X40" i="88"/>
  <c r="X40" i="99"/>
  <c r="X64" i="88"/>
  <c r="X64" i="99"/>
  <c r="X14" i="88"/>
  <c r="X14" i="99"/>
  <c r="X88" i="88"/>
  <c r="X88" i="99"/>
  <c r="X38" i="88"/>
  <c r="X38" i="99"/>
  <c r="X12" i="88"/>
  <c r="AA13" s="1"/>
  <c r="X12" i="99"/>
  <c r="AA13" s="1"/>
  <c r="X86" i="88"/>
  <c r="X86" i="99"/>
  <c r="X36" i="88"/>
  <c r="X36" i="99"/>
  <c r="X60" i="88"/>
  <c r="X60" i="99"/>
  <c r="X10" i="88"/>
  <c r="AA11" s="1"/>
  <c r="X10" i="99"/>
  <c r="AA11" s="1"/>
  <c r="X84" i="88"/>
  <c r="X84" i="99"/>
  <c r="X34" i="88"/>
  <c r="X34" i="99"/>
  <c r="X8" i="88"/>
  <c r="X8" i="99"/>
  <c r="AA9" s="1"/>
  <c r="X32" i="88"/>
  <c r="X32" i="99"/>
  <c r="Y27" i="88"/>
  <c r="Y27" i="99"/>
  <c r="Y101" i="88"/>
  <c r="Y101" i="99"/>
  <c r="Y51" i="88"/>
  <c r="Y51" i="99"/>
  <c r="Y75" i="88"/>
  <c r="Y75" i="99"/>
  <c r="Y25" i="88"/>
  <c r="AB26" s="1"/>
  <c r="D51" s="1"/>
  <c r="Y25" i="99"/>
  <c r="AB26" s="1"/>
  <c r="D51" s="1"/>
  <c r="AB52" s="1"/>
  <c r="D77" s="1"/>
  <c r="Y49" i="88"/>
  <c r="Y49" i="99"/>
  <c r="Y23" i="88"/>
  <c r="Y23" i="99"/>
  <c r="Y47" i="88"/>
  <c r="Y47" i="99"/>
  <c r="Y21" i="88"/>
  <c r="Y21" i="99"/>
  <c r="Y45" i="88"/>
  <c r="Y45" i="99"/>
  <c r="Y19" i="88"/>
  <c r="Y19" i="99"/>
  <c r="Y43" i="88"/>
  <c r="Y43" i="99"/>
  <c r="Y17" i="88"/>
  <c r="Y17" i="99"/>
  <c r="Y41" i="88"/>
  <c r="Y41" i="99"/>
  <c r="Y15" i="88"/>
  <c r="Y15" i="99"/>
  <c r="Y39" i="88"/>
  <c r="Y39" i="99"/>
  <c r="Y13" i="88"/>
  <c r="Y13" i="99"/>
  <c r="Y37" i="88"/>
  <c r="Y37" i="99"/>
  <c r="Y11" i="88"/>
  <c r="Y11" i="99"/>
  <c r="Y35" i="88"/>
  <c r="Y35" i="99"/>
  <c r="Y9" i="88"/>
  <c r="Y9" i="99"/>
  <c r="Y33" i="88"/>
  <c r="Y33" i="99"/>
  <c r="AB52" i="88"/>
  <c r="D77" s="1"/>
  <c r="C148" i="97"/>
  <c r="AB27" i="88"/>
  <c r="D52" s="1"/>
  <c r="AB21"/>
  <c r="AB13"/>
  <c r="C150" i="97"/>
  <c r="AA25" i="88"/>
  <c r="AA17"/>
  <c r="AA9"/>
  <c r="C149" i="97"/>
  <c r="H4" i="95"/>
  <c r="A184" i="97"/>
  <c r="A221" s="1"/>
  <c r="A258" s="1"/>
  <c r="A147"/>
  <c r="F203"/>
  <c r="CG180"/>
  <c r="BX185"/>
  <c r="BX186"/>
  <c r="BX187"/>
  <c r="D15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BX148"/>
  <c r="BX149"/>
  <c r="BX150"/>
  <c r="A111"/>
  <c r="A75"/>
  <c r="D262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188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E187"/>
  <c r="P57" i="88"/>
  <c r="O57" s="1"/>
  <c r="L29" i="93"/>
  <c r="M29"/>
  <c r="E29"/>
  <c r="D29"/>
  <c r="J29"/>
  <c r="K29"/>
  <c r="B29"/>
  <c r="C29"/>
  <c r="I29"/>
  <c r="H29"/>
  <c r="F29"/>
  <c r="G29"/>
  <c r="K28"/>
  <c r="J28"/>
  <c r="C28"/>
  <c r="B28"/>
  <c r="I28"/>
  <c r="H28"/>
  <c r="G28"/>
  <c r="F28"/>
  <c r="M28"/>
  <c r="L28"/>
  <c r="E28"/>
  <c r="D28"/>
  <c r="Y70" i="88"/>
  <c r="X94"/>
  <c r="X93"/>
  <c r="Y73"/>
  <c r="Y97"/>
  <c r="X62"/>
  <c r="X85"/>
  <c r="Y72"/>
  <c r="Y96"/>
  <c r="X69"/>
  <c r="X90"/>
  <c r="X89"/>
  <c r="X82"/>
  <c r="Y71"/>
  <c r="Y95"/>
  <c r="Y98"/>
  <c r="X66"/>
  <c r="X65"/>
  <c r="X61"/>
  <c r="X58"/>
  <c r="X57"/>
  <c r="Y99"/>
  <c r="Y68"/>
  <c r="Y92"/>
  <c r="Y64"/>
  <c r="Y88"/>
  <c r="Y60"/>
  <c r="Y84"/>
  <c r="Y32"/>
  <c r="M4" i="95"/>
  <c r="O82" i="88"/>
  <c r="X74"/>
  <c r="Y67"/>
  <c r="Y91"/>
  <c r="Y63"/>
  <c r="Y87"/>
  <c r="Y59"/>
  <c r="Y83"/>
  <c r="Y7"/>
  <c r="I4" i="95"/>
  <c r="Y74" i="88"/>
  <c r="Y94"/>
  <c r="Y66"/>
  <c r="Y90"/>
  <c r="Y62"/>
  <c r="Y86"/>
  <c r="Y58"/>
  <c r="Y82"/>
  <c r="U4" i="95"/>
  <c r="E4"/>
  <c r="X99" i="88"/>
  <c r="Y69"/>
  <c r="Y93"/>
  <c r="Y65"/>
  <c r="Y89"/>
  <c r="Y61"/>
  <c r="Y85"/>
  <c r="Y57"/>
  <c r="Q4" i="95"/>
  <c r="T4"/>
  <c r="D4"/>
  <c r="B17" i="88"/>
  <c r="E17" s="1"/>
  <c r="B19"/>
  <c r="F19" s="1"/>
  <c r="B15"/>
  <c r="F15" s="1"/>
  <c r="B13"/>
  <c r="E13" s="1"/>
  <c r="B22"/>
  <c r="E22" s="1"/>
  <c r="B8"/>
  <c r="F8" s="1"/>
  <c r="B12"/>
  <c r="E12" s="1"/>
  <c r="B21"/>
  <c r="E21" s="1"/>
  <c r="B11"/>
  <c r="F11" s="1"/>
  <c r="O7"/>
  <c r="B18"/>
  <c r="E18" s="1"/>
  <c r="B16"/>
  <c r="F16" s="1"/>
  <c r="O32"/>
  <c r="B24"/>
  <c r="E24" s="1"/>
  <c r="B7"/>
  <c r="B23"/>
  <c r="F23" s="1"/>
  <c r="B20"/>
  <c r="F20" s="1"/>
  <c r="B14"/>
  <c r="F14" s="1"/>
  <c r="B9"/>
  <c r="E9" s="1"/>
  <c r="B10"/>
  <c r="AB11" l="1"/>
  <c r="AB15"/>
  <c r="AB17"/>
  <c r="AB19"/>
  <c r="AB23"/>
  <c r="AB25"/>
  <c r="D50" s="1"/>
  <c r="AA15"/>
  <c r="AA19"/>
  <c r="AA27"/>
  <c r="AB10" i="99"/>
  <c r="D35" s="1"/>
  <c r="AB36" s="1"/>
  <c r="D61" s="1"/>
  <c r="AB62" s="1"/>
  <c r="D87" s="1"/>
  <c r="AB88" s="1"/>
  <c r="AB12"/>
  <c r="D37" s="1"/>
  <c r="AB14"/>
  <c r="D39" s="1"/>
  <c r="AB40" s="1"/>
  <c r="D65" s="1"/>
  <c r="AB66" s="1"/>
  <c r="D91" s="1"/>
  <c r="AB92" s="1"/>
  <c r="AB16"/>
  <c r="D41" s="1"/>
  <c r="AB18"/>
  <c r="D43" s="1"/>
  <c r="AB44" s="1"/>
  <c r="D69" s="1"/>
  <c r="AB70" s="1"/>
  <c r="D95" s="1"/>
  <c r="AB96" s="1"/>
  <c r="AB20"/>
  <c r="D45" s="1"/>
  <c r="AB22"/>
  <c r="D47" s="1"/>
  <c r="AB42"/>
  <c r="D67" s="1"/>
  <c r="AB68" s="1"/>
  <c r="D93" s="1"/>
  <c r="AB94" s="1"/>
  <c r="AB48"/>
  <c r="D73" s="1"/>
  <c r="AB74" s="1"/>
  <c r="D99" s="1"/>
  <c r="AB100" s="1"/>
  <c r="AB24"/>
  <c r="D49" s="1"/>
  <c r="AB50" s="1"/>
  <c r="D75" s="1"/>
  <c r="AB76" s="1"/>
  <c r="D101" s="1"/>
  <c r="AB102" s="1"/>
  <c r="AA15"/>
  <c r="AA19"/>
  <c r="AA27"/>
  <c r="AB8" i="88"/>
  <c r="AB34" i="99"/>
  <c r="D59" s="1"/>
  <c r="AB60" s="1"/>
  <c r="D85" s="1"/>
  <c r="AB86" s="1"/>
  <c r="AB10" i="88"/>
  <c r="AB12"/>
  <c r="AB14"/>
  <c r="AB16"/>
  <c r="AB18"/>
  <c r="AB20"/>
  <c r="AB22"/>
  <c r="AB24"/>
  <c r="G37" i="99"/>
  <c r="J37" s="1"/>
  <c r="M37" s="1"/>
  <c r="G41"/>
  <c r="J41" s="1"/>
  <c r="M41" s="1"/>
  <c r="G39"/>
  <c r="J39" s="1"/>
  <c r="G38"/>
  <c r="J38" s="1"/>
  <c r="G35"/>
  <c r="J35" s="1"/>
  <c r="M35" s="1"/>
  <c r="G36"/>
  <c r="J36" s="1"/>
  <c r="G40"/>
  <c r="J40" s="1"/>
  <c r="H13"/>
  <c r="K13" s="1"/>
  <c r="N13" s="1"/>
  <c r="T13" s="1"/>
  <c r="W13" s="1"/>
  <c r="H14"/>
  <c r="K14" s="1"/>
  <c r="N14" s="1"/>
  <c r="H16"/>
  <c r="K16" s="1"/>
  <c r="N16" s="1"/>
  <c r="T16" s="1"/>
  <c r="W16" s="1"/>
  <c r="H15"/>
  <c r="K15" s="1"/>
  <c r="N15" s="1"/>
  <c r="T15" s="1"/>
  <c r="W15" s="1"/>
  <c r="H11"/>
  <c r="K11" s="1"/>
  <c r="N11" s="1"/>
  <c r="H10"/>
  <c r="K10" s="1"/>
  <c r="N10" s="1"/>
  <c r="H12"/>
  <c r="K12" s="1"/>
  <c r="N12" s="1"/>
  <c r="T12" s="1"/>
  <c r="W12" s="1"/>
  <c r="C36"/>
  <c r="C38"/>
  <c r="C42"/>
  <c r="C46"/>
  <c r="C48"/>
  <c r="C50"/>
  <c r="AB9"/>
  <c r="D34" s="1"/>
  <c r="AB35" s="1"/>
  <c r="D60" s="1"/>
  <c r="AB61" s="1"/>
  <c r="D86" s="1"/>
  <c r="AB87" s="1"/>
  <c r="AB11"/>
  <c r="D36" s="1"/>
  <c r="AB13"/>
  <c r="D38" s="1"/>
  <c r="AB39" s="1"/>
  <c r="D64" s="1"/>
  <c r="AB65" s="1"/>
  <c r="D90" s="1"/>
  <c r="AB91" s="1"/>
  <c r="AB15"/>
  <c r="D40" s="1"/>
  <c r="AB17"/>
  <c r="D42" s="1"/>
  <c r="AB43" s="1"/>
  <c r="D68" s="1"/>
  <c r="AB69" s="1"/>
  <c r="D94" s="1"/>
  <c r="AB95" s="1"/>
  <c r="AB19"/>
  <c r="D44" s="1"/>
  <c r="AB45" s="1"/>
  <c r="D70" s="1"/>
  <c r="AB71" s="1"/>
  <c r="D96" s="1"/>
  <c r="AB97" s="1"/>
  <c r="AB21"/>
  <c r="D46" s="1"/>
  <c r="AB47" s="1"/>
  <c r="D72" s="1"/>
  <c r="AB73" s="1"/>
  <c r="D98" s="1"/>
  <c r="AB99" s="1"/>
  <c r="AB23"/>
  <c r="D48" s="1"/>
  <c r="AB49" s="1"/>
  <c r="D74" s="1"/>
  <c r="AB75" s="1"/>
  <c r="D100" s="1"/>
  <c r="AB101" s="1"/>
  <c r="AB25"/>
  <c r="D50" s="1"/>
  <c r="AA8"/>
  <c r="AA12"/>
  <c r="AA16"/>
  <c r="AA20"/>
  <c r="AA26"/>
  <c r="G63"/>
  <c r="J63" s="1"/>
  <c r="G65"/>
  <c r="J65" s="1"/>
  <c r="G61"/>
  <c r="J61" s="1"/>
  <c r="G64"/>
  <c r="J64" s="1"/>
  <c r="G60"/>
  <c r="J60" s="1"/>
  <c r="G66"/>
  <c r="J66" s="1"/>
  <c r="G62"/>
  <c r="J62" s="1"/>
  <c r="H85"/>
  <c r="K85" s="1"/>
  <c r="N85" s="1"/>
  <c r="T85" s="1"/>
  <c r="H90"/>
  <c r="K90" s="1"/>
  <c r="N90" s="1"/>
  <c r="T90" s="1"/>
  <c r="W90" s="1"/>
  <c r="H87"/>
  <c r="K87" s="1"/>
  <c r="H89"/>
  <c r="K89" s="1"/>
  <c r="H91"/>
  <c r="K91" s="1"/>
  <c r="H88"/>
  <c r="K88" s="1"/>
  <c r="H86"/>
  <c r="K86" s="1"/>
  <c r="AB9" i="88"/>
  <c r="Z9" s="1"/>
  <c r="AA8"/>
  <c r="C33" s="1"/>
  <c r="AA34" s="1"/>
  <c r="AA12"/>
  <c r="AA16"/>
  <c r="AA20"/>
  <c r="AA26"/>
  <c r="AB38" i="99"/>
  <c r="D63" s="1"/>
  <c r="AB64" s="1"/>
  <c r="D89" s="1"/>
  <c r="AB90" s="1"/>
  <c r="AB46"/>
  <c r="D71" s="1"/>
  <c r="AB72" s="1"/>
  <c r="D97" s="1"/>
  <c r="AB98" s="1"/>
  <c r="C34"/>
  <c r="C40"/>
  <c r="Z15"/>
  <c r="C44"/>
  <c r="AB27"/>
  <c r="D52" s="1"/>
  <c r="AA10"/>
  <c r="AA14"/>
  <c r="AA18"/>
  <c r="AA22"/>
  <c r="AA24"/>
  <c r="H65"/>
  <c r="K65" s="1"/>
  <c r="H61"/>
  <c r="K61" s="1"/>
  <c r="H64"/>
  <c r="K64" s="1"/>
  <c r="N64" s="1"/>
  <c r="T64" s="1"/>
  <c r="W64" s="1"/>
  <c r="H60"/>
  <c r="K60" s="1"/>
  <c r="H66"/>
  <c r="K66" s="1"/>
  <c r="H62"/>
  <c r="K62" s="1"/>
  <c r="H63"/>
  <c r="K63" s="1"/>
  <c r="N63" s="1"/>
  <c r="T63" s="1"/>
  <c r="W63" s="1"/>
  <c r="G91"/>
  <c r="J91" s="1"/>
  <c r="G88"/>
  <c r="J88" s="1"/>
  <c r="G86"/>
  <c r="J86" s="1"/>
  <c r="G85"/>
  <c r="J85" s="1"/>
  <c r="M85" s="1"/>
  <c r="G90"/>
  <c r="J90" s="1"/>
  <c r="M90" s="1"/>
  <c r="G87"/>
  <c r="J87" s="1"/>
  <c r="G89"/>
  <c r="J89" s="1"/>
  <c r="M89" s="1"/>
  <c r="H41"/>
  <c r="K41" s="1"/>
  <c r="N41" s="1"/>
  <c r="T41" s="1"/>
  <c r="W41" s="1"/>
  <c r="H39"/>
  <c r="K39" s="1"/>
  <c r="H38"/>
  <c r="K38" s="1"/>
  <c r="N38" s="1"/>
  <c r="T38" s="1"/>
  <c r="W38" s="1"/>
  <c r="H35"/>
  <c r="K35" s="1"/>
  <c r="N35" s="1"/>
  <c r="T35" s="1"/>
  <c r="H36"/>
  <c r="K36" s="1"/>
  <c r="H40"/>
  <c r="K40" s="1"/>
  <c r="H37"/>
  <c r="K37" s="1"/>
  <c r="N37" s="1"/>
  <c r="T37" s="1"/>
  <c r="W37" s="1"/>
  <c r="G15"/>
  <c r="J15" s="1"/>
  <c r="M15" s="1"/>
  <c r="G11"/>
  <c r="J11" s="1"/>
  <c r="M11" s="1"/>
  <c r="G10"/>
  <c r="J10" s="1"/>
  <c r="M10" s="1"/>
  <c r="G13"/>
  <c r="J13" s="1"/>
  <c r="M13" s="1"/>
  <c r="G16"/>
  <c r="J16" s="1"/>
  <c r="M16" s="1"/>
  <c r="G14"/>
  <c r="J14" s="1"/>
  <c r="M14" s="1"/>
  <c r="G12"/>
  <c r="J12" s="1"/>
  <c r="M12" s="1"/>
  <c r="AA10" i="88"/>
  <c r="Z10" s="1"/>
  <c r="AA14"/>
  <c r="AA18"/>
  <c r="AA22"/>
  <c r="Z22" s="1"/>
  <c r="AA24"/>
  <c r="Z24" s="1"/>
  <c r="Z23"/>
  <c r="Z13"/>
  <c r="Z21"/>
  <c r="H64"/>
  <c r="H60"/>
  <c r="H63"/>
  <c r="H66"/>
  <c r="H62"/>
  <c r="H65"/>
  <c r="H61"/>
  <c r="G88"/>
  <c r="G91"/>
  <c r="G87"/>
  <c r="G90"/>
  <c r="G86"/>
  <c r="G89"/>
  <c r="G85"/>
  <c r="Z11"/>
  <c r="C52"/>
  <c r="Z27"/>
  <c r="AB51"/>
  <c r="D76" s="1"/>
  <c r="H39"/>
  <c r="H35"/>
  <c r="H38"/>
  <c r="H41"/>
  <c r="H37"/>
  <c r="H40"/>
  <c r="H36"/>
  <c r="G15"/>
  <c r="G13"/>
  <c r="G11"/>
  <c r="G16"/>
  <c r="G14"/>
  <c r="G12"/>
  <c r="G10"/>
  <c r="H16"/>
  <c r="H14"/>
  <c r="H12"/>
  <c r="H10"/>
  <c r="H11"/>
  <c r="H13"/>
  <c r="H15"/>
  <c r="G38"/>
  <c r="G41"/>
  <c r="G37"/>
  <c r="G40"/>
  <c r="G36"/>
  <c r="G39"/>
  <c r="G35"/>
  <c r="G63"/>
  <c r="G66"/>
  <c r="G62"/>
  <c r="G65"/>
  <c r="G61"/>
  <c r="G64"/>
  <c r="G60"/>
  <c r="H89"/>
  <c r="H85"/>
  <c r="H88"/>
  <c r="H91"/>
  <c r="H87"/>
  <c r="H90"/>
  <c r="H86"/>
  <c r="C50"/>
  <c r="AA51" s="1"/>
  <c r="Z25"/>
  <c r="F7"/>
  <c r="B28"/>
  <c r="D9" i="103" s="1"/>
  <c r="D35" i="88"/>
  <c r="D33"/>
  <c r="D37"/>
  <c r="F204" i="97"/>
  <c r="CN180"/>
  <c r="CE185"/>
  <c r="CE187"/>
  <c r="CE186"/>
  <c r="A76"/>
  <c r="A112"/>
  <c r="A185"/>
  <c r="A222" s="1"/>
  <c r="A259" s="1"/>
  <c r="A148"/>
  <c r="C46" i="88"/>
  <c r="D38"/>
  <c r="AB39" s="1"/>
  <c r="C35"/>
  <c r="AA36" s="1"/>
  <c r="D46"/>
  <c r="AB47" s="1"/>
  <c r="C36"/>
  <c r="AA37" s="1"/>
  <c r="D49"/>
  <c r="AB50" s="1"/>
  <c r="D75" s="1"/>
  <c r="AB76" s="1"/>
  <c r="D101" s="1"/>
  <c r="AB102" s="1"/>
  <c r="D48"/>
  <c r="C48"/>
  <c r="AA49" s="1"/>
  <c r="D47"/>
  <c r="D36"/>
  <c r="F18"/>
  <c r="E8"/>
  <c r="F17"/>
  <c r="F22"/>
  <c r="C37"/>
  <c r="F13"/>
  <c r="E19"/>
  <c r="E15"/>
  <c r="F12"/>
  <c r="E14"/>
  <c r="E16"/>
  <c r="F21"/>
  <c r="F24"/>
  <c r="E11"/>
  <c r="E23"/>
  <c r="E20"/>
  <c r="F10"/>
  <c r="E10"/>
  <c r="E7"/>
  <c r="C38"/>
  <c r="AA39" s="1"/>
  <c r="Z39" s="1"/>
  <c r="F9"/>
  <c r="C49"/>
  <c r="AA50" s="1"/>
  <c r="Z27" i="99" l="1"/>
  <c r="N61"/>
  <c r="T61" s="1"/>
  <c r="W61" s="1"/>
  <c r="M61"/>
  <c r="M87"/>
  <c r="N87"/>
  <c r="Z8" i="88"/>
  <c r="B33"/>
  <c r="F33" s="1"/>
  <c r="C52" i="99"/>
  <c r="N39"/>
  <c r="T39" s="1"/>
  <c r="W39" s="1"/>
  <c r="N65"/>
  <c r="T65" s="1"/>
  <c r="W65" s="1"/>
  <c r="Z19"/>
  <c r="M39"/>
  <c r="D34" i="88"/>
  <c r="AB35" s="1"/>
  <c r="D60" s="1"/>
  <c r="M91" i="99"/>
  <c r="N60"/>
  <c r="Z9"/>
  <c r="N86"/>
  <c r="T86" s="1"/>
  <c r="W86" s="1"/>
  <c r="Z13"/>
  <c r="C47" i="88"/>
  <c r="AA48" s="1"/>
  <c r="Z12"/>
  <c r="M60" i="99"/>
  <c r="S60" s="1"/>
  <c r="M86"/>
  <c r="L86" s="1"/>
  <c r="M64"/>
  <c r="L64" s="1"/>
  <c r="S87"/>
  <c r="V87" s="1"/>
  <c r="S13"/>
  <c r="R13" s="1"/>
  <c r="L13"/>
  <c r="S89"/>
  <c r="C43"/>
  <c r="Z18"/>
  <c r="Z26" i="88"/>
  <c r="C51"/>
  <c r="N91" i="99"/>
  <c r="T91" s="1"/>
  <c r="W91" s="1"/>
  <c r="W85"/>
  <c r="C51"/>
  <c r="Z26"/>
  <c r="C33"/>
  <c r="Z8"/>
  <c r="N36"/>
  <c r="T36" s="1"/>
  <c r="W36" s="1"/>
  <c r="AB37"/>
  <c r="D62" s="1"/>
  <c r="AB63" s="1"/>
  <c r="D88" s="1"/>
  <c r="AB89" s="1"/>
  <c r="Z23"/>
  <c r="B42"/>
  <c r="F42" s="1"/>
  <c r="AA43"/>
  <c r="E42"/>
  <c r="Z11"/>
  <c r="T11"/>
  <c r="W11" s="1"/>
  <c r="M38"/>
  <c r="S12"/>
  <c r="R12" s="1"/>
  <c r="L12"/>
  <c r="S10"/>
  <c r="L10"/>
  <c r="C39"/>
  <c r="Z14"/>
  <c r="B52"/>
  <c r="F52" s="1"/>
  <c r="B40"/>
  <c r="F40" s="1"/>
  <c r="AA41"/>
  <c r="N89"/>
  <c r="T89" s="1"/>
  <c r="W89" s="1"/>
  <c r="M62"/>
  <c r="S61"/>
  <c r="L61"/>
  <c r="C45"/>
  <c r="Z20"/>
  <c r="AB51"/>
  <c r="D76" s="1"/>
  <c r="AB77" s="1"/>
  <c r="D102" s="1"/>
  <c r="B48"/>
  <c r="F48" s="1"/>
  <c r="AA49"/>
  <c r="Z17"/>
  <c r="B36"/>
  <c r="F36" s="1"/>
  <c r="AA37"/>
  <c r="M40"/>
  <c r="L39"/>
  <c r="S39"/>
  <c r="L14"/>
  <c r="S14"/>
  <c r="V14" s="1"/>
  <c r="L11"/>
  <c r="S11"/>
  <c r="S90"/>
  <c r="R90" s="1"/>
  <c r="L90"/>
  <c r="S91"/>
  <c r="T60"/>
  <c r="W60" s="1"/>
  <c r="C49"/>
  <c r="Z24"/>
  <c r="C35"/>
  <c r="Z10"/>
  <c r="L87"/>
  <c r="T87"/>
  <c r="R87" s="1"/>
  <c r="M65"/>
  <c r="Z16"/>
  <c r="C41"/>
  <c r="N40"/>
  <c r="T40" s="1"/>
  <c r="W40" s="1"/>
  <c r="AB41"/>
  <c r="D66" s="1"/>
  <c r="AB67" s="1"/>
  <c r="D92" s="1"/>
  <c r="AB93" s="1"/>
  <c r="Z25"/>
  <c r="Z21"/>
  <c r="M36"/>
  <c r="L41"/>
  <c r="S41"/>
  <c r="R41" s="1"/>
  <c r="S16"/>
  <c r="R16" s="1"/>
  <c r="L16"/>
  <c r="L15"/>
  <c r="S15"/>
  <c r="R15" s="1"/>
  <c r="W35"/>
  <c r="L85"/>
  <c r="S85"/>
  <c r="C47"/>
  <c r="Z22"/>
  <c r="B44"/>
  <c r="F44" s="1"/>
  <c r="AA45"/>
  <c r="B34"/>
  <c r="F34" s="1"/>
  <c r="AA35"/>
  <c r="M63"/>
  <c r="C37"/>
  <c r="Z12"/>
  <c r="B50"/>
  <c r="E50" s="1"/>
  <c r="AA51"/>
  <c r="AA47"/>
  <c r="B46"/>
  <c r="F46" s="1"/>
  <c r="B38"/>
  <c r="F38" s="1"/>
  <c r="AA39"/>
  <c r="T10"/>
  <c r="T14"/>
  <c r="W14" s="1"/>
  <c r="L35"/>
  <c r="S35"/>
  <c r="S37"/>
  <c r="R37" s="1"/>
  <c r="L37"/>
  <c r="D12" i="103"/>
  <c r="D13"/>
  <c r="D17" s="1"/>
  <c r="D19" s="1"/>
  <c r="AB77" i="88"/>
  <c r="D102" s="1"/>
  <c r="B52"/>
  <c r="F52" s="1"/>
  <c r="C76"/>
  <c r="Z51"/>
  <c r="B50"/>
  <c r="Z50"/>
  <c r="C75"/>
  <c r="AA76" s="1"/>
  <c r="AB48"/>
  <c r="D73" s="1"/>
  <c r="AB34"/>
  <c r="Z34" s="1"/>
  <c r="AA38"/>
  <c r="C63" s="1"/>
  <c r="AA64" s="1"/>
  <c r="AA47"/>
  <c r="Z47" s="1"/>
  <c r="AB36"/>
  <c r="D61" s="1"/>
  <c r="AB49"/>
  <c r="Z49" s="1"/>
  <c r="AB37"/>
  <c r="D62" s="1"/>
  <c r="AB38"/>
  <c r="B46"/>
  <c r="E46" s="1"/>
  <c r="B37"/>
  <c r="E37" s="1"/>
  <c r="A186" i="97"/>
  <c r="A223" s="1"/>
  <c r="A260" s="1"/>
  <c r="A149"/>
  <c r="A113"/>
  <c r="A77"/>
  <c r="F205"/>
  <c r="CU180"/>
  <c r="CL185"/>
  <c r="CL186"/>
  <c r="CL187"/>
  <c r="C34" i="88"/>
  <c r="AA35" s="1"/>
  <c r="K85"/>
  <c r="J85"/>
  <c r="J87"/>
  <c r="K87"/>
  <c r="K62"/>
  <c r="J62"/>
  <c r="K61"/>
  <c r="J61"/>
  <c r="K13"/>
  <c r="N13" s="1"/>
  <c r="T13" s="1"/>
  <c r="W13" s="1"/>
  <c r="J13"/>
  <c r="M13" s="1"/>
  <c r="J35"/>
  <c r="M35" s="1"/>
  <c r="K35"/>
  <c r="N35" s="1"/>
  <c r="T35" s="1"/>
  <c r="K37"/>
  <c r="N37" s="1"/>
  <c r="T37" s="1"/>
  <c r="W37" s="1"/>
  <c r="D41" s="1"/>
  <c r="AB42" s="1"/>
  <c r="J37"/>
  <c r="M37" s="1"/>
  <c r="K89"/>
  <c r="J89"/>
  <c r="K60"/>
  <c r="J60"/>
  <c r="K64"/>
  <c r="J64"/>
  <c r="K16"/>
  <c r="N16" s="1"/>
  <c r="T16" s="1"/>
  <c r="W16" s="1"/>
  <c r="J16"/>
  <c r="M16" s="1"/>
  <c r="K12"/>
  <c r="N12" s="1"/>
  <c r="J12"/>
  <c r="M12" s="1"/>
  <c r="S12" s="1"/>
  <c r="J39"/>
  <c r="K39"/>
  <c r="J88"/>
  <c r="K88"/>
  <c r="K86"/>
  <c r="J86"/>
  <c r="K66"/>
  <c r="J66"/>
  <c r="K15"/>
  <c r="N15" s="1"/>
  <c r="T15" s="1"/>
  <c r="W15" s="1"/>
  <c r="J15"/>
  <c r="M15" s="1"/>
  <c r="K11"/>
  <c r="N11" s="1"/>
  <c r="T11" s="1"/>
  <c r="W11" s="1"/>
  <c r="J11"/>
  <c r="M11" s="1"/>
  <c r="K41"/>
  <c r="J41"/>
  <c r="K36"/>
  <c r="N36" s="1"/>
  <c r="T36" s="1"/>
  <c r="W36" s="1"/>
  <c r="D40" s="1"/>
  <c r="AB41" s="1"/>
  <c r="J36"/>
  <c r="M36" s="1"/>
  <c r="K91"/>
  <c r="J91"/>
  <c r="K90"/>
  <c r="J90"/>
  <c r="K65"/>
  <c r="J65"/>
  <c r="K63"/>
  <c r="J63"/>
  <c r="K14"/>
  <c r="N14" s="1"/>
  <c r="T14" s="1"/>
  <c r="W14" s="1"/>
  <c r="J14"/>
  <c r="M14" s="1"/>
  <c r="K10"/>
  <c r="N10" s="1"/>
  <c r="T10" s="1"/>
  <c r="J10"/>
  <c r="M10" s="1"/>
  <c r="K38"/>
  <c r="N38" s="1"/>
  <c r="T38" s="1"/>
  <c r="W38" s="1"/>
  <c r="D42" s="1"/>
  <c r="AB43" s="1"/>
  <c r="J38"/>
  <c r="M38" s="1"/>
  <c r="J40"/>
  <c r="K40"/>
  <c r="E33"/>
  <c r="F37"/>
  <c r="B49"/>
  <c r="F49" s="1"/>
  <c r="B38"/>
  <c r="F38" s="1"/>
  <c r="B35"/>
  <c r="F35" s="1"/>
  <c r="B47"/>
  <c r="F47" s="1"/>
  <c r="C59"/>
  <c r="AA60" s="1"/>
  <c r="B48"/>
  <c r="F48" s="1"/>
  <c r="D72"/>
  <c r="AB73" s="1"/>
  <c r="B36"/>
  <c r="F36" s="1"/>
  <c r="L91" i="99" l="1"/>
  <c r="W53"/>
  <c r="AB32" s="1"/>
  <c r="S86"/>
  <c r="V12"/>
  <c r="U12" s="1"/>
  <c r="D36" i="112"/>
  <c r="O80" s="1"/>
  <c r="O91" s="1"/>
  <c r="D19"/>
  <c r="L60" i="99"/>
  <c r="N88"/>
  <c r="T88" s="1"/>
  <c r="W88" s="1"/>
  <c r="V37"/>
  <c r="U37" s="1"/>
  <c r="E38"/>
  <c r="Z35" i="88"/>
  <c r="M66" i="99"/>
  <c r="V90"/>
  <c r="U90" s="1"/>
  <c r="S64"/>
  <c r="R64" s="1"/>
  <c r="T28"/>
  <c r="E46"/>
  <c r="V41"/>
  <c r="U41" s="1"/>
  <c r="W87"/>
  <c r="U87" s="1"/>
  <c r="E52"/>
  <c r="D57"/>
  <c r="V35"/>
  <c r="R35"/>
  <c r="W10"/>
  <c r="W28" s="1"/>
  <c r="AB7" s="1"/>
  <c r="C76"/>
  <c r="Z51"/>
  <c r="L63"/>
  <c r="S63"/>
  <c r="E34"/>
  <c r="C70"/>
  <c r="Z45"/>
  <c r="V85"/>
  <c r="R85"/>
  <c r="V15"/>
  <c r="U15" s="1"/>
  <c r="L65"/>
  <c r="S65"/>
  <c r="AA50"/>
  <c r="B49"/>
  <c r="F49" s="1"/>
  <c r="E49"/>
  <c r="V11"/>
  <c r="R11"/>
  <c r="E36"/>
  <c r="E48"/>
  <c r="V61"/>
  <c r="U61" s="1"/>
  <c r="R61"/>
  <c r="Z41"/>
  <c r="C66"/>
  <c r="L28"/>
  <c r="AA34"/>
  <c r="B33"/>
  <c r="F33" s="1"/>
  <c r="AA52" i="88"/>
  <c r="B51"/>
  <c r="N62" i="99"/>
  <c r="L62" s="1"/>
  <c r="L89"/>
  <c r="C60"/>
  <c r="Z35"/>
  <c r="S36"/>
  <c r="R36" s="1"/>
  <c r="L36"/>
  <c r="S66"/>
  <c r="V66" s="1"/>
  <c r="V39"/>
  <c r="U39" s="1"/>
  <c r="R39"/>
  <c r="Z37"/>
  <c r="C62"/>
  <c r="C74"/>
  <c r="Z49"/>
  <c r="S62"/>
  <c r="B39"/>
  <c r="F39" s="1"/>
  <c r="AA40"/>
  <c r="V10"/>
  <c r="R10"/>
  <c r="S28"/>
  <c r="S38"/>
  <c r="L38"/>
  <c r="T103"/>
  <c r="R89"/>
  <c r="V60"/>
  <c r="U60" s="1"/>
  <c r="R60"/>
  <c r="T53"/>
  <c r="AA42"/>
  <c r="B41"/>
  <c r="F41" s="1"/>
  <c r="B35"/>
  <c r="F35" s="1"/>
  <c r="AA36"/>
  <c r="U14"/>
  <c r="B45"/>
  <c r="AA46"/>
  <c r="N66"/>
  <c r="T66" s="1"/>
  <c r="W66" s="1"/>
  <c r="U11"/>
  <c r="C68"/>
  <c r="Z43"/>
  <c r="AA52"/>
  <c r="B51"/>
  <c r="F51" s="1"/>
  <c r="V86"/>
  <c r="U86" s="1"/>
  <c r="R86"/>
  <c r="C64"/>
  <c r="Z39"/>
  <c r="C72"/>
  <c r="Z47"/>
  <c r="AA38"/>
  <c r="B37"/>
  <c r="F37" s="1"/>
  <c r="E44"/>
  <c r="B47"/>
  <c r="F47" s="1"/>
  <c r="AA48"/>
  <c r="V16"/>
  <c r="U16" s="1"/>
  <c r="V91"/>
  <c r="U91" s="1"/>
  <c r="R91"/>
  <c r="R14"/>
  <c r="L40"/>
  <c r="S40"/>
  <c r="F50"/>
  <c r="E40"/>
  <c r="M88"/>
  <c r="V64"/>
  <c r="U64" s="1"/>
  <c r="B43"/>
  <c r="F43" s="1"/>
  <c r="AA44"/>
  <c r="V89"/>
  <c r="U89" s="1"/>
  <c r="V13"/>
  <c r="U13" s="1"/>
  <c r="E52" i="88"/>
  <c r="E50"/>
  <c r="F50"/>
  <c r="AA77"/>
  <c r="B76"/>
  <c r="AB62"/>
  <c r="D87" s="1"/>
  <c r="AB61"/>
  <c r="AB74"/>
  <c r="D99" s="1"/>
  <c r="AB100" s="1"/>
  <c r="AB63"/>
  <c r="D88" s="1"/>
  <c r="Z76"/>
  <c r="C101"/>
  <c r="M41"/>
  <c r="S41" s="1"/>
  <c r="Z38"/>
  <c r="B75"/>
  <c r="F75" s="1"/>
  <c r="N60"/>
  <c r="T60" s="1"/>
  <c r="M60"/>
  <c r="S60" s="1"/>
  <c r="V60" s="1"/>
  <c r="Z48"/>
  <c r="D59"/>
  <c r="B59" s="1"/>
  <c r="F59" s="1"/>
  <c r="D63"/>
  <c r="M62"/>
  <c r="S62" s="1"/>
  <c r="V62" s="1"/>
  <c r="Z36"/>
  <c r="D74"/>
  <c r="AB75" s="1"/>
  <c r="D100" s="1"/>
  <c r="AB101" s="1"/>
  <c r="C72"/>
  <c r="B72" s="1"/>
  <c r="E72" s="1"/>
  <c r="N62"/>
  <c r="T62" s="1"/>
  <c r="Z37"/>
  <c r="M61"/>
  <c r="S61" s="1"/>
  <c r="N61"/>
  <c r="T61" s="1"/>
  <c r="W61" s="1"/>
  <c r="D67"/>
  <c r="AB68" s="1"/>
  <c r="N40"/>
  <c r="T40" s="1"/>
  <c r="W40" s="1"/>
  <c r="D44" s="1"/>
  <c r="AB45" s="1"/>
  <c r="M40"/>
  <c r="S40" s="1"/>
  <c r="V40" s="1"/>
  <c r="N41"/>
  <c r="T41" s="1"/>
  <c r="W41" s="1"/>
  <c r="D45" s="1"/>
  <c r="B34"/>
  <c r="F34" s="1"/>
  <c r="F46"/>
  <c r="F206" i="97"/>
  <c r="DB180"/>
  <c r="CS185"/>
  <c r="CS187"/>
  <c r="CS186"/>
  <c r="A114"/>
  <c r="A78"/>
  <c r="A187"/>
  <c r="A224" s="1"/>
  <c r="A261" s="1"/>
  <c r="A150"/>
  <c r="W35" i="88"/>
  <c r="V41"/>
  <c r="W10"/>
  <c r="S14"/>
  <c r="L14"/>
  <c r="S36"/>
  <c r="L36"/>
  <c r="S11"/>
  <c r="L11"/>
  <c r="V12"/>
  <c r="L38"/>
  <c r="S38"/>
  <c r="S10"/>
  <c r="L10"/>
  <c r="L12"/>
  <c r="T12"/>
  <c r="W12" s="1"/>
  <c r="S35"/>
  <c r="L35"/>
  <c r="S15"/>
  <c r="L15"/>
  <c r="S16"/>
  <c r="L16"/>
  <c r="S37"/>
  <c r="L37"/>
  <c r="L13"/>
  <c r="S13"/>
  <c r="E36"/>
  <c r="E38"/>
  <c r="E49"/>
  <c r="C60"/>
  <c r="AA61" s="1"/>
  <c r="E47"/>
  <c r="C61"/>
  <c r="AA62" s="1"/>
  <c r="Z62" s="1"/>
  <c r="C62"/>
  <c r="AA63" s="1"/>
  <c r="Z63" s="1"/>
  <c r="E48"/>
  <c r="C73"/>
  <c r="AA74" s="1"/>
  <c r="E35"/>
  <c r="C74"/>
  <c r="AA75" s="1"/>
  <c r="C64"/>
  <c r="AA65" s="1"/>
  <c r="W62"/>
  <c r="E33" i="99" l="1"/>
  <c r="D34" i="112"/>
  <c r="D67" s="1"/>
  <c r="D66" s="1"/>
  <c r="W103" i="99"/>
  <c r="AB82" s="1"/>
  <c r="S78"/>
  <c r="Z74" i="88"/>
  <c r="E43" i="99"/>
  <c r="E35"/>
  <c r="E39"/>
  <c r="V36"/>
  <c r="U36" s="1"/>
  <c r="E51"/>
  <c r="L53"/>
  <c r="E47"/>
  <c r="E37"/>
  <c r="B72"/>
  <c r="F72" s="1"/>
  <c r="AA73"/>
  <c r="C77"/>
  <c r="Z52"/>
  <c r="E41"/>
  <c r="R28"/>
  <c r="AA75"/>
  <c r="B74"/>
  <c r="F74" s="1"/>
  <c r="R66"/>
  <c r="F51" i="88"/>
  <c r="E51"/>
  <c r="C59" i="99"/>
  <c r="Z34"/>
  <c r="C75"/>
  <c r="Z50"/>
  <c r="B70"/>
  <c r="F70" s="1"/>
  <c r="AA71"/>
  <c r="Z48"/>
  <c r="C73"/>
  <c r="C71"/>
  <c r="Z46"/>
  <c r="U10"/>
  <c r="U28" s="1"/>
  <c r="V28"/>
  <c r="AA7" s="1"/>
  <c r="AA63"/>
  <c r="B62"/>
  <c r="F62" s="1"/>
  <c r="C77" i="88"/>
  <c r="B77" s="1"/>
  <c r="F77" s="1"/>
  <c r="Z52"/>
  <c r="V65" i="99"/>
  <c r="U65" s="1"/>
  <c r="R65"/>
  <c r="B76"/>
  <c r="F76" s="1"/>
  <c r="AA77"/>
  <c r="U35"/>
  <c r="V40"/>
  <c r="U40" s="1"/>
  <c r="R40"/>
  <c r="C63"/>
  <c r="Z38"/>
  <c r="AA65"/>
  <c r="B64"/>
  <c r="F64" s="1"/>
  <c r="B68"/>
  <c r="F68" s="1"/>
  <c r="AA69"/>
  <c r="E45"/>
  <c r="F45"/>
  <c r="C61"/>
  <c r="Z36"/>
  <c r="C67"/>
  <c r="Z42"/>
  <c r="V38"/>
  <c r="U38" s="1"/>
  <c r="R38"/>
  <c r="V62"/>
  <c r="U66"/>
  <c r="B60"/>
  <c r="F60" s="1"/>
  <c r="AA61"/>
  <c r="B66"/>
  <c r="F66" s="1"/>
  <c r="AA67"/>
  <c r="U85"/>
  <c r="V63"/>
  <c r="U63" s="1"/>
  <c r="R63"/>
  <c r="D32"/>
  <c r="AB28"/>
  <c r="C69"/>
  <c r="Z44"/>
  <c r="S88"/>
  <c r="V88" s="1"/>
  <c r="L88"/>
  <c r="L103" s="1"/>
  <c r="Z40"/>
  <c r="C65"/>
  <c r="L66"/>
  <c r="L78" s="1"/>
  <c r="T62"/>
  <c r="T78" s="1"/>
  <c r="S53"/>
  <c r="AB58"/>
  <c r="D83" s="1"/>
  <c r="L61" i="88"/>
  <c r="V61"/>
  <c r="AB89"/>
  <c r="M88"/>
  <c r="S88" s="1"/>
  <c r="V88" s="1"/>
  <c r="AB88"/>
  <c r="N87"/>
  <c r="T87" s="1"/>
  <c r="W87" s="1"/>
  <c r="M87"/>
  <c r="S87" s="1"/>
  <c r="V87" s="1"/>
  <c r="E77"/>
  <c r="E76"/>
  <c r="F76"/>
  <c r="C102"/>
  <c r="B102" s="1"/>
  <c r="Z77"/>
  <c r="R62"/>
  <c r="AA73"/>
  <c r="Z73" s="1"/>
  <c r="N88"/>
  <c r="T88" s="1"/>
  <c r="W88" s="1"/>
  <c r="Z61"/>
  <c r="N63"/>
  <c r="T63" s="1"/>
  <c r="W63" s="1"/>
  <c r="AB64"/>
  <c r="Z64" s="1"/>
  <c r="D86"/>
  <c r="C100"/>
  <c r="Z75"/>
  <c r="AB60"/>
  <c r="Z60" s="1"/>
  <c r="B101"/>
  <c r="F101" s="1"/>
  <c r="AA102"/>
  <c r="Z102" s="1"/>
  <c r="W28"/>
  <c r="AB7" s="1"/>
  <c r="AB28" s="1"/>
  <c r="E75"/>
  <c r="L62"/>
  <c r="L60"/>
  <c r="R60"/>
  <c r="B63"/>
  <c r="E63" s="1"/>
  <c r="M63"/>
  <c r="AB46"/>
  <c r="D71" s="1"/>
  <c r="D66"/>
  <c r="AB67" s="1"/>
  <c r="L41"/>
  <c r="R41"/>
  <c r="R40"/>
  <c r="U40"/>
  <c r="L40"/>
  <c r="U41"/>
  <c r="Z19"/>
  <c r="C44"/>
  <c r="AA45" s="1"/>
  <c r="Z45" s="1"/>
  <c r="D39"/>
  <c r="AB40" s="1"/>
  <c r="E34"/>
  <c r="U61"/>
  <c r="A115" i="97"/>
  <c r="A79"/>
  <c r="A188"/>
  <c r="A225" s="1"/>
  <c r="A262" s="1"/>
  <c r="A151"/>
  <c r="F207"/>
  <c r="DI180"/>
  <c r="CZ185"/>
  <c r="CZ186"/>
  <c r="CZ187"/>
  <c r="R87" i="88"/>
  <c r="R61"/>
  <c r="T28"/>
  <c r="R13"/>
  <c r="V13"/>
  <c r="U13" s="1"/>
  <c r="V35"/>
  <c r="L28"/>
  <c r="R12"/>
  <c r="V16"/>
  <c r="U16" s="1"/>
  <c r="R16"/>
  <c r="V10"/>
  <c r="S28"/>
  <c r="R10"/>
  <c r="R35"/>
  <c r="U12"/>
  <c r="R14"/>
  <c r="V14"/>
  <c r="U14" s="1"/>
  <c r="R38"/>
  <c r="V38"/>
  <c r="W60"/>
  <c r="R37"/>
  <c r="V37"/>
  <c r="R15"/>
  <c r="V15"/>
  <c r="U15" s="1"/>
  <c r="V11"/>
  <c r="U11" s="1"/>
  <c r="R11"/>
  <c r="R36"/>
  <c r="V36"/>
  <c r="E59"/>
  <c r="F72"/>
  <c r="B60"/>
  <c r="F60" s="1"/>
  <c r="B62"/>
  <c r="F62" s="1"/>
  <c r="U62"/>
  <c r="B73"/>
  <c r="F73" s="1"/>
  <c r="B61"/>
  <c r="F61" s="1"/>
  <c r="C85"/>
  <c r="B74"/>
  <c r="F74" s="1"/>
  <c r="D98"/>
  <c r="E60" i="99" l="1"/>
  <c r="U87" i="88"/>
  <c r="D73" i="112"/>
  <c r="D74" s="1"/>
  <c r="D115" s="1"/>
  <c r="D116" s="1"/>
  <c r="O78" s="1"/>
  <c r="O92" s="1"/>
  <c r="D85"/>
  <c r="C141" s="1"/>
  <c r="C139" s="1"/>
  <c r="R53" i="99"/>
  <c r="E72"/>
  <c r="E76"/>
  <c r="E74"/>
  <c r="E68"/>
  <c r="E62"/>
  <c r="U88"/>
  <c r="U103" s="1"/>
  <c r="V103"/>
  <c r="AA82" s="1"/>
  <c r="AB84"/>
  <c r="AA70"/>
  <c r="B69"/>
  <c r="F69" s="1"/>
  <c r="C92"/>
  <c r="Z67"/>
  <c r="AA68"/>
  <c r="B67"/>
  <c r="F67" s="1"/>
  <c r="E64"/>
  <c r="B63"/>
  <c r="F63" s="1"/>
  <c r="AA64"/>
  <c r="U53"/>
  <c r="C32"/>
  <c r="Z7"/>
  <c r="AA28"/>
  <c r="Z28" s="1"/>
  <c r="E10" i="103" s="1"/>
  <c r="AA72" i="99"/>
  <c r="B71"/>
  <c r="F71" s="1"/>
  <c r="E70"/>
  <c r="AA76"/>
  <c r="B75"/>
  <c r="F75" s="1"/>
  <c r="C100"/>
  <c r="Z75"/>
  <c r="B77"/>
  <c r="F77" s="1"/>
  <c r="B73"/>
  <c r="F73" s="1"/>
  <c r="AA74"/>
  <c r="C96"/>
  <c r="Z71"/>
  <c r="L87" i="88"/>
  <c r="AA66" i="99"/>
  <c r="B65"/>
  <c r="F65" s="1"/>
  <c r="R88"/>
  <c r="R103" s="1"/>
  <c r="S103"/>
  <c r="D53"/>
  <c r="AB33"/>
  <c r="R62"/>
  <c r="R78" s="1"/>
  <c r="V78"/>
  <c r="AA57" s="1"/>
  <c r="B61"/>
  <c r="F61" s="1"/>
  <c r="AA62"/>
  <c r="C94"/>
  <c r="Z69"/>
  <c r="Z65"/>
  <c r="C90"/>
  <c r="Z77"/>
  <c r="C102"/>
  <c r="B59"/>
  <c r="F59" s="1"/>
  <c r="AA60"/>
  <c r="C98"/>
  <c r="Z73"/>
  <c r="W62"/>
  <c r="W78" s="1"/>
  <c r="AB57" s="1"/>
  <c r="E66"/>
  <c r="C86"/>
  <c r="Z61"/>
  <c r="U62"/>
  <c r="U78" s="1"/>
  <c r="V53"/>
  <c r="AA32" s="1"/>
  <c r="C88"/>
  <c r="Z63"/>
  <c r="R88" i="88"/>
  <c r="L88"/>
  <c r="E101"/>
  <c r="E102"/>
  <c r="F102"/>
  <c r="D85"/>
  <c r="B100"/>
  <c r="F100" s="1"/>
  <c r="AA101"/>
  <c r="Z101" s="1"/>
  <c r="C98"/>
  <c r="AA99" s="1"/>
  <c r="AB72"/>
  <c r="D97" s="1"/>
  <c r="AB98" s="1"/>
  <c r="AB87"/>
  <c r="M86"/>
  <c r="N86"/>
  <c r="T86" s="1"/>
  <c r="W86" s="1"/>
  <c r="D32"/>
  <c r="AB33" s="1"/>
  <c r="F63"/>
  <c r="S63"/>
  <c r="L63"/>
  <c r="D89"/>
  <c r="D92"/>
  <c r="AB93" s="1"/>
  <c r="M66"/>
  <c r="N66"/>
  <c r="T66" s="1"/>
  <c r="W66" s="1"/>
  <c r="D70" s="1"/>
  <c r="U60"/>
  <c r="D64"/>
  <c r="AB65" s="1"/>
  <c r="Z65" s="1"/>
  <c r="B44"/>
  <c r="F44" s="1"/>
  <c r="U36"/>
  <c r="Z14"/>
  <c r="C39"/>
  <c r="AA40" s="1"/>
  <c r="Z40" s="1"/>
  <c r="D65"/>
  <c r="AB66" s="1"/>
  <c r="N39"/>
  <c r="T39" s="1"/>
  <c r="M39"/>
  <c r="Z20"/>
  <c r="C45"/>
  <c r="AA46" s="1"/>
  <c r="Z46" s="1"/>
  <c r="U37"/>
  <c r="U38"/>
  <c r="A80" i="97"/>
  <c r="A116"/>
  <c r="A189"/>
  <c r="A226" s="1"/>
  <c r="A263" s="1"/>
  <c r="A152"/>
  <c r="F208"/>
  <c r="DP180"/>
  <c r="DG185"/>
  <c r="DG187"/>
  <c r="DG186"/>
  <c r="U10" i="88"/>
  <c r="U28" s="1"/>
  <c r="V28"/>
  <c r="AA7" s="1"/>
  <c r="AA28" s="1"/>
  <c r="U35"/>
  <c r="R28"/>
  <c r="U88"/>
  <c r="E73"/>
  <c r="E62"/>
  <c r="E61"/>
  <c r="AB99"/>
  <c r="B98"/>
  <c r="E98" s="1"/>
  <c r="E74"/>
  <c r="C87"/>
  <c r="C88"/>
  <c r="E60"/>
  <c r="B85"/>
  <c r="F85" s="1"/>
  <c r="AA86"/>
  <c r="C90"/>
  <c r="C86"/>
  <c r="C99"/>
  <c r="AA100" s="1"/>
  <c r="Z100" s="1"/>
  <c r="D84" i="112" l="1"/>
  <c r="C126" s="1"/>
  <c r="D79"/>
  <c r="D78" s="1"/>
  <c r="E61" i="99"/>
  <c r="E77"/>
  <c r="E75"/>
  <c r="E71"/>
  <c r="E69"/>
  <c r="E73"/>
  <c r="Z32"/>
  <c r="C57"/>
  <c r="E59"/>
  <c r="AA95"/>
  <c r="Z95" s="1"/>
  <c r="B94"/>
  <c r="F94" s="1"/>
  <c r="C82"/>
  <c r="Z57"/>
  <c r="D58"/>
  <c r="AB53"/>
  <c r="E65"/>
  <c r="B100"/>
  <c r="F100" s="1"/>
  <c r="AA101"/>
  <c r="Z101" s="1"/>
  <c r="E63"/>
  <c r="E67"/>
  <c r="AA93"/>
  <c r="Z93" s="1"/>
  <c r="B92"/>
  <c r="F92" s="1"/>
  <c r="D82"/>
  <c r="C85"/>
  <c r="Z60"/>
  <c r="B90"/>
  <c r="F90" s="1"/>
  <c r="AA91"/>
  <c r="Z91" s="1"/>
  <c r="B96"/>
  <c r="F96" s="1"/>
  <c r="AA97"/>
  <c r="Z97" s="1"/>
  <c r="C89"/>
  <c r="Z64"/>
  <c r="C87"/>
  <c r="Z62"/>
  <c r="C91"/>
  <c r="Z66"/>
  <c r="AA33"/>
  <c r="AA53" s="1"/>
  <c r="B32"/>
  <c r="C53"/>
  <c r="C93"/>
  <c r="Z68"/>
  <c r="Z82"/>
  <c r="B88"/>
  <c r="F88" s="1"/>
  <c r="AA89"/>
  <c r="Z89" s="1"/>
  <c r="AA87"/>
  <c r="Z87" s="1"/>
  <c r="B86"/>
  <c r="F86" s="1"/>
  <c r="B98"/>
  <c r="F98" s="1"/>
  <c r="AA99"/>
  <c r="Z99" s="1"/>
  <c r="B102"/>
  <c r="F102" s="1"/>
  <c r="Z74"/>
  <c r="C99"/>
  <c r="C101"/>
  <c r="Z76"/>
  <c r="Z72"/>
  <c r="C97"/>
  <c r="C95"/>
  <c r="Z70"/>
  <c r="AB71" i="88"/>
  <c r="D96" s="1"/>
  <c r="AB97" s="1"/>
  <c r="E100"/>
  <c r="S86"/>
  <c r="R86" s="1"/>
  <c r="L86"/>
  <c r="AB86"/>
  <c r="Z86" s="1"/>
  <c r="N85"/>
  <c r="T85" s="1"/>
  <c r="W85" s="1"/>
  <c r="M85"/>
  <c r="AB90"/>
  <c r="M89"/>
  <c r="N89"/>
  <c r="T89" s="1"/>
  <c r="W89" s="1"/>
  <c r="D93" s="1"/>
  <c r="AB94" s="1"/>
  <c r="V63"/>
  <c r="U63" s="1"/>
  <c r="R63"/>
  <c r="B64"/>
  <c r="E64" s="1"/>
  <c r="M64"/>
  <c r="N64"/>
  <c r="T64" s="1"/>
  <c r="W64" s="1"/>
  <c r="D68" s="1"/>
  <c r="AB69" s="1"/>
  <c r="S66"/>
  <c r="R66" s="1"/>
  <c r="L66"/>
  <c r="E44"/>
  <c r="W39"/>
  <c r="T53"/>
  <c r="Z17"/>
  <c r="C42"/>
  <c r="AA43" s="1"/>
  <c r="Z43" s="1"/>
  <c r="B45"/>
  <c r="F45" s="1"/>
  <c r="D91"/>
  <c r="M65"/>
  <c r="N65"/>
  <c r="T65" s="1"/>
  <c r="B39"/>
  <c r="F39" s="1"/>
  <c r="Z16"/>
  <c r="C41"/>
  <c r="AA42" s="1"/>
  <c r="Z42" s="1"/>
  <c r="S39"/>
  <c r="L39"/>
  <c r="L53" s="1"/>
  <c r="Z15"/>
  <c r="C40"/>
  <c r="AA41" s="1"/>
  <c r="Z41" s="1"/>
  <c r="F209" i="97"/>
  <c r="DN185"/>
  <c r="DN186"/>
  <c r="DN187"/>
  <c r="A81"/>
  <c r="A117"/>
  <c r="A190"/>
  <c r="A227" s="1"/>
  <c r="A264" s="1"/>
  <c r="A153"/>
  <c r="Z7" i="88"/>
  <c r="Z28"/>
  <c r="C32"/>
  <c r="D58"/>
  <c r="AB59" s="1"/>
  <c r="F98"/>
  <c r="AA91"/>
  <c r="B99"/>
  <c r="F99" s="1"/>
  <c r="AA87"/>
  <c r="B86"/>
  <c r="F86" s="1"/>
  <c r="AA88"/>
  <c r="B87"/>
  <c r="F87" s="1"/>
  <c r="E85"/>
  <c r="AA89"/>
  <c r="B88"/>
  <c r="F88" s="1"/>
  <c r="Z99"/>
  <c r="E88" i="99" l="1"/>
  <c r="E102"/>
  <c r="E86"/>
  <c r="Z53"/>
  <c r="F10" i="103" s="1"/>
  <c r="D119" i="112"/>
  <c r="C124"/>
  <c r="E100" i="99"/>
  <c r="E94"/>
  <c r="E90"/>
  <c r="E96"/>
  <c r="AA92"/>
  <c r="Z92" s="1"/>
  <c r="B91"/>
  <c r="F91" s="1"/>
  <c r="AA90"/>
  <c r="Z90" s="1"/>
  <c r="B89"/>
  <c r="F89" s="1"/>
  <c r="AA86"/>
  <c r="Z86" s="1"/>
  <c r="B85"/>
  <c r="F85" s="1"/>
  <c r="B82"/>
  <c r="F82" s="1"/>
  <c r="AA83"/>
  <c r="E32"/>
  <c r="B53"/>
  <c r="F32"/>
  <c r="AB83"/>
  <c r="AB59"/>
  <c r="D78"/>
  <c r="AA96"/>
  <c r="Z96" s="1"/>
  <c r="B95"/>
  <c r="F95" s="1"/>
  <c r="AA102"/>
  <c r="Z102" s="1"/>
  <c r="B101"/>
  <c r="F101" s="1"/>
  <c r="Z33"/>
  <c r="C58"/>
  <c r="B87"/>
  <c r="F87" s="1"/>
  <c r="AA88"/>
  <c r="Z88" s="1"/>
  <c r="B57"/>
  <c r="AA58"/>
  <c r="AA98"/>
  <c r="Z98" s="1"/>
  <c r="B97"/>
  <c r="F97" s="1"/>
  <c r="AA100"/>
  <c r="Z100" s="1"/>
  <c r="B99"/>
  <c r="F99" s="1"/>
  <c r="E98"/>
  <c r="B93"/>
  <c r="F93" s="1"/>
  <c r="AA94"/>
  <c r="Z94" s="1"/>
  <c r="E92"/>
  <c r="V86" i="88"/>
  <c r="U86" s="1"/>
  <c r="C6" i="66"/>
  <c r="C17" s="1"/>
  <c r="E30" i="112" s="1"/>
  <c r="E9" i="103"/>
  <c r="C186" i="97"/>
  <c r="C185"/>
  <c r="C187"/>
  <c r="L85" i="88"/>
  <c r="S85"/>
  <c r="R85" s="1"/>
  <c r="F64"/>
  <c r="L89"/>
  <c r="S89"/>
  <c r="R89" s="1"/>
  <c r="AA33"/>
  <c r="Z33" s="1"/>
  <c r="V66"/>
  <c r="U66" s="1"/>
  <c r="D90"/>
  <c r="B90" s="1"/>
  <c r="L64"/>
  <c r="S64"/>
  <c r="R64" s="1"/>
  <c r="R39"/>
  <c r="R53" s="1"/>
  <c r="S53"/>
  <c r="W65"/>
  <c r="T78"/>
  <c r="D43"/>
  <c r="W53"/>
  <c r="AB32" s="1"/>
  <c r="E39"/>
  <c r="B40"/>
  <c r="F40" s="1"/>
  <c r="B41"/>
  <c r="S65"/>
  <c r="V65" s="1"/>
  <c r="L65"/>
  <c r="C71"/>
  <c r="AA72" s="1"/>
  <c r="Z72" s="1"/>
  <c r="V39"/>
  <c r="V53" s="1"/>
  <c r="AA32" s="1"/>
  <c r="AB92"/>
  <c r="N91"/>
  <c r="T91" s="1"/>
  <c r="M91"/>
  <c r="B42"/>
  <c r="F42" s="1"/>
  <c r="C65"/>
  <c r="AA66" s="1"/>
  <c r="Z66" s="1"/>
  <c r="E45"/>
  <c r="A191" i="97"/>
  <c r="A228" s="1"/>
  <c r="A265" s="1"/>
  <c r="A154"/>
  <c r="A118"/>
  <c r="A82"/>
  <c r="B32" i="88"/>
  <c r="E87"/>
  <c r="E99"/>
  <c r="Z88"/>
  <c r="Z89"/>
  <c r="Z87"/>
  <c r="E90"/>
  <c r="E88"/>
  <c r="E86"/>
  <c r="E101" i="99" l="1"/>
  <c r="E91"/>
  <c r="E93"/>
  <c r="E87"/>
  <c r="E95"/>
  <c r="E89"/>
  <c r="E99"/>
  <c r="E57"/>
  <c r="F57"/>
  <c r="AA59"/>
  <c r="AA78" s="1"/>
  <c r="Z78" s="1"/>
  <c r="G10" i="103" s="1"/>
  <c r="B58" i="99"/>
  <c r="F58" s="1"/>
  <c r="D84"/>
  <c r="AB78"/>
  <c r="Z83"/>
  <c r="C78"/>
  <c r="E82"/>
  <c r="E97"/>
  <c r="C83"/>
  <c r="Z58"/>
  <c r="E85"/>
  <c r="E12" i="103"/>
  <c r="E13"/>
  <c r="E17" s="1"/>
  <c r="E19" s="1"/>
  <c r="V85" i="88"/>
  <c r="U85" s="1"/>
  <c r="M90"/>
  <c r="S90" s="1"/>
  <c r="C89"/>
  <c r="V89"/>
  <c r="AB44"/>
  <c r="AB53" s="1"/>
  <c r="D53"/>
  <c r="L78"/>
  <c r="V64"/>
  <c r="U64" s="1"/>
  <c r="AB91"/>
  <c r="F90"/>
  <c r="N90"/>
  <c r="T90" s="1"/>
  <c r="W90" s="1"/>
  <c r="D94" s="1"/>
  <c r="AB95" s="1"/>
  <c r="W78"/>
  <c r="AB57" s="1"/>
  <c r="C70"/>
  <c r="AA71" s="1"/>
  <c r="Z71" s="1"/>
  <c r="E42"/>
  <c r="R65"/>
  <c r="R78" s="1"/>
  <c r="S78"/>
  <c r="W91"/>
  <c r="U65"/>
  <c r="D57"/>
  <c r="AB58" s="1"/>
  <c r="C57"/>
  <c r="AA58" s="1"/>
  <c r="Z32"/>
  <c r="C68"/>
  <c r="AA69" s="1"/>
  <c r="Z69" s="1"/>
  <c r="C67"/>
  <c r="AA68" s="1"/>
  <c r="Z68" s="1"/>
  <c r="U39"/>
  <c r="U53" s="1"/>
  <c r="E40"/>
  <c r="B65"/>
  <c r="F65" s="1"/>
  <c r="S91"/>
  <c r="L91"/>
  <c r="B71"/>
  <c r="F71" s="1"/>
  <c r="E41"/>
  <c r="F41"/>
  <c r="C66"/>
  <c r="AA67" s="1"/>
  <c r="Z67" s="1"/>
  <c r="A119" i="97"/>
  <c r="A83"/>
  <c r="A192"/>
  <c r="A229" s="1"/>
  <c r="A266" s="1"/>
  <c r="A155"/>
  <c r="C58" i="88"/>
  <c r="AA59" s="1"/>
  <c r="Z59" s="1"/>
  <c r="E32"/>
  <c r="F32"/>
  <c r="D84"/>
  <c r="E58" i="99" l="1"/>
  <c r="B78"/>
  <c r="AA84"/>
  <c r="B83"/>
  <c r="AB85"/>
  <c r="AB103" s="1"/>
  <c r="D103"/>
  <c r="C84"/>
  <c r="C103" s="1"/>
  <c r="Z59"/>
  <c r="Z58" i="88"/>
  <c r="E45" i="112"/>
  <c r="D69" i="88"/>
  <c r="AB70" s="1"/>
  <c r="AB78" s="1"/>
  <c r="V78"/>
  <c r="AA57" s="1"/>
  <c r="Z57" s="1"/>
  <c r="D82"/>
  <c r="U89"/>
  <c r="AA90"/>
  <c r="B89"/>
  <c r="W103"/>
  <c r="AB82" s="1"/>
  <c r="U78"/>
  <c r="R90"/>
  <c r="T103"/>
  <c r="V90"/>
  <c r="S103"/>
  <c r="L90"/>
  <c r="L103" s="1"/>
  <c r="Z91"/>
  <c r="B70"/>
  <c r="F70" s="1"/>
  <c r="B57"/>
  <c r="B66"/>
  <c r="F66" s="1"/>
  <c r="E65"/>
  <c r="Z18"/>
  <c r="C43"/>
  <c r="C97"/>
  <c r="B67"/>
  <c r="F67" s="1"/>
  <c r="C91"/>
  <c r="B68"/>
  <c r="F68" s="1"/>
  <c r="E71"/>
  <c r="V91"/>
  <c r="R91"/>
  <c r="A193" i="97"/>
  <c r="A230" s="1"/>
  <c r="A267" s="1"/>
  <c r="A156"/>
  <c r="A120"/>
  <c r="A84"/>
  <c r="B58" i="88"/>
  <c r="AB85"/>
  <c r="D78" l="1"/>
  <c r="R103"/>
  <c r="B84" i="99"/>
  <c r="F84" s="1"/>
  <c r="AA85"/>
  <c r="Z85" s="1"/>
  <c r="E83"/>
  <c r="F83"/>
  <c r="B103"/>
  <c r="Z84"/>
  <c r="C82" i="88"/>
  <c r="D95"/>
  <c r="AB96" s="1"/>
  <c r="AB83"/>
  <c r="E89"/>
  <c r="F89"/>
  <c r="U90"/>
  <c r="Z90"/>
  <c r="AA44"/>
  <c r="C53"/>
  <c r="E70"/>
  <c r="C96"/>
  <c r="E68"/>
  <c r="E66"/>
  <c r="U91"/>
  <c r="V103"/>
  <c r="AA82" s="1"/>
  <c r="D83"/>
  <c r="F57"/>
  <c r="E57"/>
  <c r="C83"/>
  <c r="Z80"/>
  <c r="AA83"/>
  <c r="B82"/>
  <c r="E67"/>
  <c r="B97"/>
  <c r="F97" s="1"/>
  <c r="AA98"/>
  <c r="B43"/>
  <c r="B53" s="1"/>
  <c r="C92"/>
  <c r="B91"/>
  <c r="F91" s="1"/>
  <c r="AA92"/>
  <c r="C93"/>
  <c r="A85" i="97"/>
  <c r="A121"/>
  <c r="A194"/>
  <c r="A231" s="1"/>
  <c r="A268" s="1"/>
  <c r="A157"/>
  <c r="E58" i="88"/>
  <c r="F58"/>
  <c r="C84"/>
  <c r="E84" i="99" l="1"/>
  <c r="AA103"/>
  <c r="Z103" s="1"/>
  <c r="H10" i="103" s="1"/>
  <c r="U103" i="88"/>
  <c r="D103"/>
  <c r="C94"/>
  <c r="AA95" s="1"/>
  <c r="Z44"/>
  <c r="AA53"/>
  <c r="Z53" s="1"/>
  <c r="F9" i="103" s="1"/>
  <c r="AA97" i="88"/>
  <c r="B96"/>
  <c r="F43"/>
  <c r="B83"/>
  <c r="AA84"/>
  <c r="AB84"/>
  <c r="AB103" s="1"/>
  <c r="E82"/>
  <c r="F82"/>
  <c r="Z82"/>
  <c r="E97"/>
  <c r="Z83"/>
  <c r="Z92"/>
  <c r="E43"/>
  <c r="C69"/>
  <c r="B93"/>
  <c r="F93" s="1"/>
  <c r="AA94"/>
  <c r="B92"/>
  <c r="F92" s="1"/>
  <c r="AA93"/>
  <c r="Z98"/>
  <c r="E91"/>
  <c r="A195" i="97"/>
  <c r="A232" s="1"/>
  <c r="A269" s="1"/>
  <c r="A158"/>
  <c r="A122"/>
  <c r="A86"/>
  <c r="B84" i="88"/>
  <c r="AA85"/>
  <c r="F12" i="103" l="1"/>
  <c r="F13"/>
  <c r="F17" s="1"/>
  <c r="F19" s="1"/>
  <c r="C13" i="66"/>
  <c r="E26" i="112" s="1"/>
  <c r="E41" s="1"/>
  <c r="D6" i="66"/>
  <c r="D17" s="1"/>
  <c r="F30" i="112" s="1"/>
  <c r="B94" i="88"/>
  <c r="F94" s="1"/>
  <c r="C78"/>
  <c r="AA70"/>
  <c r="C12" i="66"/>
  <c r="E25" i="112" s="1"/>
  <c r="E40" s="1"/>
  <c r="C11" i="66"/>
  <c r="E24" i="112" s="1"/>
  <c r="E39" s="1"/>
  <c r="C8" i="66"/>
  <c r="E21" i="112" s="1"/>
  <c r="E36" s="1"/>
  <c r="C14" i="66"/>
  <c r="E27" i="112" s="1"/>
  <c r="E42" s="1"/>
  <c r="C7" i="66"/>
  <c r="E20" i="112" s="1"/>
  <c r="C16" i="66"/>
  <c r="E29" i="112" s="1"/>
  <c r="E44" s="1"/>
  <c r="C15" i="66"/>
  <c r="E28" i="112" s="1"/>
  <c r="E43" s="1"/>
  <c r="C10" i="66"/>
  <c r="E23" i="112" s="1"/>
  <c r="E38" s="1"/>
  <c r="C1" i="66"/>
  <c r="C9"/>
  <c r="E22" i="112" s="1"/>
  <c r="E37" s="1"/>
  <c r="F96" i="88"/>
  <c r="E96"/>
  <c r="Z97"/>
  <c r="E92"/>
  <c r="E93"/>
  <c r="Z84"/>
  <c r="F83"/>
  <c r="E83"/>
  <c r="Z94"/>
  <c r="Z95"/>
  <c r="Z93"/>
  <c r="B69"/>
  <c r="B78" s="1"/>
  <c r="A123" i="97"/>
  <c r="A87"/>
  <c r="A196"/>
  <c r="A233" s="1"/>
  <c r="A270" s="1"/>
  <c r="A159"/>
  <c r="Z85" i="88"/>
  <c r="E84"/>
  <c r="F84"/>
  <c r="E35" i="112" l="1"/>
  <c r="E34" s="1"/>
  <c r="E67" s="1"/>
  <c r="E66" s="1"/>
  <c r="E19"/>
  <c r="F45"/>
  <c r="E94" i="88"/>
  <c r="Z70"/>
  <c r="AA78"/>
  <c r="Z78" s="1"/>
  <c r="G9" i="103" s="1"/>
  <c r="C18" i="66"/>
  <c r="C19" s="1"/>
  <c r="F69" i="88"/>
  <c r="D7" i="66"/>
  <c r="F20" i="112" s="1"/>
  <c r="D15" i="66"/>
  <c r="F28" i="112" s="1"/>
  <c r="F43" s="1"/>
  <c r="D11" i="66"/>
  <c r="F24" i="112" s="1"/>
  <c r="F39" s="1"/>
  <c r="D10" i="66"/>
  <c r="F23" i="112" s="1"/>
  <c r="F38" s="1"/>
  <c r="D9" i="66"/>
  <c r="F22" i="112" s="1"/>
  <c r="F37" s="1"/>
  <c r="D13" i="66"/>
  <c r="F26" i="112" s="1"/>
  <c r="F41" s="1"/>
  <c r="D16" i="66"/>
  <c r="F29" i="112" s="1"/>
  <c r="F44" s="1"/>
  <c r="D14" i="66"/>
  <c r="F27" i="112" s="1"/>
  <c r="F42" s="1"/>
  <c r="D12" i="66"/>
  <c r="F25" i="112" s="1"/>
  <c r="F40" s="1"/>
  <c r="E69" i="88"/>
  <c r="C95"/>
  <c r="C103" s="1"/>
  <c r="A124" i="97"/>
  <c r="A88"/>
  <c r="A197"/>
  <c r="A234" s="1"/>
  <c r="A271" s="1"/>
  <c r="A160"/>
  <c r="G12" i="103" l="1"/>
  <c r="G13"/>
  <c r="G17" s="1"/>
  <c r="G19" s="1"/>
  <c r="F35" i="112"/>
  <c r="E6" i="66"/>
  <c r="E7" s="1"/>
  <c r="G20" i="112" s="1"/>
  <c r="D8" i="66"/>
  <c r="F21" i="112" s="1"/>
  <c r="F36" s="1"/>
  <c r="D1" i="66"/>
  <c r="B95" i="88"/>
  <c r="B103" s="1"/>
  <c r="AA96"/>
  <c r="A125" i="97"/>
  <c r="A89"/>
  <c r="A198"/>
  <c r="A235" s="1"/>
  <c r="A272" s="1"/>
  <c r="A161"/>
  <c r="F19" i="112" l="1"/>
  <c r="F34"/>
  <c r="F67" s="1"/>
  <c r="F66" s="1"/>
  <c r="D18" i="66"/>
  <c r="D19" s="1"/>
  <c r="AA103" i="88"/>
  <c r="Z103" s="1"/>
  <c r="F95"/>
  <c r="E95"/>
  <c r="Z96"/>
  <c r="A126" i="97"/>
  <c r="A90"/>
  <c r="A199"/>
  <c r="A236" s="1"/>
  <c r="A273" s="1"/>
  <c r="A162"/>
  <c r="G35" i="112" l="1"/>
  <c r="F6" i="66"/>
  <c r="H9" i="103"/>
  <c r="E17" i="66"/>
  <c r="G30" i="112" s="1"/>
  <c r="G45" s="1"/>
  <c r="E16" i="66"/>
  <c r="G29" i="112" s="1"/>
  <c r="G44" s="1"/>
  <c r="E1" i="66"/>
  <c r="E8"/>
  <c r="G21" i="112" s="1"/>
  <c r="G36" s="1"/>
  <c r="E13" i="66"/>
  <c r="G26" i="112" s="1"/>
  <c r="G41" s="1"/>
  <c r="E9" i="66"/>
  <c r="G22" i="112" s="1"/>
  <c r="G37" s="1"/>
  <c r="E10" i="66"/>
  <c r="G23" i="112" s="1"/>
  <c r="G38" s="1"/>
  <c r="E11" i="66"/>
  <c r="G24" i="112" s="1"/>
  <c r="G39" s="1"/>
  <c r="E14" i="66"/>
  <c r="G27" i="112" s="1"/>
  <c r="G42" s="1"/>
  <c r="E15" i="66"/>
  <c r="G28" i="112" s="1"/>
  <c r="G43" s="1"/>
  <c r="E12" i="66"/>
  <c r="G25" i="112" s="1"/>
  <c r="G40" s="1"/>
  <c r="A127" i="97"/>
  <c r="A91"/>
  <c r="A200"/>
  <c r="A237" s="1"/>
  <c r="A274" s="1"/>
  <c r="A163"/>
  <c r="G19" i="112" l="1"/>
  <c r="F17" i="66"/>
  <c r="H30" i="112" s="1"/>
  <c r="F7" i="66"/>
  <c r="H20" i="112" s="1"/>
  <c r="H12" i="103"/>
  <c r="H13"/>
  <c r="H17" s="1"/>
  <c r="H19" s="1"/>
  <c r="G34" i="112"/>
  <c r="G67" s="1"/>
  <c r="G66" s="1"/>
  <c r="E18" i="66"/>
  <c r="E19" s="1"/>
  <c r="A128" i="97"/>
  <c r="A92"/>
  <c r="A201"/>
  <c r="A238" s="1"/>
  <c r="A275" s="1"/>
  <c r="A164"/>
  <c r="H45" i="112" l="1"/>
  <c r="F15" i="66"/>
  <c r="H28" i="112" s="1"/>
  <c r="H43" s="1"/>
  <c r="F14" i="66"/>
  <c r="H27" i="112" s="1"/>
  <c r="H42" s="1"/>
  <c r="F12" i="66"/>
  <c r="H25" i="112" s="1"/>
  <c r="H40" s="1"/>
  <c r="F11" i="66"/>
  <c r="H24" i="112" s="1"/>
  <c r="H39" s="1"/>
  <c r="F13" i="66"/>
  <c r="H26" i="112" s="1"/>
  <c r="H41" s="1"/>
  <c r="F8" i="66"/>
  <c r="H21" i="112" s="1"/>
  <c r="H36" s="1"/>
  <c r="F10" i="66"/>
  <c r="H23" i="112" s="1"/>
  <c r="H38" s="1"/>
  <c r="F1" i="66"/>
  <c r="F9"/>
  <c r="H22" i="112" s="1"/>
  <c r="H37" s="1"/>
  <c r="F16" i="66"/>
  <c r="H29" i="112" s="1"/>
  <c r="H44" s="1"/>
  <c r="A129" i="97"/>
  <c r="A93"/>
  <c r="A202"/>
  <c r="A239" s="1"/>
  <c r="A276" s="1"/>
  <c r="A165"/>
  <c r="H35" i="112" l="1"/>
  <c r="F18" i="66"/>
  <c r="F19" s="1"/>
  <c r="A130" i="97"/>
  <c r="A94"/>
  <c r="A203"/>
  <c r="A240" s="1"/>
  <c r="A277" s="1"/>
  <c r="A166"/>
  <c r="H19" i="112" l="1"/>
  <c r="H34"/>
  <c r="H67" s="1"/>
  <c r="H66" s="1"/>
  <c r="A131" i="97"/>
  <c r="A95"/>
  <c r="A204"/>
  <c r="A241" s="1"/>
  <c r="A278" s="1"/>
  <c r="A167"/>
  <c r="A132" l="1"/>
  <c r="A96"/>
  <c r="A205"/>
  <c r="A242" s="1"/>
  <c r="A279" s="1"/>
  <c r="A168"/>
  <c r="A133" l="1"/>
  <c r="A97"/>
  <c r="A206"/>
  <c r="A243" s="1"/>
  <c r="A280" s="1"/>
  <c r="A169"/>
  <c r="A134" l="1"/>
  <c r="A98"/>
  <c r="A207"/>
  <c r="A244" s="1"/>
  <c r="A281" s="1"/>
  <c r="A170"/>
  <c r="A135" l="1"/>
  <c r="A99"/>
  <c r="A136" s="1"/>
  <c r="A208"/>
  <c r="A245" s="1"/>
  <c r="A282" s="1"/>
  <c r="A171"/>
  <c r="A210" l="1"/>
  <c r="A247" s="1"/>
  <c r="A284" s="1"/>
  <c r="A173"/>
  <c r="A209"/>
  <c r="A246" s="1"/>
  <c r="A283" s="1"/>
  <c r="A172"/>
  <c r="M16" i="40" l="1"/>
  <c r="I12" i="97"/>
  <c r="B14" i="60"/>
  <c r="F14" l="1"/>
  <c r="G15"/>
  <c r="B73" i="97"/>
  <c r="B110" l="1"/>
  <c r="J15" i="60"/>
  <c r="H15"/>
  <c r="C110" i="97" l="1"/>
  <c r="B147"/>
  <c r="B184"/>
  <c r="AH147" l="1"/>
  <c r="AO147"/>
  <c r="C147"/>
  <c r="BJ147"/>
  <c r="BQ147"/>
  <c r="AA147"/>
  <c r="T147"/>
  <c r="AV147"/>
  <c r="M147"/>
  <c r="BC147"/>
  <c r="BX147"/>
  <c r="AH184"/>
  <c r="T184"/>
  <c r="C184"/>
  <c r="CZ184"/>
  <c r="CE184"/>
  <c r="BJ184"/>
  <c r="AO184"/>
  <c r="M184"/>
  <c r="DG184"/>
  <c r="CL184"/>
  <c r="BQ184"/>
  <c r="AV184"/>
  <c r="AA184"/>
  <c r="DN184"/>
  <c r="CS184"/>
  <c r="BX184"/>
  <c r="BC184"/>
  <c r="B221"/>
  <c r="B258" l="1"/>
  <c r="M13" i="40"/>
  <c r="I9" i="97"/>
  <c r="B70"/>
  <c r="M10" i="40"/>
  <c r="M14"/>
  <c r="M11"/>
  <c r="M12"/>
  <c r="I8" i="97"/>
  <c r="B69"/>
  <c r="B106" s="1"/>
  <c r="B180" s="1"/>
  <c r="I11"/>
  <c r="M15" i="40"/>
  <c r="B7" i="60"/>
  <c r="F7" s="1"/>
  <c r="B8"/>
  <c r="F8" s="1"/>
  <c r="B11"/>
  <c r="F11" s="1"/>
  <c r="B10"/>
  <c r="F10" s="1"/>
  <c r="B9"/>
  <c r="B12"/>
  <c r="F12" s="1"/>
  <c r="B13"/>
  <c r="F13" s="1"/>
  <c r="I10" i="97"/>
  <c r="I6"/>
  <c r="B67"/>
  <c r="B104" s="1"/>
  <c r="G12" i="60" l="1"/>
  <c r="H12" s="1"/>
  <c r="G14"/>
  <c r="H14" s="1"/>
  <c r="G7"/>
  <c r="J7" s="1"/>
  <c r="G8"/>
  <c r="J8" s="1"/>
  <c r="B66" i="97"/>
  <c r="B103" s="1"/>
  <c r="B177" s="1"/>
  <c r="G11" i="60"/>
  <c r="J11" s="1"/>
  <c r="C104" i="97"/>
  <c r="B178"/>
  <c r="B141"/>
  <c r="F18" i="60"/>
  <c r="G13"/>
  <c r="B71" i="97"/>
  <c r="F9" i="60"/>
  <c r="F19" s="1"/>
  <c r="G9"/>
  <c r="G10"/>
  <c r="CS180" i="97"/>
  <c r="BQ180"/>
  <c r="DG180"/>
  <c r="AV180"/>
  <c r="M180"/>
  <c r="T180"/>
  <c r="CZ180"/>
  <c r="CL180"/>
  <c r="BX180"/>
  <c r="AA180"/>
  <c r="AO180"/>
  <c r="DN180"/>
  <c r="CE180"/>
  <c r="C180"/>
  <c r="BJ180"/>
  <c r="BC180"/>
  <c r="AH180"/>
  <c r="B217"/>
  <c r="I7"/>
  <c r="B68"/>
  <c r="B143"/>
  <c r="C106"/>
  <c r="B72"/>
  <c r="B107"/>
  <c r="H11" i="60" l="1"/>
  <c r="J12"/>
  <c r="J14"/>
  <c r="B140" i="97"/>
  <c r="T140" s="1"/>
  <c r="E68"/>
  <c r="H7" i="60"/>
  <c r="H8"/>
  <c r="C103" i="97"/>
  <c r="E69"/>
  <c r="M143"/>
  <c r="BJ143"/>
  <c r="AH143"/>
  <c r="AA143"/>
  <c r="BX143"/>
  <c r="BQ143"/>
  <c r="C143"/>
  <c r="AV143"/>
  <c r="AO143"/>
  <c r="T143"/>
  <c r="BC143"/>
  <c r="C141"/>
  <c r="M141"/>
  <c r="AA141"/>
  <c r="BJ141"/>
  <c r="AV141"/>
  <c r="AH141"/>
  <c r="BC141"/>
  <c r="BQ141"/>
  <c r="AO141"/>
  <c r="T141"/>
  <c r="BX141"/>
  <c r="C107"/>
  <c r="B181"/>
  <c r="B144"/>
  <c r="CZ177"/>
  <c r="DN177"/>
  <c r="BC177"/>
  <c r="CS177"/>
  <c r="BJ177"/>
  <c r="AV177"/>
  <c r="AO177"/>
  <c r="T177"/>
  <c r="BX177"/>
  <c r="AA177"/>
  <c r="AH177"/>
  <c r="CE177"/>
  <c r="M177"/>
  <c r="CL177"/>
  <c r="C177"/>
  <c r="BQ177"/>
  <c r="DG177"/>
  <c r="B214"/>
  <c r="H10" i="60"/>
  <c r="J10"/>
  <c r="BQ178" i="97"/>
  <c r="C178"/>
  <c r="M178"/>
  <c r="CS178"/>
  <c r="AA178"/>
  <c r="B215"/>
  <c r="CZ178"/>
  <c r="BC178"/>
  <c r="CE178"/>
  <c r="AV178"/>
  <c r="BJ178"/>
  <c r="DG178"/>
  <c r="DN178"/>
  <c r="CL178"/>
  <c r="BX178"/>
  <c r="AH178"/>
  <c r="T178"/>
  <c r="AO178"/>
  <c r="BX140"/>
  <c r="BQ140"/>
  <c r="M140"/>
  <c r="C140"/>
  <c r="J13" i="60"/>
  <c r="H13"/>
  <c r="H18" s="1"/>
  <c r="B254" i="97"/>
  <c r="H9" i="60"/>
  <c r="J9"/>
  <c r="B109" i="97"/>
  <c r="B105"/>
  <c r="B108"/>
  <c r="B83" l="1"/>
  <c r="AV140"/>
  <c r="AO140"/>
  <c r="BC140"/>
  <c r="BJ140"/>
  <c r="AA140"/>
  <c r="AH140"/>
  <c r="H19" i="60"/>
  <c r="I73" i="97"/>
  <c r="C12" s="1"/>
  <c r="B88"/>
  <c r="I89"/>
  <c r="C28" s="1"/>
  <c r="I97"/>
  <c r="C36" s="1"/>
  <c r="I70"/>
  <c r="C9" s="1"/>
  <c r="B78"/>
  <c r="I94"/>
  <c r="C33" s="1"/>
  <c r="I90"/>
  <c r="C29" s="1"/>
  <c r="B84"/>
  <c r="B80"/>
  <c r="I98"/>
  <c r="C37" s="1"/>
  <c r="I96"/>
  <c r="C35" s="1"/>
  <c r="B86"/>
  <c r="B93"/>
  <c r="I85"/>
  <c r="C24" s="1"/>
  <c r="I87"/>
  <c r="C26" s="1"/>
  <c r="I93"/>
  <c r="C32" s="1"/>
  <c r="I82"/>
  <c r="C21" s="1"/>
  <c r="I83"/>
  <c r="C22" s="1"/>
  <c r="I88"/>
  <c r="C27" s="1"/>
  <c r="I74"/>
  <c r="J74" s="1"/>
  <c r="I75"/>
  <c r="C14" s="1"/>
  <c r="B96"/>
  <c r="B98"/>
  <c r="B77"/>
  <c r="B90"/>
  <c r="B92"/>
  <c r="B82"/>
  <c r="I80"/>
  <c r="C19" s="1"/>
  <c r="I92"/>
  <c r="C31" s="1"/>
  <c r="I99"/>
  <c r="C38" s="1"/>
  <c r="I91"/>
  <c r="C30" s="1"/>
  <c r="I79"/>
  <c r="C18" s="1"/>
  <c r="I67"/>
  <c r="K67" s="1"/>
  <c r="I66"/>
  <c r="I72"/>
  <c r="B85"/>
  <c r="B87"/>
  <c r="B89"/>
  <c r="B79"/>
  <c r="I71"/>
  <c r="B94"/>
  <c r="I78"/>
  <c r="C17" s="1"/>
  <c r="I77"/>
  <c r="C16" s="1"/>
  <c r="I84"/>
  <c r="C23" s="1"/>
  <c r="I81"/>
  <c r="C20" s="1"/>
  <c r="I86"/>
  <c r="C25" s="1"/>
  <c r="I95"/>
  <c r="C34" s="1"/>
  <c r="I69"/>
  <c r="K69" s="1"/>
  <c r="I68"/>
  <c r="B95"/>
  <c r="B97"/>
  <c r="B99"/>
  <c r="I76"/>
  <c r="C15" s="1"/>
  <c r="B91"/>
  <c r="B81"/>
  <c r="K73"/>
  <c r="B251"/>
  <c r="T144"/>
  <c r="M144"/>
  <c r="BC144"/>
  <c r="BX144"/>
  <c r="BQ144"/>
  <c r="BJ144"/>
  <c r="AO144"/>
  <c r="AV144"/>
  <c r="AH144"/>
  <c r="C144"/>
  <c r="AA144"/>
  <c r="C13"/>
  <c r="K75"/>
  <c r="C105"/>
  <c r="B142"/>
  <c r="B179"/>
  <c r="C108"/>
  <c r="B145"/>
  <c r="B182"/>
  <c r="B146"/>
  <c r="C109"/>
  <c r="B183"/>
  <c r="B252"/>
  <c r="BC181"/>
  <c r="DG181"/>
  <c r="AV181"/>
  <c r="T181"/>
  <c r="AH181"/>
  <c r="M181"/>
  <c r="BJ181"/>
  <c r="AO181"/>
  <c r="BX181"/>
  <c r="AA181"/>
  <c r="CE181"/>
  <c r="BQ181"/>
  <c r="C181"/>
  <c r="DN181"/>
  <c r="CS181"/>
  <c r="CL181"/>
  <c r="B218"/>
  <c r="CZ181"/>
  <c r="J67"/>
  <c r="J66"/>
  <c r="C8"/>
  <c r="J76"/>
  <c r="J70" l="1"/>
  <c r="K70"/>
  <c r="J69"/>
  <c r="J73"/>
  <c r="K76"/>
  <c r="C6"/>
  <c r="J75"/>
  <c r="K74"/>
  <c r="I65"/>
  <c r="F71" s="1"/>
  <c r="C40" s="1"/>
  <c r="K66"/>
  <c r="C7"/>
  <c r="J68"/>
  <c r="K68"/>
  <c r="C10"/>
  <c r="K71"/>
  <c r="J71"/>
  <c r="C11"/>
  <c r="J72"/>
  <c r="K72"/>
  <c r="M182"/>
  <c r="C182"/>
  <c r="DN182"/>
  <c r="T182"/>
  <c r="BX182"/>
  <c r="CL182"/>
  <c r="CS182"/>
  <c r="AV182"/>
  <c r="BQ182"/>
  <c r="AA182"/>
  <c r="BJ182"/>
  <c r="AH182"/>
  <c r="CE182"/>
  <c r="BC182"/>
  <c r="AO182"/>
  <c r="CZ182"/>
  <c r="DG182"/>
  <c r="B219"/>
  <c r="AH142"/>
  <c r="T142"/>
  <c r="BJ142"/>
  <c r="BX142"/>
  <c r="BC142"/>
  <c r="BQ142"/>
  <c r="AA142"/>
  <c r="M142"/>
  <c r="AO142"/>
  <c r="C142"/>
  <c r="AV142"/>
  <c r="O151"/>
  <c r="V151" s="1"/>
  <c r="AC151" s="1"/>
  <c r="AJ151" s="1"/>
  <c r="AQ151" s="1"/>
  <c r="AX151" s="1"/>
  <c r="BE151" s="1"/>
  <c r="BL151" s="1"/>
  <c r="BS151" s="1"/>
  <c r="BZ151" s="1"/>
  <c r="B255"/>
  <c r="BQ145"/>
  <c r="AO145"/>
  <c r="BJ145"/>
  <c r="BC145"/>
  <c r="AA145"/>
  <c r="AH145"/>
  <c r="C145"/>
  <c r="M145"/>
  <c r="T145"/>
  <c r="BX145"/>
  <c r="AV145"/>
  <c r="AA179"/>
  <c r="CZ179"/>
  <c r="M179"/>
  <c r="CE179"/>
  <c r="BX179"/>
  <c r="BJ179"/>
  <c r="AO179"/>
  <c r="CL179"/>
  <c r="DN179"/>
  <c r="CS179"/>
  <c r="AV179"/>
  <c r="BC179"/>
  <c r="DG179"/>
  <c r="AH179"/>
  <c r="BQ179"/>
  <c r="T179"/>
  <c r="C179"/>
  <c r="B216"/>
  <c r="O188"/>
  <c r="V188" s="1"/>
  <c r="AC188" s="1"/>
  <c r="AJ188" s="1"/>
  <c r="AQ188" s="1"/>
  <c r="AX188" s="1"/>
  <c r="BE188" s="1"/>
  <c r="BL188" s="1"/>
  <c r="BS188" s="1"/>
  <c r="BZ188" s="1"/>
  <c r="CG188" s="1"/>
  <c r="CN188" s="1"/>
  <c r="CU188" s="1"/>
  <c r="DB188" s="1"/>
  <c r="DI188" s="1"/>
  <c r="DP188" s="1"/>
  <c r="G108"/>
  <c r="F111" s="1"/>
  <c r="G107"/>
  <c r="F110" s="1"/>
  <c r="AH183"/>
  <c r="CZ183"/>
  <c r="T183"/>
  <c r="BC183"/>
  <c r="AA183"/>
  <c r="CL183"/>
  <c r="CE183"/>
  <c r="M183"/>
  <c r="BX183"/>
  <c r="BQ183"/>
  <c r="DG183"/>
  <c r="BJ183"/>
  <c r="C183"/>
  <c r="AV183"/>
  <c r="DN183"/>
  <c r="AO183"/>
  <c r="CS183"/>
  <c r="B220"/>
  <c r="AV146"/>
  <c r="AO146"/>
  <c r="BX146"/>
  <c r="BQ146"/>
  <c r="C146"/>
  <c r="BJ146"/>
  <c r="AH146"/>
  <c r="M146"/>
  <c r="T146"/>
  <c r="BC146"/>
  <c r="AA146"/>
  <c r="F72" l="1"/>
  <c r="C41" s="1"/>
  <c r="F73"/>
  <c r="C42" s="1"/>
  <c r="F75"/>
  <c r="C44" s="1"/>
  <c r="F74"/>
  <c r="C43" s="1"/>
  <c r="AY218"/>
  <c r="AA218"/>
  <c r="BE218"/>
  <c r="F219"/>
  <c r="U218"/>
  <c r="BK218"/>
  <c r="AS218"/>
  <c r="AM218"/>
  <c r="AG218"/>
  <c r="O218"/>
  <c r="B257"/>
  <c r="V181"/>
  <c r="V182"/>
  <c r="V183" s="1"/>
  <c r="DP182"/>
  <c r="DP183" s="1"/>
  <c r="DP181"/>
  <c r="CN181"/>
  <c r="CN182"/>
  <c r="CN183" s="1"/>
  <c r="BZ182"/>
  <c r="BZ183" s="1"/>
  <c r="BZ181"/>
  <c r="AC181"/>
  <c r="AC182"/>
  <c r="AC183" s="1"/>
  <c r="P142"/>
  <c r="O145" s="1"/>
  <c r="P141"/>
  <c r="O144" s="1"/>
  <c r="BS182"/>
  <c r="BS183" s="1"/>
  <c r="BS181"/>
  <c r="BE181"/>
  <c r="BE182"/>
  <c r="BE183" s="1"/>
  <c r="AX181"/>
  <c r="AX182"/>
  <c r="AX183" s="1"/>
  <c r="CG181"/>
  <c r="CG182"/>
  <c r="CG183" s="1"/>
  <c r="AD141"/>
  <c r="AC144" s="1"/>
  <c r="AD142"/>
  <c r="AC145" s="1"/>
  <c r="BF142"/>
  <c r="BE145" s="1"/>
  <c r="BF141"/>
  <c r="BE144" s="1"/>
  <c r="B253"/>
  <c r="U217"/>
  <c r="AY217"/>
  <c r="BK217"/>
  <c r="BE217"/>
  <c r="AG217"/>
  <c r="AS217"/>
  <c r="F218"/>
  <c r="O225" s="1"/>
  <c r="AA217"/>
  <c r="AM217"/>
  <c r="O217"/>
  <c r="AJ182"/>
  <c r="AJ183" s="1"/>
  <c r="AJ181"/>
  <c r="AQ182"/>
  <c r="AQ183" s="1"/>
  <c r="AQ181"/>
  <c r="O181"/>
  <c r="O182"/>
  <c r="O183" s="1"/>
  <c r="AY142"/>
  <c r="AX145" s="1"/>
  <c r="AY141"/>
  <c r="AX144" s="1"/>
  <c r="G145"/>
  <c r="F148" s="1"/>
  <c r="G146"/>
  <c r="F149" s="1"/>
  <c r="BT142"/>
  <c r="BS145" s="1"/>
  <c r="BT141"/>
  <c r="BS144" s="1"/>
  <c r="CA142"/>
  <c r="BZ145" s="1"/>
  <c r="CA141"/>
  <c r="BZ144" s="1"/>
  <c r="W141"/>
  <c r="V144" s="1"/>
  <c r="W142"/>
  <c r="V145" s="1"/>
  <c r="B256"/>
  <c r="B135"/>
  <c r="B118"/>
  <c r="B127"/>
  <c r="B120"/>
  <c r="B134"/>
  <c r="B125"/>
  <c r="I114"/>
  <c r="D16" s="1"/>
  <c r="B114"/>
  <c r="B115"/>
  <c r="B126"/>
  <c r="B117"/>
  <c r="B132"/>
  <c r="B116"/>
  <c r="I120"/>
  <c r="D22" s="1"/>
  <c r="B136"/>
  <c r="B119"/>
  <c r="B123"/>
  <c r="B122"/>
  <c r="B129"/>
  <c r="I116"/>
  <c r="D18" s="1"/>
  <c r="B124"/>
  <c r="B130"/>
  <c r="B128"/>
  <c r="B133"/>
  <c r="B121"/>
  <c r="B131"/>
  <c r="I125"/>
  <c r="D27" s="1"/>
  <c r="I113"/>
  <c r="I132"/>
  <c r="D34" s="1"/>
  <c r="I118"/>
  <c r="D20" s="1"/>
  <c r="I136"/>
  <c r="D38" s="1"/>
  <c r="I131"/>
  <c r="D33" s="1"/>
  <c r="I115"/>
  <c r="D17" s="1"/>
  <c r="I105"/>
  <c r="I135"/>
  <c r="D37" s="1"/>
  <c r="I111"/>
  <c r="I104"/>
  <c r="I121"/>
  <c r="D23" s="1"/>
  <c r="I124"/>
  <c r="D26" s="1"/>
  <c r="I127"/>
  <c r="D29" s="1"/>
  <c r="I130"/>
  <c r="D32" s="1"/>
  <c r="I112"/>
  <c r="I129"/>
  <c r="D31" s="1"/>
  <c r="I110"/>
  <c r="I107"/>
  <c r="I109"/>
  <c r="I119"/>
  <c r="D21" s="1"/>
  <c r="I126"/>
  <c r="D28" s="1"/>
  <c r="I106"/>
  <c r="I128"/>
  <c r="D30" s="1"/>
  <c r="I103"/>
  <c r="I122"/>
  <c r="D24" s="1"/>
  <c r="I123"/>
  <c r="D25" s="1"/>
  <c r="I134"/>
  <c r="D36" s="1"/>
  <c r="I108"/>
  <c r="I133"/>
  <c r="D35" s="1"/>
  <c r="I117"/>
  <c r="D19" s="1"/>
  <c r="G182"/>
  <c r="G183"/>
  <c r="G184" s="1"/>
  <c r="DI181"/>
  <c r="DI182"/>
  <c r="DI183" s="1"/>
  <c r="CU181"/>
  <c r="CU182"/>
  <c r="CU183" s="1"/>
  <c r="BL182"/>
  <c r="BL183" s="1"/>
  <c r="BL181"/>
  <c r="DB182"/>
  <c r="DB183" s="1"/>
  <c r="DB181"/>
  <c r="AR142"/>
  <c r="AQ145" s="1"/>
  <c r="AR141"/>
  <c r="AQ144" s="1"/>
  <c r="BM142"/>
  <c r="BL145" s="1"/>
  <c r="BM141"/>
  <c r="BL144" s="1"/>
  <c r="AK142"/>
  <c r="AJ145" s="1"/>
  <c r="AK141"/>
  <c r="AJ144" s="1"/>
  <c r="I177" l="1" a="1"/>
  <c r="I177" s="1"/>
  <c r="CW177"/>
  <c r="CX177" s="1"/>
  <c r="CW182"/>
  <c r="CX182" s="1"/>
  <c r="CW181"/>
  <c r="CX181" s="1"/>
  <c r="CW179"/>
  <c r="CX179" s="1"/>
  <c r="CW183"/>
  <c r="CX183" s="1"/>
  <c r="CW178"/>
  <c r="CW185"/>
  <c r="CX185" s="1"/>
  <c r="CW180"/>
  <c r="CX180" s="1"/>
  <c r="CW186"/>
  <c r="CX186" s="1"/>
  <c r="CW187"/>
  <c r="CX187" s="1"/>
  <c r="CW184"/>
  <c r="CX184" s="1"/>
  <c r="B203"/>
  <c r="B200"/>
  <c r="B210"/>
  <c r="B206"/>
  <c r="B208"/>
  <c r="B209"/>
  <c r="B205"/>
  <c r="B202"/>
  <c r="B207"/>
  <c r="B196"/>
  <c r="B190"/>
  <c r="I210"/>
  <c r="F38" s="1"/>
  <c r="I208"/>
  <c r="F36" s="1"/>
  <c r="I198"/>
  <c r="F26" s="1"/>
  <c r="B204"/>
  <c r="I186"/>
  <c r="B201"/>
  <c r="B191"/>
  <c r="I185"/>
  <c r="B194"/>
  <c r="B189"/>
  <c r="B198"/>
  <c r="I194"/>
  <c r="F22" s="1"/>
  <c r="I187"/>
  <c r="B195"/>
  <c r="I184"/>
  <c r="I203"/>
  <c r="F31" s="1"/>
  <c r="I183"/>
  <c r="I202"/>
  <c r="F30" s="1"/>
  <c r="B193"/>
  <c r="I207"/>
  <c r="F35" s="1"/>
  <c r="I181"/>
  <c r="I193"/>
  <c r="F21" s="1"/>
  <c r="I209"/>
  <c r="F37" s="1"/>
  <c r="I200"/>
  <c r="F28" s="1"/>
  <c r="I188"/>
  <c r="F16" s="1"/>
  <c r="I192"/>
  <c r="F20" s="1"/>
  <c r="I199"/>
  <c r="F27" s="1"/>
  <c r="B197"/>
  <c r="I206"/>
  <c r="F34" s="1"/>
  <c r="B199"/>
  <c r="B188"/>
  <c r="I180"/>
  <c r="I204"/>
  <c r="F32" s="1"/>
  <c r="I205"/>
  <c r="F33" s="1"/>
  <c r="I189"/>
  <c r="F17" s="1"/>
  <c r="I182"/>
  <c r="I197"/>
  <c r="F25" s="1"/>
  <c r="I191"/>
  <c r="F19" s="1"/>
  <c r="I190"/>
  <c r="F18" s="1"/>
  <c r="I178"/>
  <c r="I196"/>
  <c r="F24" s="1"/>
  <c r="I179"/>
  <c r="I201"/>
  <c r="F29" s="1"/>
  <c r="B192"/>
  <c r="I195"/>
  <c r="F23" s="1"/>
  <c r="D10"/>
  <c r="J108"/>
  <c r="K108"/>
  <c r="K103"/>
  <c r="J103"/>
  <c r="X142"/>
  <c r="Y142" s="1"/>
  <c r="X140"/>
  <c r="Y140" s="1"/>
  <c r="X141"/>
  <c r="X143"/>
  <c r="Y143" s="1"/>
  <c r="X146"/>
  <c r="Y146" s="1"/>
  <c r="X145"/>
  <c r="Y145" s="1"/>
  <c r="X144"/>
  <c r="Y144" s="1"/>
  <c r="X150"/>
  <c r="Y150" s="1"/>
  <c r="X148"/>
  <c r="Y148" s="1"/>
  <c r="X149"/>
  <c r="Y149" s="1"/>
  <c r="X147"/>
  <c r="Y147" s="1"/>
  <c r="Q181"/>
  <c r="R181" s="1"/>
  <c r="Q178"/>
  <c r="Q177"/>
  <c r="R177" s="1"/>
  <c r="Q180"/>
  <c r="R180" s="1"/>
  <c r="Q179"/>
  <c r="R179" s="1"/>
  <c r="Q186"/>
  <c r="R186" s="1"/>
  <c r="Q182"/>
  <c r="R182" s="1"/>
  <c r="Q183"/>
  <c r="R183" s="1"/>
  <c r="Q187"/>
  <c r="R187" s="1"/>
  <c r="Q185"/>
  <c r="R185" s="1"/>
  <c r="Q184"/>
  <c r="R184" s="1"/>
  <c r="AE144"/>
  <c r="AF144" s="1"/>
  <c r="AE143"/>
  <c r="AF143" s="1"/>
  <c r="AE140"/>
  <c r="AF140" s="1"/>
  <c r="AE146"/>
  <c r="AF146" s="1"/>
  <c r="AE142"/>
  <c r="AF142" s="1"/>
  <c r="AE148"/>
  <c r="AF148" s="1"/>
  <c r="AE141"/>
  <c r="AE145"/>
  <c r="AF145" s="1"/>
  <c r="AE150"/>
  <c r="AF150" s="1"/>
  <c r="AE149"/>
  <c r="AF149" s="1"/>
  <c r="AE147"/>
  <c r="AF147" s="1"/>
  <c r="BU183"/>
  <c r="BV183" s="1"/>
  <c r="BU177"/>
  <c r="BV177" s="1"/>
  <c r="BU181"/>
  <c r="BV181" s="1"/>
  <c r="BU178"/>
  <c r="BU179"/>
  <c r="BV179" s="1"/>
  <c r="BU185"/>
  <c r="BV185" s="1"/>
  <c r="BU182"/>
  <c r="BV182" s="1"/>
  <c r="BU186"/>
  <c r="BV186" s="1"/>
  <c r="BU187"/>
  <c r="BV187" s="1"/>
  <c r="BU180"/>
  <c r="BV180" s="1"/>
  <c r="BU184"/>
  <c r="BV184" s="1"/>
  <c r="DD180"/>
  <c r="DE180" s="1"/>
  <c r="DD178"/>
  <c r="DD183"/>
  <c r="DE183" s="1"/>
  <c r="DD182"/>
  <c r="DE182" s="1"/>
  <c r="DD181"/>
  <c r="DE181" s="1"/>
  <c r="DD186"/>
  <c r="DE186" s="1"/>
  <c r="DD177"/>
  <c r="DE177" s="1"/>
  <c r="DD187"/>
  <c r="DE187" s="1"/>
  <c r="DD179"/>
  <c r="DE179" s="1"/>
  <c r="DD185"/>
  <c r="DE185" s="1"/>
  <c r="DD184"/>
  <c r="DE184" s="1"/>
  <c r="D11"/>
  <c r="K109"/>
  <c r="J109"/>
  <c r="D14"/>
  <c r="J112"/>
  <c r="K112"/>
  <c r="D7"/>
  <c r="K105"/>
  <c r="J105"/>
  <c r="CB143"/>
  <c r="CC143" s="1"/>
  <c r="CB144"/>
  <c r="CC144" s="1"/>
  <c r="CB142"/>
  <c r="CC142" s="1"/>
  <c r="CB141"/>
  <c r="CB145"/>
  <c r="CC145" s="1"/>
  <c r="CB140"/>
  <c r="CC140" s="1"/>
  <c r="CB146"/>
  <c r="CC146" s="1"/>
  <c r="CB150"/>
  <c r="CC150" s="1"/>
  <c r="CB148"/>
  <c r="CC148" s="1"/>
  <c r="CB147"/>
  <c r="CC147" s="1"/>
  <c r="CB149"/>
  <c r="CC149" s="1"/>
  <c r="AL181"/>
  <c r="AM181" s="1"/>
  <c r="AL183"/>
  <c r="AM183" s="1"/>
  <c r="AL185"/>
  <c r="AM185" s="1"/>
  <c r="AL186"/>
  <c r="AM186" s="1"/>
  <c r="AL178"/>
  <c r="AL179"/>
  <c r="AM179" s="1"/>
  <c r="AL182"/>
  <c r="AM182" s="1"/>
  <c r="AL180"/>
  <c r="AM180" s="1"/>
  <c r="AL187"/>
  <c r="AM187" s="1"/>
  <c r="AL177"/>
  <c r="AM177" s="1"/>
  <c r="AL184"/>
  <c r="AM184" s="1"/>
  <c r="O229"/>
  <c r="O228"/>
  <c r="O263"/>
  <c r="U225"/>
  <c r="AA225" s="1"/>
  <c r="AG225" s="1"/>
  <c r="AM225" s="1"/>
  <c r="AS225" s="1"/>
  <c r="AY225" s="1"/>
  <c r="BE225" s="1"/>
  <c r="BK225" s="1"/>
  <c r="BG145"/>
  <c r="BH145" s="1"/>
  <c r="BG144"/>
  <c r="BH144" s="1"/>
  <c r="BG140"/>
  <c r="BH140" s="1"/>
  <c r="BG141"/>
  <c r="BG142"/>
  <c r="BH142" s="1"/>
  <c r="BG149"/>
  <c r="BH149" s="1"/>
  <c r="BG143"/>
  <c r="BH143" s="1"/>
  <c r="BG146"/>
  <c r="BH146" s="1"/>
  <c r="BG148"/>
  <c r="BH148" s="1"/>
  <c r="BG147"/>
  <c r="BH147" s="1"/>
  <c r="BG150"/>
  <c r="BH150" s="1"/>
  <c r="CI181"/>
  <c r="CJ181" s="1"/>
  <c r="CI179"/>
  <c r="CJ179" s="1"/>
  <c r="CI177"/>
  <c r="CJ177" s="1"/>
  <c r="CI182"/>
  <c r="CJ182" s="1"/>
  <c r="CI186"/>
  <c r="CJ186" s="1"/>
  <c r="CI178"/>
  <c r="CI185"/>
  <c r="CJ185" s="1"/>
  <c r="CI183"/>
  <c r="CJ183" s="1"/>
  <c r="CI187"/>
  <c r="CJ187" s="1"/>
  <c r="CI184"/>
  <c r="CJ184" s="1"/>
  <c r="CI180"/>
  <c r="CJ180" s="1"/>
  <c r="BG178"/>
  <c r="BG183"/>
  <c r="BH183" s="1"/>
  <c r="BG186"/>
  <c r="BH186" s="1"/>
  <c r="BG182"/>
  <c r="BH182" s="1"/>
  <c r="BG179"/>
  <c r="BH179" s="1"/>
  <c r="BG177"/>
  <c r="BH177" s="1"/>
  <c r="BG180"/>
  <c r="BH180" s="1"/>
  <c r="BG185"/>
  <c r="BH185" s="1"/>
  <c r="BG187"/>
  <c r="BH187" s="1"/>
  <c r="BG184"/>
  <c r="BH184" s="1"/>
  <c r="BG181"/>
  <c r="BH181" s="1"/>
  <c r="Q142"/>
  <c r="R142" s="1"/>
  <c r="Q146"/>
  <c r="R146" s="1"/>
  <c r="Q150"/>
  <c r="R150" s="1"/>
  <c r="Q141"/>
  <c r="Q144"/>
  <c r="R144" s="1"/>
  <c r="Q143"/>
  <c r="R143" s="1"/>
  <c r="Q145"/>
  <c r="R145" s="1"/>
  <c r="Q140"/>
  <c r="R140" s="1"/>
  <c r="Q148"/>
  <c r="R148" s="1"/>
  <c r="Q149"/>
  <c r="R149" s="1"/>
  <c r="Q147"/>
  <c r="R147" s="1"/>
  <c r="AL143"/>
  <c r="AM143" s="1"/>
  <c r="AL144"/>
  <c r="AM144" s="1"/>
  <c r="AL145"/>
  <c r="AM145" s="1"/>
  <c r="AL141"/>
  <c r="AL146"/>
  <c r="AM146" s="1"/>
  <c r="AL142"/>
  <c r="AM142" s="1"/>
  <c r="AL140"/>
  <c r="AM140" s="1"/>
  <c r="AL148"/>
  <c r="AM148" s="1"/>
  <c r="AL150"/>
  <c r="AM150" s="1"/>
  <c r="AL149"/>
  <c r="AM149" s="1"/>
  <c r="AL147"/>
  <c r="AM147" s="1"/>
  <c r="AS146"/>
  <c r="AT146" s="1"/>
  <c r="AS144"/>
  <c r="AT144" s="1"/>
  <c r="AS143"/>
  <c r="AT143" s="1"/>
  <c r="AS142"/>
  <c r="AT142" s="1"/>
  <c r="AS141"/>
  <c r="AS145"/>
  <c r="AT145" s="1"/>
  <c r="AS148"/>
  <c r="AT148" s="1"/>
  <c r="AS140"/>
  <c r="AT140" s="1"/>
  <c r="AS150"/>
  <c r="AT150" s="1"/>
  <c r="AS149"/>
  <c r="AT149" s="1"/>
  <c r="AS147"/>
  <c r="AT147" s="1"/>
  <c r="DK180"/>
  <c r="DL180" s="1"/>
  <c r="DK181"/>
  <c r="DL181" s="1"/>
  <c r="DK178"/>
  <c r="DK182"/>
  <c r="DL182" s="1"/>
  <c r="DK177"/>
  <c r="DL177" s="1"/>
  <c r="DK179"/>
  <c r="DL179" s="1"/>
  <c r="DK183"/>
  <c r="DL183" s="1"/>
  <c r="DK186"/>
  <c r="DL186" s="1"/>
  <c r="DK184"/>
  <c r="DL184" s="1"/>
  <c r="DK185"/>
  <c r="DL185" s="1"/>
  <c r="DK187"/>
  <c r="DL187" s="1"/>
  <c r="D8"/>
  <c r="K106"/>
  <c r="J106"/>
  <c r="D9"/>
  <c r="J107"/>
  <c r="K107"/>
  <c r="D6"/>
  <c r="I102"/>
  <c r="G119" s="1"/>
  <c r="D40" s="1"/>
  <c r="K104"/>
  <c r="J104"/>
  <c r="B168"/>
  <c r="B158"/>
  <c r="B169"/>
  <c r="B173"/>
  <c r="B151"/>
  <c r="B166"/>
  <c r="B159"/>
  <c r="B167"/>
  <c r="B160"/>
  <c r="B171"/>
  <c r="B172"/>
  <c r="B155"/>
  <c r="B170"/>
  <c r="B164"/>
  <c r="B163"/>
  <c r="B154"/>
  <c r="B156"/>
  <c r="I154"/>
  <c r="E19" s="1"/>
  <c r="B157"/>
  <c r="B152"/>
  <c r="I158"/>
  <c r="E23" s="1"/>
  <c r="I148"/>
  <c r="I166"/>
  <c r="E31" s="1"/>
  <c r="I150"/>
  <c r="I141"/>
  <c r="I172"/>
  <c r="E37" s="1"/>
  <c r="B162"/>
  <c r="I149"/>
  <c r="I163"/>
  <c r="E28" s="1"/>
  <c r="I162"/>
  <c r="E27" s="1"/>
  <c r="I159"/>
  <c r="E24" s="1"/>
  <c r="I147"/>
  <c r="B153"/>
  <c r="I169"/>
  <c r="E34" s="1"/>
  <c r="I164"/>
  <c r="E29" s="1"/>
  <c r="B165"/>
  <c r="I151"/>
  <c r="E16" s="1"/>
  <c r="I143"/>
  <c r="I142"/>
  <c r="I140"/>
  <c r="B161"/>
  <c r="I156"/>
  <c r="E21" s="1"/>
  <c r="I170"/>
  <c r="E35" s="1"/>
  <c r="H4" i="112" s="1"/>
  <c r="I160" i="97"/>
  <c r="E25" s="1"/>
  <c r="F4" i="112" s="1"/>
  <c r="I146" i="97"/>
  <c r="I168"/>
  <c r="E33" s="1"/>
  <c r="I155"/>
  <c r="E20" s="1"/>
  <c r="E4" i="112" s="1"/>
  <c r="I161" i="97"/>
  <c r="E26" s="1"/>
  <c r="I153"/>
  <c r="E18" s="1"/>
  <c r="I144"/>
  <c r="I152"/>
  <c r="E17" s="1"/>
  <c r="I173"/>
  <c r="E38" s="1"/>
  <c r="I167"/>
  <c r="E32" s="1"/>
  <c r="I171"/>
  <c r="E36" s="1"/>
  <c r="I145"/>
  <c r="I157"/>
  <c r="E22" s="1"/>
  <c r="I165"/>
  <c r="E30" s="1"/>
  <c r="G4" i="112" s="1"/>
  <c r="O216" i="97"/>
  <c r="O253"/>
  <c r="CB183"/>
  <c r="CC183" s="1"/>
  <c r="CB180"/>
  <c r="CC180" s="1"/>
  <c r="CB181"/>
  <c r="CC181" s="1"/>
  <c r="CB177"/>
  <c r="CC177" s="1"/>
  <c r="CB178"/>
  <c r="CB185"/>
  <c r="CC185" s="1"/>
  <c r="CB179"/>
  <c r="CC179" s="1"/>
  <c r="CB186"/>
  <c r="CC186" s="1"/>
  <c r="CB182"/>
  <c r="CC182" s="1"/>
  <c r="CB187"/>
  <c r="CC187" s="1"/>
  <c r="CB184"/>
  <c r="CC184" s="1"/>
  <c r="DR183"/>
  <c r="DS183" s="1"/>
  <c r="DR178"/>
  <c r="DR180"/>
  <c r="DS180" s="1"/>
  <c r="DR177"/>
  <c r="DS177" s="1"/>
  <c r="DR179"/>
  <c r="DS179" s="1"/>
  <c r="DR185"/>
  <c r="DS185" s="1"/>
  <c r="DR187"/>
  <c r="DS187" s="1"/>
  <c r="DR181"/>
  <c r="DS181" s="1"/>
  <c r="DR184"/>
  <c r="DS184" s="1"/>
  <c r="DR186"/>
  <c r="DS186" s="1"/>
  <c r="DR182"/>
  <c r="DS182" s="1"/>
  <c r="BN143"/>
  <c r="BO143" s="1"/>
  <c r="BN145"/>
  <c r="BO145" s="1"/>
  <c r="BN140"/>
  <c r="BO140" s="1"/>
  <c r="BN142"/>
  <c r="BO142" s="1"/>
  <c r="BN146"/>
  <c r="BO146" s="1"/>
  <c r="BN144"/>
  <c r="BO144" s="1"/>
  <c r="BN149"/>
  <c r="BO149" s="1"/>
  <c r="BN141"/>
  <c r="BN150"/>
  <c r="BO150" s="1"/>
  <c r="BN147"/>
  <c r="BO147" s="1"/>
  <c r="BN148"/>
  <c r="BO148" s="1"/>
  <c r="BN178"/>
  <c r="BN177"/>
  <c r="BO177" s="1"/>
  <c r="BN179"/>
  <c r="BO179" s="1"/>
  <c r="BN182"/>
  <c r="BO182" s="1"/>
  <c r="BN181"/>
  <c r="BO181" s="1"/>
  <c r="BN183"/>
  <c r="BO183" s="1"/>
  <c r="BN180"/>
  <c r="BO180" s="1"/>
  <c r="BN187"/>
  <c r="BO187" s="1"/>
  <c r="BN186"/>
  <c r="BO186" s="1"/>
  <c r="BN185"/>
  <c r="BO185" s="1"/>
  <c r="BN184"/>
  <c r="BO184" s="1"/>
  <c r="D12"/>
  <c r="K110"/>
  <c r="J110"/>
  <c r="J111"/>
  <c r="D13"/>
  <c r="K111"/>
  <c r="D15"/>
  <c r="K113"/>
  <c r="J113"/>
  <c r="BU140"/>
  <c r="BV140" s="1"/>
  <c r="BU145"/>
  <c r="BV145" s="1"/>
  <c r="BU141"/>
  <c r="BU143"/>
  <c r="BV143" s="1"/>
  <c r="BU146"/>
  <c r="BV146" s="1"/>
  <c r="BU142"/>
  <c r="BV142" s="1"/>
  <c r="BU150"/>
  <c r="BV150" s="1"/>
  <c r="BU149"/>
  <c r="BV149" s="1"/>
  <c r="BU144"/>
  <c r="BV144" s="1"/>
  <c r="BU147"/>
  <c r="BV147" s="1"/>
  <c r="BU148"/>
  <c r="BV148" s="1"/>
  <c r="AZ142"/>
  <c r="BA142" s="1"/>
  <c r="AZ146"/>
  <c r="BA146" s="1"/>
  <c r="AZ144"/>
  <c r="BA144" s="1"/>
  <c r="AZ141"/>
  <c r="AZ145"/>
  <c r="BA145" s="1"/>
  <c r="AZ143"/>
  <c r="BA143" s="1"/>
  <c r="AZ140"/>
  <c r="BA140" s="1"/>
  <c r="AZ148"/>
  <c r="BA148" s="1"/>
  <c r="AZ150"/>
  <c r="BA150" s="1"/>
  <c r="AZ149"/>
  <c r="BA149" s="1"/>
  <c r="AZ147"/>
  <c r="BA147" s="1"/>
  <c r="AS179"/>
  <c r="AT179" s="1"/>
  <c r="AS180"/>
  <c r="AT180" s="1"/>
  <c r="AS182"/>
  <c r="AT182" s="1"/>
  <c r="AS183"/>
  <c r="AT183" s="1"/>
  <c r="AS178"/>
  <c r="AS181"/>
  <c r="AT181" s="1"/>
  <c r="AS187"/>
  <c r="AT187" s="1"/>
  <c r="AS186"/>
  <c r="AT186" s="1"/>
  <c r="AS177"/>
  <c r="AT177" s="1"/>
  <c r="AS185"/>
  <c r="AT185" s="1"/>
  <c r="AS184"/>
  <c r="AT184" s="1"/>
  <c r="AZ179"/>
  <c r="BA179" s="1"/>
  <c r="AZ180"/>
  <c r="BA180" s="1"/>
  <c r="AZ177"/>
  <c r="BA177" s="1"/>
  <c r="AZ181"/>
  <c r="BA181" s="1"/>
  <c r="AZ183"/>
  <c r="BA183" s="1"/>
  <c r="AZ185"/>
  <c r="BA185" s="1"/>
  <c r="AZ178"/>
  <c r="AZ187"/>
  <c r="BA187" s="1"/>
  <c r="AZ186"/>
  <c r="BA186" s="1"/>
  <c r="AZ182"/>
  <c r="BA182" s="1"/>
  <c r="AZ184"/>
  <c r="BA184" s="1"/>
  <c r="AE183"/>
  <c r="AF183" s="1"/>
  <c r="AE186"/>
  <c r="AF186" s="1"/>
  <c r="AE181"/>
  <c r="AF181" s="1"/>
  <c r="AE179"/>
  <c r="AF179" s="1"/>
  <c r="AE178"/>
  <c r="AE180"/>
  <c r="AF180" s="1"/>
  <c r="AE185"/>
  <c r="AF185" s="1"/>
  <c r="AE182"/>
  <c r="AF182" s="1"/>
  <c r="AE177"/>
  <c r="AF177" s="1"/>
  <c r="AE187"/>
  <c r="AF187" s="1"/>
  <c r="AE184"/>
  <c r="AF184" s="1"/>
  <c r="CP183"/>
  <c r="CQ183" s="1"/>
  <c r="CP182"/>
  <c r="CQ182" s="1"/>
  <c r="CP179"/>
  <c r="CQ179" s="1"/>
  <c r="CP177"/>
  <c r="CQ177" s="1"/>
  <c r="CP180"/>
  <c r="CQ180" s="1"/>
  <c r="CP181"/>
  <c r="CQ181" s="1"/>
  <c r="CP178"/>
  <c r="CP187"/>
  <c r="CQ187" s="1"/>
  <c r="CP185"/>
  <c r="CQ185" s="1"/>
  <c r="CP186"/>
  <c r="CQ186" s="1"/>
  <c r="CP184"/>
  <c r="CQ184" s="1"/>
  <c r="X177"/>
  <c r="Y177" s="1"/>
  <c r="X183"/>
  <c r="Y183" s="1"/>
  <c r="X180"/>
  <c r="Y180" s="1"/>
  <c r="X181"/>
  <c r="Y181" s="1"/>
  <c r="X179"/>
  <c r="Y179" s="1"/>
  <c r="X187"/>
  <c r="Y187" s="1"/>
  <c r="X178"/>
  <c r="X186"/>
  <c r="Y186" s="1"/>
  <c r="X184"/>
  <c r="Y184" s="1"/>
  <c r="X185"/>
  <c r="Y185" s="1"/>
  <c r="X182"/>
  <c r="Y182" s="1"/>
  <c r="K177" l="1"/>
  <c r="J177"/>
  <c r="AE176"/>
  <c r="AC185" s="1"/>
  <c r="G196" s="1"/>
  <c r="AF178"/>
  <c r="AC186" s="1"/>
  <c r="H196" s="1"/>
  <c r="DR176"/>
  <c r="DP185" s="1"/>
  <c r="G209" s="1"/>
  <c r="DS178"/>
  <c r="DP186" s="1"/>
  <c r="H209" s="1"/>
  <c r="CB176"/>
  <c r="BZ185" s="1"/>
  <c r="G203" s="1"/>
  <c r="CC178"/>
  <c r="BZ186" s="1"/>
  <c r="H203" s="1"/>
  <c r="K140"/>
  <c r="J140"/>
  <c r="K147"/>
  <c r="E12"/>
  <c r="J147"/>
  <c r="K149"/>
  <c r="E14"/>
  <c r="J149"/>
  <c r="J150"/>
  <c r="E15"/>
  <c r="K150"/>
  <c r="G121"/>
  <c r="D42" s="1"/>
  <c r="AL176"/>
  <c r="AJ185" s="1"/>
  <c r="G197" s="1"/>
  <c r="AM178"/>
  <c r="AJ186" s="1"/>
  <c r="H197" s="1"/>
  <c r="CB139"/>
  <c r="BZ147" s="1"/>
  <c r="CC141"/>
  <c r="BZ148" s="1"/>
  <c r="X139"/>
  <c r="V147" s="1"/>
  <c r="F160" s="1"/>
  <c r="Y141"/>
  <c r="V148" s="1"/>
  <c r="G160" s="1"/>
  <c r="F7"/>
  <c r="J179"/>
  <c r="K179"/>
  <c r="K199"/>
  <c r="J199"/>
  <c r="J195"/>
  <c r="K195"/>
  <c r="J189"/>
  <c r="K189"/>
  <c r="X176"/>
  <c r="V185" s="1"/>
  <c r="G195" s="1"/>
  <c r="Y178"/>
  <c r="V186" s="1"/>
  <c r="H195" s="1"/>
  <c r="AZ176"/>
  <c r="AX185" s="1"/>
  <c r="G199" s="1"/>
  <c r="BA178"/>
  <c r="AX186" s="1"/>
  <c r="H199" s="1"/>
  <c r="M259"/>
  <c r="M251"/>
  <c r="M258"/>
  <c r="M257"/>
  <c r="M261"/>
  <c r="M255"/>
  <c r="BY134"/>
  <c r="M253"/>
  <c r="M260"/>
  <c r="E271"/>
  <c r="M254"/>
  <c r="M256"/>
  <c r="M252"/>
  <c r="U253"/>
  <c r="E10"/>
  <c r="K145"/>
  <c r="J145"/>
  <c r="E7"/>
  <c r="K142"/>
  <c r="J142"/>
  <c r="G120"/>
  <c r="D41" s="1"/>
  <c r="Q139"/>
  <c r="O147" s="1"/>
  <c r="F159" s="1"/>
  <c r="R141"/>
  <c r="O148" s="1"/>
  <c r="G159" s="1"/>
  <c r="CI176"/>
  <c r="CG185" s="1"/>
  <c r="G204" s="1"/>
  <c r="CJ178"/>
  <c r="CG186" s="1"/>
  <c r="H204" s="1"/>
  <c r="F9"/>
  <c r="K181"/>
  <c r="J181"/>
  <c r="F11"/>
  <c r="J183"/>
  <c r="K183"/>
  <c r="K187"/>
  <c r="F15"/>
  <c r="J187"/>
  <c r="J194"/>
  <c r="K194"/>
  <c r="K186"/>
  <c r="J186"/>
  <c r="F14"/>
  <c r="AS176"/>
  <c r="AQ185" s="1"/>
  <c r="G198" s="1"/>
  <c r="AT178"/>
  <c r="AQ186" s="1"/>
  <c r="H198" s="1"/>
  <c r="AZ139"/>
  <c r="AX147" s="1"/>
  <c r="F164" s="1"/>
  <c r="BA141"/>
  <c r="AX148" s="1"/>
  <c r="G164" s="1"/>
  <c r="BU139"/>
  <c r="BS147" s="1"/>
  <c r="F167" s="1"/>
  <c r="BV141"/>
  <c r="BS148" s="1"/>
  <c r="G167" s="1"/>
  <c r="M216"/>
  <c r="M221"/>
  <c r="M219"/>
  <c r="M223"/>
  <c r="M214"/>
  <c r="M224"/>
  <c r="M218"/>
  <c r="M215"/>
  <c r="M222"/>
  <c r="M217"/>
  <c r="M220"/>
  <c r="U216"/>
  <c r="E234"/>
  <c r="E9"/>
  <c r="K144"/>
  <c r="J144"/>
  <c r="E8"/>
  <c r="J143"/>
  <c r="K143"/>
  <c r="E13"/>
  <c r="K148"/>
  <c r="J148"/>
  <c r="DK176"/>
  <c r="DI185" s="1"/>
  <c r="G208" s="1"/>
  <c r="DL178"/>
  <c r="DI186" s="1"/>
  <c r="H208" s="1"/>
  <c r="BG139"/>
  <c r="BE147" s="1"/>
  <c r="F165" s="1"/>
  <c r="BH141"/>
  <c r="BE148" s="1"/>
  <c r="G165" s="1"/>
  <c r="DD176"/>
  <c r="DB185" s="1"/>
  <c r="G207" s="1"/>
  <c r="DE178"/>
  <c r="DB186" s="1"/>
  <c r="H207" s="1"/>
  <c r="Q176"/>
  <c r="O185" s="1"/>
  <c r="G194" s="1"/>
  <c r="R178"/>
  <c r="O186" s="1"/>
  <c r="H194" s="1"/>
  <c r="G122"/>
  <c r="D43" s="1"/>
  <c r="K192"/>
  <c r="J192"/>
  <c r="F6"/>
  <c r="I176"/>
  <c r="H188" s="1"/>
  <c r="F40" s="1"/>
  <c r="J178"/>
  <c r="K178"/>
  <c r="F10"/>
  <c r="K182"/>
  <c r="J182"/>
  <c r="F8"/>
  <c r="J180"/>
  <c r="K180"/>
  <c r="K197"/>
  <c r="J197"/>
  <c r="J185"/>
  <c r="K185"/>
  <c r="F13"/>
  <c r="K190"/>
  <c r="J190"/>
  <c r="CW176"/>
  <c r="CU185" s="1"/>
  <c r="G206" s="1"/>
  <c r="CX178"/>
  <c r="CU186" s="1"/>
  <c r="H206" s="1"/>
  <c r="CP176"/>
  <c r="CN185" s="1"/>
  <c r="G205" s="1"/>
  <c r="CQ178"/>
  <c r="CN186" s="1"/>
  <c r="H205" s="1"/>
  <c r="BN176"/>
  <c r="BL185" s="1"/>
  <c r="G201" s="1"/>
  <c r="BO178"/>
  <c r="BL186" s="1"/>
  <c r="H201" s="1"/>
  <c r="BN139"/>
  <c r="BL147" s="1"/>
  <c r="F166" s="1"/>
  <c r="BO141"/>
  <c r="BL148" s="1"/>
  <c r="G166" s="1"/>
  <c r="E11"/>
  <c r="K146"/>
  <c r="J146"/>
  <c r="E6"/>
  <c r="I139"/>
  <c r="G151" s="1"/>
  <c r="E40" s="1"/>
  <c r="J141"/>
  <c r="K141"/>
  <c r="AS139"/>
  <c r="AQ147" s="1"/>
  <c r="F163" s="1"/>
  <c r="AT141"/>
  <c r="AQ148" s="1"/>
  <c r="G163" s="1"/>
  <c r="AL139"/>
  <c r="AJ147" s="1"/>
  <c r="F162" s="1"/>
  <c r="AM141"/>
  <c r="AJ148" s="1"/>
  <c r="G162" s="1"/>
  <c r="BG176"/>
  <c r="BE185" s="1"/>
  <c r="G200" s="1"/>
  <c r="BH178"/>
  <c r="BE186" s="1"/>
  <c r="H200" s="1"/>
  <c r="U263"/>
  <c r="AA263" s="1"/>
  <c r="AG263" s="1"/>
  <c r="AM263" s="1"/>
  <c r="AS263" s="1"/>
  <c r="AY263" s="1"/>
  <c r="BE263" s="1"/>
  <c r="BK263" s="1"/>
  <c r="O262"/>
  <c r="U262" s="1"/>
  <c r="AA262" s="1"/>
  <c r="AG262" s="1"/>
  <c r="AM262" s="1"/>
  <c r="AS262" s="1"/>
  <c r="AY262" s="1"/>
  <c r="BE262" s="1"/>
  <c r="BK262" s="1"/>
  <c r="BU176"/>
  <c r="BS185" s="1"/>
  <c r="G202" s="1"/>
  <c r="BV178"/>
  <c r="BS186" s="1"/>
  <c r="H202" s="1"/>
  <c r="AE139"/>
  <c r="AC147" s="1"/>
  <c r="F161" s="1"/>
  <c r="AF141"/>
  <c r="AC148" s="1"/>
  <c r="G161" s="1"/>
  <c r="G123"/>
  <c r="D44" s="1"/>
  <c r="K188"/>
  <c r="J188"/>
  <c r="J193"/>
  <c r="K193"/>
  <c r="K184"/>
  <c r="F12"/>
  <c r="J184"/>
  <c r="J198"/>
  <c r="K198"/>
  <c r="J191"/>
  <c r="K191"/>
  <c r="K196"/>
  <c r="J196"/>
  <c r="G152" l="1"/>
  <c r="E41" s="1"/>
  <c r="O219"/>
  <c r="O221" s="1"/>
  <c r="O220"/>
  <c r="H189"/>
  <c r="F41" s="1"/>
  <c r="S221"/>
  <c r="S220"/>
  <c r="S218"/>
  <c r="S222"/>
  <c r="S216"/>
  <c r="E235"/>
  <c r="S223"/>
  <c r="S224"/>
  <c r="S219"/>
  <c r="S214"/>
  <c r="S217"/>
  <c r="S215"/>
  <c r="AA216"/>
  <c r="S251"/>
  <c r="S253"/>
  <c r="S259"/>
  <c r="S258"/>
  <c r="S260"/>
  <c r="S255"/>
  <c r="S257"/>
  <c r="S261"/>
  <c r="S256"/>
  <c r="S254"/>
  <c r="AA253"/>
  <c r="S252"/>
  <c r="E272"/>
  <c r="O254"/>
  <c r="O256" s="1"/>
  <c r="O255"/>
  <c r="O257" s="1"/>
  <c r="G153"/>
  <c r="E42" s="1"/>
  <c r="H192"/>
  <c r="F44" s="1"/>
  <c r="H190"/>
  <c r="F42" s="1"/>
  <c r="G155"/>
  <c r="E44" s="1"/>
  <c r="H191"/>
  <c r="F43" s="1"/>
  <c r="G154"/>
  <c r="E43" s="1"/>
  <c r="Y220" l="1"/>
  <c r="Y222"/>
  <c r="Y217"/>
  <c r="Y219"/>
  <c r="E236"/>
  <c r="Y223"/>
  <c r="Y221"/>
  <c r="Y224"/>
  <c r="Y216"/>
  <c r="Y218"/>
  <c r="Y214"/>
  <c r="Y215"/>
  <c r="AG216"/>
  <c r="U254"/>
  <c r="U256" s="1"/>
  <c r="U255"/>
  <c r="U257" s="1"/>
  <c r="U220"/>
  <c r="U219"/>
  <c r="U221" s="1"/>
  <c r="P216"/>
  <c r="Q216" s="1"/>
  <c r="P215"/>
  <c r="P223"/>
  <c r="Q223" s="1"/>
  <c r="P221"/>
  <c r="Q221" s="1"/>
  <c r="P218"/>
  <c r="Q218" s="1"/>
  <c r="P217"/>
  <c r="Q217" s="1"/>
  <c r="P214"/>
  <c r="Q214" s="1"/>
  <c r="P219"/>
  <c r="Q219" s="1"/>
  <c r="P220"/>
  <c r="Q220" s="1"/>
  <c r="P222"/>
  <c r="Q222" s="1"/>
  <c r="P224"/>
  <c r="Q224" s="1"/>
  <c r="P257"/>
  <c r="Q257" s="1"/>
  <c r="P260"/>
  <c r="Q260" s="1"/>
  <c r="P254"/>
  <c r="Q254" s="1"/>
  <c r="P255"/>
  <c r="Q255" s="1"/>
  <c r="P261"/>
  <c r="Q261" s="1"/>
  <c r="P258"/>
  <c r="Q258" s="1"/>
  <c r="P256"/>
  <c r="Q256" s="1"/>
  <c r="P253"/>
  <c r="Q253" s="1"/>
  <c r="P251"/>
  <c r="Q251" s="1"/>
  <c r="P252"/>
  <c r="P259"/>
  <c r="Q259" s="1"/>
  <c r="Y254"/>
  <c r="E273"/>
  <c r="Y255"/>
  <c r="Y259"/>
  <c r="Y251"/>
  <c r="Y253"/>
  <c r="Y261"/>
  <c r="Y256"/>
  <c r="Y258"/>
  <c r="Y257"/>
  <c r="Y260"/>
  <c r="Y252"/>
  <c r="AG253"/>
  <c r="AA255" l="1"/>
  <c r="AA257" s="1"/>
  <c r="AA254"/>
  <c r="AA256" s="1"/>
  <c r="P213"/>
  <c r="O222" s="1"/>
  <c r="F234" s="1"/>
  <c r="Q215"/>
  <c r="O223" s="1"/>
  <c r="G234" s="1"/>
  <c r="AA220"/>
  <c r="AA219"/>
  <c r="AA221" s="1"/>
  <c r="AE251"/>
  <c r="AE257"/>
  <c r="AE254"/>
  <c r="AE255"/>
  <c r="AE256"/>
  <c r="AE260"/>
  <c r="E274"/>
  <c r="AE259"/>
  <c r="AE253"/>
  <c r="AE261"/>
  <c r="AE258"/>
  <c r="AE252"/>
  <c r="AM253"/>
  <c r="P250"/>
  <c r="O258" s="1"/>
  <c r="F271" s="1"/>
  <c r="Q252"/>
  <c r="O259" s="1"/>
  <c r="G271" s="1"/>
  <c r="V253"/>
  <c r="W253" s="1"/>
  <c r="V252"/>
  <c r="V261"/>
  <c r="W261" s="1"/>
  <c r="V259"/>
  <c r="W259" s="1"/>
  <c r="V257"/>
  <c r="W257" s="1"/>
  <c r="V254"/>
  <c r="W254" s="1"/>
  <c r="V260"/>
  <c r="W260" s="1"/>
  <c r="V251"/>
  <c r="W251" s="1"/>
  <c r="V255"/>
  <c r="W255" s="1"/>
  <c r="V258"/>
  <c r="W258" s="1"/>
  <c r="V256"/>
  <c r="W256" s="1"/>
  <c r="AE216"/>
  <c r="AE219"/>
  <c r="AE222"/>
  <c r="AE217"/>
  <c r="AE223"/>
  <c r="AE218"/>
  <c r="E237"/>
  <c r="AE221"/>
  <c r="AE220"/>
  <c r="AE214"/>
  <c r="AE224"/>
  <c r="AE215"/>
  <c r="AM216"/>
  <c r="V215"/>
  <c r="V219"/>
  <c r="W219" s="1"/>
  <c r="V217"/>
  <c r="W217" s="1"/>
  <c r="V224"/>
  <c r="W224" s="1"/>
  <c r="V216"/>
  <c r="W216" s="1"/>
  <c r="V223"/>
  <c r="W223" s="1"/>
  <c r="V214"/>
  <c r="W214" s="1"/>
  <c r="V221"/>
  <c r="W221" s="1"/>
  <c r="V218"/>
  <c r="W218" s="1"/>
  <c r="V220"/>
  <c r="W220" s="1"/>
  <c r="V222"/>
  <c r="W222" s="1"/>
  <c r="V250" l="1"/>
  <c r="U258" s="1"/>
  <c r="F272" s="1"/>
  <c r="W252"/>
  <c r="U259" s="1"/>
  <c r="G272" s="1"/>
  <c r="AK251"/>
  <c r="AK260"/>
  <c r="AK258"/>
  <c r="AK254"/>
  <c r="E275"/>
  <c r="AK255"/>
  <c r="AK257"/>
  <c r="AK256"/>
  <c r="AK253"/>
  <c r="AK259"/>
  <c r="AK252"/>
  <c r="AK261"/>
  <c r="AS253"/>
  <c r="AG220"/>
  <c r="AG219"/>
  <c r="AG221" s="1"/>
  <c r="AB220"/>
  <c r="AC220" s="1"/>
  <c r="AB217"/>
  <c r="AC217" s="1"/>
  <c r="AB214"/>
  <c r="AC214" s="1"/>
  <c r="AB215"/>
  <c r="AB221"/>
  <c r="AC221" s="1"/>
  <c r="AB224"/>
  <c r="AC224" s="1"/>
  <c r="AB223"/>
  <c r="AC223" s="1"/>
  <c r="AB216"/>
  <c r="AC216" s="1"/>
  <c r="AB222"/>
  <c r="AC222" s="1"/>
  <c r="AB218"/>
  <c r="AC218" s="1"/>
  <c r="AB219"/>
  <c r="AC219" s="1"/>
  <c r="V213"/>
  <c r="U222" s="1"/>
  <c r="F235" s="1"/>
  <c r="W215"/>
  <c r="U223" s="1"/>
  <c r="G235" s="1"/>
  <c r="AG254"/>
  <c r="AG256" s="1"/>
  <c r="AG255"/>
  <c r="AG257" s="1"/>
  <c r="AB261"/>
  <c r="AC261" s="1"/>
  <c r="AB254"/>
  <c r="AC254" s="1"/>
  <c r="AB257"/>
  <c r="AC257" s="1"/>
  <c r="AB255"/>
  <c r="AC255" s="1"/>
  <c r="AB251"/>
  <c r="AC251" s="1"/>
  <c r="AB256"/>
  <c r="AC256" s="1"/>
  <c r="AB259"/>
  <c r="AC259" s="1"/>
  <c r="AB260"/>
  <c r="AC260" s="1"/>
  <c r="AB258"/>
  <c r="AC258" s="1"/>
  <c r="AB253"/>
  <c r="AC253" s="1"/>
  <c r="AB252"/>
  <c r="AK216"/>
  <c r="AK219"/>
  <c r="AK224"/>
  <c r="E238"/>
  <c r="AK222"/>
  <c r="AK218"/>
  <c r="AK220"/>
  <c r="AK223"/>
  <c r="AK221"/>
  <c r="AK215"/>
  <c r="AK217"/>
  <c r="AK214"/>
  <c r="AS216"/>
  <c r="AQ216" l="1"/>
  <c r="AQ219"/>
  <c r="AQ218"/>
  <c r="AQ217"/>
  <c r="AQ224"/>
  <c r="AQ221"/>
  <c r="AQ214"/>
  <c r="AQ220"/>
  <c r="AQ222"/>
  <c r="AQ223"/>
  <c r="E239"/>
  <c r="AQ215"/>
  <c r="AY216"/>
  <c r="AB250"/>
  <c r="AA258" s="1"/>
  <c r="F273" s="1"/>
  <c r="AC252"/>
  <c r="AA259" s="1"/>
  <c r="G273" s="1"/>
  <c r="AH257"/>
  <c r="AI257" s="1"/>
  <c r="AH253"/>
  <c r="AI253" s="1"/>
  <c r="AH259"/>
  <c r="AI259" s="1"/>
  <c r="AH261"/>
  <c r="AI261" s="1"/>
  <c r="AH256"/>
  <c r="AI256" s="1"/>
  <c r="AH252"/>
  <c r="AH260"/>
  <c r="AI260" s="1"/>
  <c r="AH258"/>
  <c r="AI258" s="1"/>
  <c r="AH255"/>
  <c r="AI255" s="1"/>
  <c r="AH251"/>
  <c r="AI251" s="1"/>
  <c r="AH254"/>
  <c r="AI254" s="1"/>
  <c r="AQ259"/>
  <c r="AQ251"/>
  <c r="E276"/>
  <c r="AQ258"/>
  <c r="AQ257"/>
  <c r="AQ255"/>
  <c r="AQ260"/>
  <c r="AQ261"/>
  <c r="AQ254"/>
  <c r="AQ253"/>
  <c r="AQ252"/>
  <c r="AQ256"/>
  <c r="AY253"/>
  <c r="AM254"/>
  <c r="AM256" s="1"/>
  <c r="AM255"/>
  <c r="AM257" s="1"/>
  <c r="AM219"/>
  <c r="AM221" s="1"/>
  <c r="AM220"/>
  <c r="AB213"/>
  <c r="AA222" s="1"/>
  <c r="F236" s="1"/>
  <c r="AC215"/>
  <c r="AA223" s="1"/>
  <c r="G236" s="1"/>
  <c r="AH216"/>
  <c r="AI216" s="1"/>
  <c r="AH218"/>
  <c r="AI218" s="1"/>
  <c r="AH220"/>
  <c r="AI220" s="1"/>
  <c r="AH224"/>
  <c r="AI224" s="1"/>
  <c r="AH219"/>
  <c r="AI219" s="1"/>
  <c r="AH222"/>
  <c r="AI222" s="1"/>
  <c r="AH217"/>
  <c r="AI217" s="1"/>
  <c r="AH214"/>
  <c r="AI214" s="1"/>
  <c r="AH223"/>
  <c r="AI223" s="1"/>
  <c r="AH221"/>
  <c r="AI221" s="1"/>
  <c r="AH215"/>
  <c r="AH213" l="1"/>
  <c r="AG222" s="1"/>
  <c r="F237" s="1"/>
  <c r="AI215"/>
  <c r="AG223" s="1"/>
  <c r="G237" s="1"/>
  <c r="AW259"/>
  <c r="AW261"/>
  <c r="AW253"/>
  <c r="E277"/>
  <c r="AW256"/>
  <c r="AW254"/>
  <c r="AW260"/>
  <c r="AW255"/>
  <c r="AW251"/>
  <c r="AW258"/>
  <c r="AW252"/>
  <c r="AW257"/>
  <c r="BE253"/>
  <c r="AH250"/>
  <c r="AG258" s="1"/>
  <c r="F274" s="1"/>
  <c r="AI252"/>
  <c r="AG259" s="1"/>
  <c r="G274" s="1"/>
  <c r="AN219"/>
  <c r="AO219" s="1"/>
  <c r="AN222"/>
  <c r="AO222" s="1"/>
  <c r="AN220"/>
  <c r="AO220" s="1"/>
  <c r="AN218"/>
  <c r="AO218" s="1"/>
  <c r="AN214"/>
  <c r="AO214" s="1"/>
  <c r="AN223"/>
  <c r="AO223" s="1"/>
  <c r="AN215"/>
  <c r="AN216"/>
  <c r="AO216" s="1"/>
  <c r="AN217"/>
  <c r="AO217" s="1"/>
  <c r="AN224"/>
  <c r="AO224" s="1"/>
  <c r="AN221"/>
  <c r="AO221" s="1"/>
  <c r="AW221"/>
  <c r="AW224"/>
  <c r="AW222"/>
  <c r="AW214"/>
  <c r="AW217"/>
  <c r="AW219"/>
  <c r="AW220"/>
  <c r="AW218"/>
  <c r="AW223"/>
  <c r="AW216"/>
  <c r="E240"/>
  <c r="AW215"/>
  <c r="BE216"/>
  <c r="AN252"/>
  <c r="AN255"/>
  <c r="AO255" s="1"/>
  <c r="AN253"/>
  <c r="AO253" s="1"/>
  <c r="AN258"/>
  <c r="AO258" s="1"/>
  <c r="AN254"/>
  <c r="AO254" s="1"/>
  <c r="AN257"/>
  <c r="AO257" s="1"/>
  <c r="AN259"/>
  <c r="AO259" s="1"/>
  <c r="AN260"/>
  <c r="AO260" s="1"/>
  <c r="AN256"/>
  <c r="AO256" s="1"/>
  <c r="AN251"/>
  <c r="AO251" s="1"/>
  <c r="AN261"/>
  <c r="AO261" s="1"/>
  <c r="AS220"/>
  <c r="AS219"/>
  <c r="AS221" s="1"/>
  <c r="AS254"/>
  <c r="AS256" s="1"/>
  <c r="AS255"/>
  <c r="AS257" s="1"/>
  <c r="AT215" l="1"/>
  <c r="AT218"/>
  <c r="AU218" s="1"/>
  <c r="AT223"/>
  <c r="AU223" s="1"/>
  <c r="AT216"/>
  <c r="AU216" s="1"/>
  <c r="AT222"/>
  <c r="AU222" s="1"/>
  <c r="AT220"/>
  <c r="AU220" s="1"/>
  <c r="AT217"/>
  <c r="AU217" s="1"/>
  <c r="AT219"/>
  <c r="AU219" s="1"/>
  <c r="AT224"/>
  <c r="AU224" s="1"/>
  <c r="AT214"/>
  <c r="AU214" s="1"/>
  <c r="AT221"/>
  <c r="AU221" s="1"/>
  <c r="BC222"/>
  <c r="BC219"/>
  <c r="BC215"/>
  <c r="BC216"/>
  <c r="BC224"/>
  <c r="BC221"/>
  <c r="BC223"/>
  <c r="BC217"/>
  <c r="E241"/>
  <c r="BC218"/>
  <c r="BC220"/>
  <c r="BK216"/>
  <c r="BC214"/>
  <c r="AY219"/>
  <c r="AY221" s="1"/>
  <c r="AY220"/>
  <c r="AN213"/>
  <c r="AM222" s="1"/>
  <c r="F238" s="1"/>
  <c r="AO215"/>
  <c r="AM223" s="1"/>
  <c r="G238" s="1"/>
  <c r="AN250"/>
  <c r="AM258" s="1"/>
  <c r="F275" s="1"/>
  <c r="AO252"/>
  <c r="AM259" s="1"/>
  <c r="G275" s="1"/>
  <c r="AY254"/>
  <c r="AY256" s="1"/>
  <c r="AY255"/>
  <c r="AY257" s="1"/>
  <c r="AT254"/>
  <c r="AU254" s="1"/>
  <c r="AT255"/>
  <c r="AU255" s="1"/>
  <c r="AT253"/>
  <c r="AU253" s="1"/>
  <c r="AT259"/>
  <c r="AU259" s="1"/>
  <c r="AT256"/>
  <c r="AU256" s="1"/>
  <c r="AT260"/>
  <c r="AU260" s="1"/>
  <c r="AT252"/>
  <c r="AT257"/>
  <c r="AU257" s="1"/>
  <c r="AT258"/>
  <c r="AU258" s="1"/>
  <c r="AT251"/>
  <c r="AU251" s="1"/>
  <c r="AT261"/>
  <c r="AU261" s="1"/>
  <c r="BC261"/>
  <c r="BC251"/>
  <c r="BC255"/>
  <c r="BC257"/>
  <c r="BC253"/>
  <c r="BC258"/>
  <c r="E278"/>
  <c r="BC259"/>
  <c r="BC256"/>
  <c r="BC260"/>
  <c r="BC252"/>
  <c r="BK253"/>
  <c r="BC254"/>
  <c r="AT250" l="1"/>
  <c r="AS258" s="1"/>
  <c r="F276" s="1"/>
  <c r="AU252"/>
  <c r="AS259" s="1"/>
  <c r="G276" s="1"/>
  <c r="BE255"/>
  <c r="BE257" s="1"/>
  <c r="BE254"/>
  <c r="BE256" s="1"/>
  <c r="BI222"/>
  <c r="BI219"/>
  <c r="BI214"/>
  <c r="BI216"/>
  <c r="BI220"/>
  <c r="BI224"/>
  <c r="BI217"/>
  <c r="BI223"/>
  <c r="BI218"/>
  <c r="E242"/>
  <c r="F217" s="1"/>
  <c r="BI215"/>
  <c r="BI221"/>
  <c r="BI251"/>
  <c r="BI261"/>
  <c r="BI260"/>
  <c r="BI255"/>
  <c r="BI254"/>
  <c r="BI258"/>
  <c r="BI256"/>
  <c r="BI253"/>
  <c r="BI259"/>
  <c r="E279"/>
  <c r="F254" s="1"/>
  <c r="BI257"/>
  <c r="BI252"/>
  <c r="AZ255"/>
  <c r="BA255" s="1"/>
  <c r="AZ256"/>
  <c r="BA256" s="1"/>
  <c r="AZ254"/>
  <c r="BA254" s="1"/>
  <c r="AZ252"/>
  <c r="AZ258"/>
  <c r="BA258" s="1"/>
  <c r="AZ257"/>
  <c r="BA257" s="1"/>
  <c r="AZ260"/>
  <c r="BA260" s="1"/>
  <c r="AZ261"/>
  <c r="BA261" s="1"/>
  <c r="AZ251"/>
  <c r="BA251" s="1"/>
  <c r="AZ259"/>
  <c r="BA259" s="1"/>
  <c r="AZ253"/>
  <c r="BA253" s="1"/>
  <c r="AZ216"/>
  <c r="BA216" s="1"/>
  <c r="AZ220"/>
  <c r="BA220" s="1"/>
  <c r="AZ218"/>
  <c r="BA218" s="1"/>
  <c r="AZ214"/>
  <c r="BA214" s="1"/>
  <c r="AZ215"/>
  <c r="AZ222"/>
  <c r="BA222" s="1"/>
  <c r="AZ217"/>
  <c r="BA217" s="1"/>
  <c r="AZ221"/>
  <c r="BA221" s="1"/>
  <c r="AZ223"/>
  <c r="BA223" s="1"/>
  <c r="AZ219"/>
  <c r="BA219" s="1"/>
  <c r="AZ224"/>
  <c r="BA224" s="1"/>
  <c r="BE220"/>
  <c r="BE219"/>
  <c r="BE221" s="1"/>
  <c r="AT213"/>
  <c r="AS222" s="1"/>
  <c r="F239" s="1"/>
  <c r="AU215"/>
  <c r="AS223" s="1"/>
  <c r="G239" s="1"/>
  <c r="C223" l="1"/>
  <c r="C217"/>
  <c r="C214"/>
  <c r="C220"/>
  <c r="C219"/>
  <c r="C221"/>
  <c r="C224"/>
  <c r="C215"/>
  <c r="C218"/>
  <c r="C216"/>
  <c r="C222"/>
  <c r="C260"/>
  <c r="C251"/>
  <c r="C252"/>
  <c r="C261"/>
  <c r="C257"/>
  <c r="C255"/>
  <c r="C254"/>
  <c r="C253"/>
  <c r="C258"/>
  <c r="C256"/>
  <c r="C259"/>
  <c r="BK220"/>
  <c r="BK219"/>
  <c r="BK221" s="1"/>
  <c r="BF253"/>
  <c r="BG253" s="1"/>
  <c r="BF252"/>
  <c r="BF254"/>
  <c r="BG254" s="1"/>
  <c r="BF260"/>
  <c r="BG260" s="1"/>
  <c r="BF257"/>
  <c r="BG257" s="1"/>
  <c r="BF256"/>
  <c r="BG256" s="1"/>
  <c r="BF259"/>
  <c r="BG259" s="1"/>
  <c r="BF255"/>
  <c r="BG255" s="1"/>
  <c r="BF261"/>
  <c r="BG261" s="1"/>
  <c r="BF251"/>
  <c r="BG251" s="1"/>
  <c r="BF258"/>
  <c r="BG258" s="1"/>
  <c r="AZ213"/>
  <c r="AY222" s="1"/>
  <c r="F240" s="1"/>
  <c r="BA215"/>
  <c r="AY223" s="1"/>
  <c r="G240" s="1"/>
  <c r="AZ250"/>
  <c r="AY258" s="1"/>
  <c r="F277" s="1"/>
  <c r="BA252"/>
  <c r="AY259" s="1"/>
  <c r="G277" s="1"/>
  <c r="BK254"/>
  <c r="BK256" s="1"/>
  <c r="BK255"/>
  <c r="BK257" s="1"/>
  <c r="BF214"/>
  <c r="BG214" s="1"/>
  <c r="BF217"/>
  <c r="BG217" s="1"/>
  <c r="BF221"/>
  <c r="BG221" s="1"/>
  <c r="BF219"/>
  <c r="BG219" s="1"/>
  <c r="BF224"/>
  <c r="BG224" s="1"/>
  <c r="BF220"/>
  <c r="BG220" s="1"/>
  <c r="BF222"/>
  <c r="BG222" s="1"/>
  <c r="BF216"/>
  <c r="BG216" s="1"/>
  <c r="BF218"/>
  <c r="BG218" s="1"/>
  <c r="BF215"/>
  <c r="BF223"/>
  <c r="BG223" s="1"/>
  <c r="F222" l="1"/>
  <c r="F221"/>
  <c r="F223" s="1"/>
  <c r="F257"/>
  <c r="F260" s="1"/>
  <c r="F256"/>
  <c r="F259" s="1"/>
  <c r="BL255"/>
  <c r="BM255" s="1"/>
  <c r="BL254"/>
  <c r="BM254" s="1"/>
  <c r="BL252"/>
  <c r="BL257"/>
  <c r="BM257" s="1"/>
  <c r="BL251"/>
  <c r="BM251" s="1"/>
  <c r="BL259"/>
  <c r="BM259" s="1"/>
  <c r="BL256"/>
  <c r="BM256" s="1"/>
  <c r="BL261"/>
  <c r="BM261" s="1"/>
  <c r="BL253"/>
  <c r="BM253" s="1"/>
  <c r="BL260"/>
  <c r="BM260" s="1"/>
  <c r="BL258"/>
  <c r="BM258" s="1"/>
  <c r="BF213"/>
  <c r="BE222" s="1"/>
  <c r="F241" s="1"/>
  <c r="BG215"/>
  <c r="BE223" s="1"/>
  <c r="G241" s="1"/>
  <c r="BF250"/>
  <c r="BE258" s="1"/>
  <c r="F278" s="1"/>
  <c r="BG252"/>
  <c r="BE259" s="1"/>
  <c r="G278" s="1"/>
  <c r="BL220"/>
  <c r="BM220" s="1"/>
  <c r="BL224"/>
  <c r="BM224" s="1"/>
  <c r="BL223"/>
  <c r="BM223" s="1"/>
  <c r="BL215"/>
  <c r="BL217"/>
  <c r="BM217" s="1"/>
  <c r="BL219"/>
  <c r="BM219" s="1"/>
  <c r="BL222"/>
  <c r="BM222" s="1"/>
  <c r="BL221"/>
  <c r="BM221" s="1"/>
  <c r="BL214"/>
  <c r="BM214" s="1"/>
  <c r="BL218"/>
  <c r="BM218" s="1"/>
  <c r="BL216"/>
  <c r="BM216" s="1"/>
  <c r="B244" l="1"/>
  <c r="I217"/>
  <c r="B238"/>
  <c r="B228"/>
  <c r="I245"/>
  <c r="G36" s="1"/>
  <c r="I218"/>
  <c r="I234"/>
  <c r="G25" s="1"/>
  <c r="I241"/>
  <c r="G32" s="1"/>
  <c r="I242"/>
  <c r="G33" s="1"/>
  <c r="I240"/>
  <c r="G31" s="1"/>
  <c r="B247"/>
  <c r="I215"/>
  <c r="I236"/>
  <c r="G27" s="1"/>
  <c r="I244"/>
  <c r="G35" s="1"/>
  <c r="I226"/>
  <c r="G17" s="1"/>
  <c r="I221"/>
  <c r="B236"/>
  <c r="I247"/>
  <c r="G38" s="1"/>
  <c r="I230"/>
  <c r="G21" s="1"/>
  <c r="I229"/>
  <c r="G20" s="1"/>
  <c r="B243"/>
  <c r="I228"/>
  <c r="G19" s="1"/>
  <c r="I237"/>
  <c r="G28" s="1"/>
  <c r="B226"/>
  <c r="I246"/>
  <c r="G37" s="1"/>
  <c r="B239"/>
  <c r="B229"/>
  <c r="I225"/>
  <c r="G16" s="1"/>
  <c r="B235"/>
  <c r="B242"/>
  <c r="I219"/>
  <c r="I232"/>
  <c r="G23" s="1"/>
  <c r="B231"/>
  <c r="I223"/>
  <c r="I220"/>
  <c r="B232"/>
  <c r="I216"/>
  <c r="I222"/>
  <c r="I239"/>
  <c r="G30" s="1"/>
  <c r="B225"/>
  <c r="B240"/>
  <c r="I243"/>
  <c r="G34" s="1"/>
  <c r="I238"/>
  <c r="G29" s="1"/>
  <c r="I231"/>
  <c r="G22" s="1"/>
  <c r="B233"/>
  <c r="B245"/>
  <c r="I235"/>
  <c r="G26" s="1"/>
  <c r="I233"/>
  <c r="G24" s="1"/>
  <c r="B246"/>
  <c r="I227"/>
  <c r="G18" s="1"/>
  <c r="B234"/>
  <c r="B227"/>
  <c r="B237"/>
  <c r="B241"/>
  <c r="I224"/>
  <c r="B230"/>
  <c r="I214"/>
  <c r="B280"/>
  <c r="B273"/>
  <c r="I284"/>
  <c r="H38" s="1"/>
  <c r="I38" s="1"/>
  <c r="I259"/>
  <c r="B281"/>
  <c r="B262"/>
  <c r="B268"/>
  <c r="B278"/>
  <c r="I254"/>
  <c r="I253"/>
  <c r="B263"/>
  <c r="I261"/>
  <c r="I263"/>
  <c r="H17" s="1"/>
  <c r="I17" s="1"/>
  <c r="I276"/>
  <c r="H30" s="1"/>
  <c r="I30" s="1"/>
  <c r="I278"/>
  <c r="H32" s="1"/>
  <c r="I32" s="1"/>
  <c r="I273"/>
  <c r="H27" s="1"/>
  <c r="I27" s="1"/>
  <c r="I262"/>
  <c r="H16" s="1"/>
  <c r="I16" s="1"/>
  <c r="I275"/>
  <c r="H29" s="1"/>
  <c r="I29" s="1"/>
  <c r="I272"/>
  <c r="H26" s="1"/>
  <c r="I26" s="1"/>
  <c r="B264"/>
  <c r="I281"/>
  <c r="H35" s="1"/>
  <c r="I35" s="1"/>
  <c r="B279"/>
  <c r="B277"/>
  <c r="B272"/>
  <c r="I277"/>
  <c r="H31" s="1"/>
  <c r="I31" s="1"/>
  <c r="I269"/>
  <c r="H23" s="1"/>
  <c r="I23" s="1"/>
  <c r="I251"/>
  <c r="I279"/>
  <c r="H33" s="1"/>
  <c r="I33" s="1"/>
  <c r="I252"/>
  <c r="B269"/>
  <c r="I258"/>
  <c r="I270"/>
  <c r="H24" s="1"/>
  <c r="I24" s="1"/>
  <c r="B271"/>
  <c r="B265"/>
  <c r="I264"/>
  <c r="H18" s="1"/>
  <c r="I18" s="1"/>
  <c r="I256"/>
  <c r="B274"/>
  <c r="B282"/>
  <c r="B276"/>
  <c r="B267"/>
  <c r="I268"/>
  <c r="H22" s="1"/>
  <c r="I22" s="1"/>
  <c r="I274"/>
  <c r="H28" s="1"/>
  <c r="I28" s="1"/>
  <c r="I257"/>
  <c r="B275"/>
  <c r="B270"/>
  <c r="B283"/>
  <c r="I265"/>
  <c r="H19" s="1"/>
  <c r="I19" s="1"/>
  <c r="I266"/>
  <c r="H20" s="1"/>
  <c r="I20" s="1"/>
  <c r="B266"/>
  <c r="I280"/>
  <c r="H34" s="1"/>
  <c r="I34" s="1"/>
  <c r="B284"/>
  <c r="I267"/>
  <c r="H21" s="1"/>
  <c r="I21" s="1"/>
  <c r="I283"/>
  <c r="H37" s="1"/>
  <c r="I37" s="1"/>
  <c r="I255"/>
  <c r="I282"/>
  <c r="H36" s="1"/>
  <c r="I36" s="1"/>
  <c r="I260"/>
  <c r="I271"/>
  <c r="H25" s="1"/>
  <c r="I25" s="1"/>
  <c r="BL213"/>
  <c r="BK222" s="1"/>
  <c r="F242" s="1"/>
  <c r="BM215"/>
  <c r="BK223" s="1"/>
  <c r="G242" s="1"/>
  <c r="BL250"/>
  <c r="BK258" s="1"/>
  <c r="F279" s="1"/>
  <c r="BM252"/>
  <c r="BK259" s="1"/>
  <c r="G279" s="1"/>
  <c r="K221" l="1"/>
  <c r="J221"/>
  <c r="G12"/>
  <c r="K215"/>
  <c r="J215"/>
  <c r="G6"/>
  <c r="I213"/>
  <c r="G225" s="1"/>
  <c r="G40" s="1"/>
  <c r="J224"/>
  <c r="K224"/>
  <c r="G15"/>
  <c r="J220"/>
  <c r="G11"/>
  <c r="K220"/>
  <c r="K219"/>
  <c r="J219"/>
  <c r="G10"/>
  <c r="K222"/>
  <c r="J222"/>
  <c r="G13"/>
  <c r="J223"/>
  <c r="K223"/>
  <c r="G14"/>
  <c r="J218"/>
  <c r="K218"/>
  <c r="G9"/>
  <c r="K217"/>
  <c r="G8"/>
  <c r="J217"/>
  <c r="J214"/>
  <c r="K214"/>
  <c r="J216"/>
  <c r="G7"/>
  <c r="K216"/>
  <c r="H14"/>
  <c r="K260"/>
  <c r="J260"/>
  <c r="K267"/>
  <c r="J267"/>
  <c r="H10"/>
  <c r="J256"/>
  <c r="K256"/>
  <c r="K272"/>
  <c r="J272"/>
  <c r="J264"/>
  <c r="K264"/>
  <c r="K261"/>
  <c r="J261"/>
  <c r="H15"/>
  <c r="J259"/>
  <c r="H13"/>
  <c r="K259"/>
  <c r="H11"/>
  <c r="J257"/>
  <c r="K257"/>
  <c r="K258"/>
  <c r="H12"/>
  <c r="J258"/>
  <c r="J251"/>
  <c r="K251"/>
  <c r="K263"/>
  <c r="J263"/>
  <c r="J268"/>
  <c r="K268"/>
  <c r="J255"/>
  <c r="H9"/>
  <c r="K255"/>
  <c r="J265"/>
  <c r="K265"/>
  <c r="J269"/>
  <c r="K269"/>
  <c r="H7"/>
  <c r="J253"/>
  <c r="K253"/>
  <c r="J262"/>
  <c r="K262"/>
  <c r="K273"/>
  <c r="J273"/>
  <c r="J266"/>
  <c r="K266"/>
  <c r="J270"/>
  <c r="K270"/>
  <c r="J271"/>
  <c r="K271"/>
  <c r="H6"/>
  <c r="K252"/>
  <c r="J252"/>
  <c r="I250"/>
  <c r="G262" s="1"/>
  <c r="H40" s="1"/>
  <c r="M40" s="1"/>
  <c r="K254"/>
  <c r="J254"/>
  <c r="H8"/>
  <c r="G229" l="1"/>
  <c r="G44" s="1"/>
  <c r="G226"/>
  <c r="G41" s="1"/>
  <c r="G228"/>
  <c r="G43" s="1"/>
  <c r="G227"/>
  <c r="G42" s="1"/>
  <c r="G266"/>
  <c r="H44" s="1"/>
  <c r="M44" s="1"/>
  <c r="G264"/>
  <c r="H42" s="1"/>
  <c r="G265"/>
  <c r="H43" s="1"/>
  <c r="M43" s="1"/>
  <c r="G263"/>
  <c r="H41" s="1"/>
  <c r="M41" l="1"/>
  <c r="M42"/>
  <c r="E69" i="112" l="1"/>
  <c r="E71" s="1"/>
  <c r="E72" l="1"/>
  <c r="E73" s="1"/>
  <c r="F69"/>
  <c r="F71" s="1"/>
  <c r="G69"/>
  <c r="G71" s="1"/>
  <c r="H69"/>
  <c r="H71" s="1"/>
  <c r="G72" l="1"/>
  <c r="G73" s="1"/>
  <c r="G74" s="1"/>
  <c r="G115" s="1"/>
  <c r="H72"/>
  <c r="H73" s="1"/>
  <c r="H74" s="1"/>
  <c r="H115" s="1"/>
  <c r="F72"/>
  <c r="F73" s="1"/>
  <c r="F74" s="1"/>
  <c r="F115" s="1"/>
  <c r="H116" l="1"/>
  <c r="S78" s="1"/>
  <c r="G116"/>
  <c r="R78" s="1"/>
  <c r="F116"/>
  <c r="Q78" s="1"/>
  <c r="Q88" l="1"/>
  <c r="Q80"/>
  <c r="Q84"/>
  <c r="Q79"/>
  <c r="Q89"/>
  <c r="Q85"/>
  <c r="Q81"/>
  <c r="Q86"/>
  <c r="Q87"/>
  <c r="Q82"/>
  <c r="Q83"/>
  <c r="S82"/>
  <c r="H91" s="1"/>
  <c r="G143" s="1"/>
  <c r="S86"/>
  <c r="H103" s="1"/>
  <c r="H102" s="1"/>
  <c r="G132" s="1"/>
  <c r="S89"/>
  <c r="H112" s="1"/>
  <c r="S84"/>
  <c r="H97" s="1"/>
  <c r="S85"/>
  <c r="H100" s="1"/>
  <c r="S80"/>
  <c r="H85" s="1"/>
  <c r="G141" s="1"/>
  <c r="S81"/>
  <c r="H88" s="1"/>
  <c r="G142" s="1"/>
  <c r="S88"/>
  <c r="H109" s="1"/>
  <c r="S87"/>
  <c r="S83"/>
  <c r="H94" s="1"/>
  <c r="S79"/>
  <c r="H82" s="1"/>
  <c r="E82" s="1"/>
  <c r="F82" s="1"/>
  <c r="G82" s="1"/>
  <c r="R79"/>
  <c r="R83"/>
  <c r="R87"/>
  <c r="R82"/>
  <c r="R81"/>
  <c r="R88"/>
  <c r="R84"/>
  <c r="R80"/>
  <c r="R86"/>
  <c r="R85"/>
  <c r="R89"/>
  <c r="H106"/>
  <c r="E88"/>
  <c r="E85"/>
  <c r="H87" l="1"/>
  <c r="G127" s="1"/>
  <c r="H84"/>
  <c r="G126" s="1"/>
  <c r="E103"/>
  <c r="G149"/>
  <c r="E97"/>
  <c r="G146"/>
  <c r="G148"/>
  <c r="G144"/>
  <c r="G147"/>
  <c r="Q91"/>
  <c r="Q92" s="1"/>
  <c r="R91"/>
  <c r="R92" s="1"/>
  <c r="S91"/>
  <c r="S92" s="1"/>
  <c r="H93"/>
  <c r="G129" s="1"/>
  <c r="E94"/>
  <c r="H99"/>
  <c r="G131" s="1"/>
  <c r="E100"/>
  <c r="G145"/>
  <c r="H105"/>
  <c r="G133" s="1"/>
  <c r="E112"/>
  <c r="H111"/>
  <c r="G135" s="1"/>
  <c r="G150"/>
  <c r="E106"/>
  <c r="H96"/>
  <c r="G130" s="1"/>
  <c r="H108"/>
  <c r="G134" s="1"/>
  <c r="H90"/>
  <c r="E109"/>
  <c r="E91"/>
  <c r="E90" s="1"/>
  <c r="D141"/>
  <c r="D145"/>
  <c r="D142"/>
  <c r="G140"/>
  <c r="F94"/>
  <c r="H81"/>
  <c r="G125" s="1"/>
  <c r="H79"/>
  <c r="H78" s="1"/>
  <c r="F103"/>
  <c r="E87"/>
  <c r="D127" s="1"/>
  <c r="F88"/>
  <c r="F85"/>
  <c r="E84"/>
  <c r="D126" s="1"/>
  <c r="D128" l="1"/>
  <c r="G128"/>
  <c r="E96"/>
  <c r="D130" s="1"/>
  <c r="F97"/>
  <c r="E102"/>
  <c r="D132" s="1"/>
  <c r="D147"/>
  <c r="F100"/>
  <c r="D150"/>
  <c r="F109"/>
  <c r="F106"/>
  <c r="D144"/>
  <c r="E93"/>
  <c r="D129" s="1"/>
  <c r="D148"/>
  <c r="E99"/>
  <c r="D131" s="1"/>
  <c r="E108"/>
  <c r="D134" s="1"/>
  <c r="E105"/>
  <c r="D133" s="1"/>
  <c r="E111"/>
  <c r="D135" s="1"/>
  <c r="D149"/>
  <c r="D143"/>
  <c r="F112"/>
  <c r="F91"/>
  <c r="F90" s="1"/>
  <c r="D146"/>
  <c r="G139"/>
  <c r="E142"/>
  <c r="E141"/>
  <c r="E148"/>
  <c r="E145"/>
  <c r="E144"/>
  <c r="E147"/>
  <c r="H119"/>
  <c r="F96"/>
  <c r="E130" s="1"/>
  <c r="F102"/>
  <c r="E132" s="1"/>
  <c r="G103"/>
  <c r="F93"/>
  <c r="E129" s="1"/>
  <c r="G94"/>
  <c r="G85"/>
  <c r="F84"/>
  <c r="E126" s="1"/>
  <c r="G124"/>
  <c r="F99"/>
  <c r="E131" s="1"/>
  <c r="F87"/>
  <c r="E127" s="1"/>
  <c r="G88"/>
  <c r="F105"/>
  <c r="E133" s="1"/>
  <c r="G97" l="1"/>
  <c r="F145" s="1"/>
  <c r="G100"/>
  <c r="F146" s="1"/>
  <c r="E128"/>
  <c r="E146"/>
  <c r="G106"/>
  <c r="F108"/>
  <c r="E134" s="1"/>
  <c r="E149"/>
  <c r="G112"/>
  <c r="G109"/>
  <c r="F111"/>
  <c r="E135" s="1"/>
  <c r="E143"/>
  <c r="G91"/>
  <c r="G90" s="1"/>
  <c r="E150"/>
  <c r="F144"/>
  <c r="F142"/>
  <c r="F148"/>
  <c r="F141"/>
  <c r="F147"/>
  <c r="G87"/>
  <c r="F127" s="1"/>
  <c r="G84"/>
  <c r="F126" s="1"/>
  <c r="G93"/>
  <c r="F129" s="1"/>
  <c r="G99"/>
  <c r="F131" s="1"/>
  <c r="G102"/>
  <c r="F132" s="1"/>
  <c r="G96" l="1"/>
  <c r="F130" s="1"/>
  <c r="F128"/>
  <c r="F149"/>
  <c r="G108"/>
  <c r="F134" s="1"/>
  <c r="G105"/>
  <c r="F133" s="1"/>
  <c r="G111"/>
  <c r="F135" s="1"/>
  <c r="F143"/>
  <c r="F150"/>
  <c r="E74"/>
  <c r="E115" s="1"/>
  <c r="E116" l="1"/>
  <c r="P78" s="1"/>
  <c r="P88" l="1"/>
  <c r="P81"/>
  <c r="P85"/>
  <c r="P89"/>
  <c r="P80"/>
  <c r="P82"/>
  <c r="P83"/>
  <c r="P87"/>
  <c r="P79"/>
  <c r="P84"/>
  <c r="P86"/>
  <c r="D140"/>
  <c r="D139" s="1"/>
  <c r="E81"/>
  <c r="D125" s="1"/>
  <c r="E79"/>
  <c r="E78" s="1"/>
  <c r="P91" l="1"/>
  <c r="P92" s="1"/>
  <c r="E119"/>
  <c r="D124"/>
  <c r="E140"/>
  <c r="E139" s="1"/>
  <c r="F79"/>
  <c r="F78" s="1"/>
  <c r="F81"/>
  <c r="E125" s="1"/>
  <c r="E124" l="1"/>
  <c r="F140"/>
  <c r="F139" s="1"/>
  <c r="G79"/>
  <c r="G78" s="1"/>
  <c r="G81"/>
  <c r="F125" s="1"/>
  <c r="F119"/>
  <c r="F124" l="1"/>
  <c r="G119"/>
</calcChain>
</file>

<file path=xl/comments1.xml><?xml version="1.0" encoding="utf-8"?>
<comments xmlns="http://schemas.openxmlformats.org/spreadsheetml/2006/main">
  <authors>
    <author>Registered User</author>
  </authors>
  <commentList>
    <comment ref="D16" authorId="0">
      <text>
        <r>
          <rPr>
            <b/>
            <sz val="9"/>
            <color indexed="81"/>
            <rFont val="돋움"/>
            <family val="3"/>
            <charset val="129"/>
          </rPr>
          <t>내포인구제외</t>
        </r>
      </text>
    </comment>
    <comment ref="D17" authorId="0">
      <text>
        <r>
          <rPr>
            <b/>
            <sz val="9"/>
            <color indexed="81"/>
            <rFont val="돋움"/>
            <family val="3"/>
            <charset val="129"/>
          </rPr>
          <t>내포인구제외</t>
        </r>
      </text>
    </comment>
    <comment ref="D18" authorId="0">
      <text>
        <r>
          <rPr>
            <b/>
            <sz val="9"/>
            <color indexed="81"/>
            <rFont val="돋움"/>
            <family val="3"/>
            <charset val="129"/>
          </rPr>
          <t>내포인구제외</t>
        </r>
      </text>
    </comment>
  </commentList>
</comments>
</file>

<file path=xl/comments2.xml><?xml version="1.0" encoding="utf-8"?>
<comments xmlns="http://schemas.openxmlformats.org/spreadsheetml/2006/main">
  <authors>
    <author>HP-8300Elite</author>
  </authors>
  <commentList>
    <comment ref="N3" authorId="0">
      <text>
        <r>
          <rPr>
            <b/>
            <sz val="9"/>
            <color indexed="81"/>
            <rFont val="Tahoma"/>
            <family val="2"/>
          </rPr>
          <t>8</t>
        </r>
        <r>
          <rPr>
            <b/>
            <sz val="9"/>
            <color indexed="81"/>
            <rFont val="돋움"/>
            <family val="3"/>
            <charset val="129"/>
          </rPr>
          <t xml:space="preserve">년평균
</t>
        </r>
      </text>
    </comment>
  </commentList>
</comments>
</file>

<file path=xl/comments3.xml><?xml version="1.0" encoding="utf-8"?>
<comments xmlns="http://schemas.openxmlformats.org/spreadsheetml/2006/main">
  <authors>
    <author>1</author>
    <author>유 태 석</author>
  </authors>
  <commentList>
    <comment ref="P7" authorId="0">
      <text>
        <r>
          <rPr>
            <b/>
            <sz val="9"/>
            <color indexed="81"/>
            <rFont val="Tahoma"/>
            <family val="2"/>
          </rPr>
          <t>0</t>
        </r>
        <r>
          <rPr>
            <b/>
            <sz val="9"/>
            <color indexed="81"/>
            <rFont val="돋움"/>
            <family val="3"/>
            <charset val="129"/>
          </rPr>
          <t>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사망률 적용
</t>
        </r>
      </text>
    </comment>
    <comment ref="M10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10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35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35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60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60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85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85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1</author>
    <author>유 태 석</author>
  </authors>
  <commentList>
    <comment ref="P7" authorId="0">
      <text>
        <r>
          <rPr>
            <b/>
            <sz val="9"/>
            <color indexed="81"/>
            <rFont val="Tahoma"/>
            <family val="2"/>
          </rPr>
          <t>0</t>
        </r>
        <r>
          <rPr>
            <b/>
            <sz val="9"/>
            <color indexed="81"/>
            <rFont val="돋움"/>
            <family val="3"/>
            <charset val="129"/>
          </rPr>
          <t>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사망률 적용
</t>
        </r>
      </text>
    </comment>
    <comment ref="M10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10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35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35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60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60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M85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남자출생아수 = 남자출산율ⅹ연차(년)ⅹ해당여성인구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  <comment ref="N85" authorId="1">
      <text>
        <r>
          <rPr>
            <b/>
            <sz val="9"/>
            <color indexed="81"/>
            <rFont val="굴림"/>
            <family val="3"/>
            <charset val="129"/>
          </rPr>
          <t xml:space="preserve">여자출생아수 = 여자출산율ⅹ연차(년)ⅹ해당여성인구 ÷1000
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my</author>
  </authors>
  <commentList>
    <comment ref="C36" authorId="0">
      <text>
        <r>
          <rPr>
            <b/>
            <sz val="9"/>
            <color indexed="81"/>
            <rFont val="돋움"/>
            <family val="3"/>
            <charset val="129"/>
          </rPr>
          <t>내포신도시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인구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^^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HP-8300Elite</author>
  </authors>
  <commentList>
    <comment ref="N2" authorId="0">
      <text>
        <r>
          <rPr>
            <b/>
            <sz val="9"/>
            <color indexed="81"/>
            <rFont val="Tahoma"/>
            <family val="2"/>
          </rPr>
          <t>8</t>
        </r>
        <r>
          <rPr>
            <b/>
            <sz val="9"/>
            <color indexed="81"/>
            <rFont val="돋움"/>
            <family val="3"/>
            <charset val="129"/>
          </rPr>
          <t xml:space="preserve">년평균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8</t>
        </r>
        <r>
          <rPr>
            <b/>
            <sz val="9"/>
            <color indexed="81"/>
            <rFont val="돋움"/>
            <family val="3"/>
            <charset val="129"/>
          </rPr>
          <t xml:space="preserve">년평균
</t>
        </r>
      </text>
    </comment>
  </commentList>
</comments>
</file>

<file path=xl/sharedStrings.xml><?xml version="1.0" encoding="utf-8"?>
<sst xmlns="http://schemas.openxmlformats.org/spreadsheetml/2006/main" count="3722" uniqueCount="1237">
  <si>
    <t>인구증가율 (%)</t>
  </si>
  <si>
    <t>세대당인구 (명)</t>
  </si>
  <si>
    <t>2004년</t>
  </si>
  <si>
    <t>2005년</t>
  </si>
  <si>
    <t>2006년</t>
  </si>
  <si>
    <t>2007년</t>
  </si>
  <si>
    <t>2008년</t>
  </si>
  <si>
    <t>2010년</t>
  </si>
  <si>
    <t>1) 세대</t>
    <phoneticPr fontId="10" type="noConversion"/>
  </si>
  <si>
    <t>인구 (명)</t>
    <phoneticPr fontId="10" type="noConversion"/>
  </si>
  <si>
    <t>구분</t>
    <phoneticPr fontId="10" type="noConversion"/>
  </si>
  <si>
    <t>2035년</t>
    <phoneticPr fontId="10" type="noConversion"/>
  </si>
  <si>
    <t>인구밀도
(명/㎢)</t>
    <phoneticPr fontId="10" type="noConversion"/>
  </si>
  <si>
    <t>면적
(㎢)</t>
    <phoneticPr fontId="10" type="noConversion"/>
  </si>
  <si>
    <t>한국인 인구 (명)</t>
    <phoneticPr fontId="10" type="noConversion"/>
  </si>
  <si>
    <t>외국인 인구 (명)</t>
    <phoneticPr fontId="10" type="noConversion"/>
  </si>
  <si>
    <t>남 (명)</t>
    <phoneticPr fontId="10" type="noConversion"/>
  </si>
  <si>
    <t>여 (명)</t>
    <phoneticPr fontId="10" type="noConversion"/>
  </si>
  <si>
    <t>소  계</t>
    <phoneticPr fontId="10" type="noConversion"/>
  </si>
  <si>
    <t>계</t>
    <phoneticPr fontId="10" type="noConversion"/>
  </si>
  <si>
    <t>10년평균</t>
    <phoneticPr fontId="10" type="noConversion"/>
  </si>
  <si>
    <t>5년평균</t>
    <phoneticPr fontId="10" type="noConversion"/>
  </si>
  <si>
    <t>증감률(%)</t>
    <phoneticPr fontId="10" type="noConversion"/>
  </si>
  <si>
    <t>비 고</t>
    <phoneticPr fontId="11" type="noConversion"/>
  </si>
  <si>
    <t>2009년</t>
  </si>
  <si>
    <t>구 분</t>
    <phoneticPr fontId="10" type="noConversion"/>
  </si>
  <si>
    <t xml:space="preserve">     사회적 유입인구 = 해당년도 인구 - 전년도 인구 - 자연증가 인구</t>
    <phoneticPr fontId="10" type="noConversion"/>
  </si>
  <si>
    <t>과거 10년간 평균(%)</t>
    <phoneticPr fontId="10" type="noConversion"/>
  </si>
  <si>
    <t>최근 5년간 평균(%)</t>
    <phoneticPr fontId="10" type="noConversion"/>
  </si>
  <si>
    <t>계</t>
    <phoneticPr fontId="10" type="noConversion"/>
  </si>
  <si>
    <t>비율</t>
    <phoneticPr fontId="10" type="noConversion"/>
  </si>
  <si>
    <t>순유입인구</t>
    <phoneticPr fontId="10" type="noConversion"/>
  </si>
  <si>
    <t>순증가인구</t>
    <phoneticPr fontId="10" type="noConversion"/>
  </si>
  <si>
    <t>사망</t>
    <phoneticPr fontId="10" type="noConversion"/>
  </si>
  <si>
    <t>출생</t>
    <phoneticPr fontId="10" type="noConversion"/>
  </si>
  <si>
    <t>비  고</t>
    <phoneticPr fontId="10" type="noConversion"/>
  </si>
  <si>
    <t>사회적 유입인구</t>
    <phoneticPr fontId="10" type="noConversion"/>
  </si>
  <si>
    <t>자연증가 인구</t>
    <phoneticPr fontId="10" type="noConversion"/>
  </si>
  <si>
    <t>인 구</t>
    <phoneticPr fontId="10" type="noConversion"/>
  </si>
  <si>
    <t>구분</t>
    <phoneticPr fontId="10" type="noConversion"/>
  </si>
  <si>
    <t>인구 변화추이(과거 10년간)</t>
    <phoneticPr fontId="10" type="noConversion"/>
  </si>
  <si>
    <t>2030년</t>
    <phoneticPr fontId="10" type="noConversion"/>
  </si>
  <si>
    <t>2025년</t>
    <phoneticPr fontId="10" type="noConversion"/>
  </si>
  <si>
    <t>2020년</t>
    <phoneticPr fontId="10" type="noConversion"/>
  </si>
  <si>
    <t>비  고</t>
    <phoneticPr fontId="89" type="noConversion"/>
  </si>
  <si>
    <t>행정구역</t>
    <phoneticPr fontId="10" type="noConversion"/>
  </si>
  <si>
    <t>2011년</t>
    <phoneticPr fontId="10" type="noConversion"/>
  </si>
  <si>
    <t>2011년</t>
    <phoneticPr fontId="10" type="noConversion"/>
  </si>
  <si>
    <t>2012년</t>
    <phoneticPr fontId="10" type="noConversion"/>
  </si>
  <si>
    <t>2000년 인구</t>
    <phoneticPr fontId="10" type="noConversion"/>
  </si>
  <si>
    <t>합계</t>
    <phoneticPr fontId="10" type="noConversion"/>
  </si>
  <si>
    <t>100+</t>
    <phoneticPr fontId="10" type="noConversion"/>
  </si>
  <si>
    <t>80~84</t>
  </si>
  <si>
    <t>75~79</t>
  </si>
  <si>
    <t>70~74</t>
  </si>
  <si>
    <t>65~69</t>
  </si>
  <si>
    <t>60~64</t>
  </si>
  <si>
    <t>55~59</t>
  </si>
  <si>
    <t>50~54</t>
  </si>
  <si>
    <t>45~49</t>
  </si>
  <si>
    <t>40~44</t>
  </si>
  <si>
    <t>35~39</t>
  </si>
  <si>
    <t>30~34</t>
  </si>
  <si>
    <t>25~29</t>
  </si>
  <si>
    <t>20~24</t>
  </si>
  <si>
    <t>15~19</t>
  </si>
  <si>
    <t>10~14</t>
  </si>
  <si>
    <t>5~9</t>
  </si>
  <si>
    <t>0~4</t>
  </si>
  <si>
    <t>2030~2035생잔율</t>
    <phoneticPr fontId="10" type="noConversion"/>
  </si>
  <si>
    <t>출생아수(최종)</t>
    <phoneticPr fontId="10" type="noConversion"/>
  </si>
  <si>
    <t>영아 사망자수</t>
    <phoneticPr fontId="10" type="noConversion"/>
  </si>
  <si>
    <t>2030~2035 영아사망률</t>
    <phoneticPr fontId="10" type="noConversion"/>
  </si>
  <si>
    <t>출산성비(30-35)</t>
    <phoneticPr fontId="10" type="noConversion"/>
  </si>
  <si>
    <t>성비</t>
    <phoneticPr fontId="10" type="noConversion"/>
  </si>
  <si>
    <t>여자</t>
    <phoneticPr fontId="10" type="noConversion"/>
  </si>
  <si>
    <t>남자</t>
    <phoneticPr fontId="10" type="noConversion"/>
  </si>
  <si>
    <t>계</t>
    <phoneticPr fontId="10" type="noConversion"/>
  </si>
  <si>
    <t>2025~2030생잔율</t>
    <phoneticPr fontId="10" type="noConversion"/>
  </si>
  <si>
    <t>2025~2030 영아사망률</t>
    <phoneticPr fontId="10" type="noConversion"/>
  </si>
  <si>
    <t>출산성비(25-30)</t>
    <phoneticPr fontId="10" type="noConversion"/>
  </si>
  <si>
    <t>구분</t>
    <phoneticPr fontId="10" type="noConversion"/>
  </si>
  <si>
    <t>2020~2025생잔율</t>
    <phoneticPr fontId="10" type="noConversion"/>
  </si>
  <si>
    <t>2020~2025 영아사망률</t>
    <phoneticPr fontId="10" type="noConversion"/>
  </si>
  <si>
    <t>출산성비(20-25)</t>
    <phoneticPr fontId="10" type="noConversion"/>
  </si>
  <si>
    <t>2) 0~4세 생잔율은 1~4세 생잔율 적용</t>
    <phoneticPr fontId="10" type="noConversion"/>
  </si>
  <si>
    <t>주의 :</t>
    <phoneticPr fontId="10" type="noConversion"/>
  </si>
  <si>
    <t>95-99</t>
    <phoneticPr fontId="10" type="noConversion"/>
  </si>
  <si>
    <t>연령별</t>
  </si>
  <si>
    <t>성비(여자1백명당)</t>
  </si>
  <si>
    <t>제주도</t>
  </si>
  <si>
    <t>경상남도</t>
  </si>
  <si>
    <t>경상북도</t>
  </si>
  <si>
    <t>전라남도</t>
  </si>
  <si>
    <t>전라북도</t>
  </si>
  <si>
    <t>충청남도</t>
  </si>
  <si>
    <t>충청북도</t>
  </si>
  <si>
    <t>강원도</t>
  </si>
  <si>
    <t>경기도</t>
  </si>
  <si>
    <t>울산광역시</t>
  </si>
  <si>
    <t>대전광역시</t>
  </si>
  <si>
    <t>광주광역시</t>
  </si>
  <si>
    <t>인천광역시</t>
  </si>
  <si>
    <t>대구광역시</t>
  </si>
  <si>
    <t>부산광역시</t>
  </si>
  <si>
    <t>서울특별시</t>
  </si>
  <si>
    <t>전국</t>
  </si>
  <si>
    <t>2035-2040</t>
  </si>
  <si>
    <t>2030-2035</t>
  </si>
  <si>
    <t>2025-2030</t>
  </si>
  <si>
    <t>2020-2025</t>
  </si>
  <si>
    <t>2015-2020</t>
  </si>
  <si>
    <t>2010-2015</t>
  </si>
  <si>
    <t>-노령화지수=(65세이상인구)/(0~14세인구)*100</t>
  </si>
  <si>
    <t>"인구구조,부양비별" &gt; 노령화지수(유소년인구 1백명당) : 노령화지수란 유소년인구(0~14세) 100명에 대한 고령인구(65세이상인구)의 비</t>
  </si>
  <si>
    <t>"인구구조,부양비별" &gt; 노년부양비(생산가능인구1백명당) : 노년부양비=(65세이상인구)/(15~64세인구)*100</t>
  </si>
  <si>
    <t>"인구구조,부양비별" &gt; 유소년부양비(생산가능인구1백명당) : 유소년부양비=(0~14세인구)/(15~64세인구)*100</t>
  </si>
  <si>
    <t>- 총부양비=유소년부양비+노년부양</t>
  </si>
  <si>
    <t>"인구구조,부양비별" &gt; 총부양비 : 총부양비는 유소년부양비와 노년부양비의 합</t>
  </si>
  <si>
    <t>"인구구조,부양비별" &gt; 인구성장률 : 인구증가율은 전년대비 증가율임</t>
  </si>
  <si>
    <t>음</t>
  </si>
  <si>
    <t>"인구구조,부양비별" &gt; 총인구 : "인구는 2010년까지는 확정인구이며, 2011년 이후는 다음 인구추계시 바뀔 수 있_x000D_"</t>
  </si>
  <si>
    <t>* 2012년 6월에 작성한 장래인구추계 시도편 자료임</t>
  </si>
  <si>
    <t>[ 주석 ]</t>
  </si>
  <si>
    <t/>
  </si>
  <si>
    <t>경기</t>
    <phoneticPr fontId="10" type="noConversion"/>
  </si>
  <si>
    <t>전국</t>
    <phoneticPr fontId="10" type="noConversion"/>
  </si>
  <si>
    <t>여</t>
    <phoneticPr fontId="10" type="noConversion"/>
  </si>
  <si>
    <t>남</t>
    <phoneticPr fontId="10" type="noConversion"/>
  </si>
  <si>
    <t>제주</t>
    <phoneticPr fontId="10" type="noConversion"/>
  </si>
  <si>
    <t>경남</t>
    <phoneticPr fontId="10" type="noConversion"/>
  </si>
  <si>
    <t>경북</t>
    <phoneticPr fontId="10" type="noConversion"/>
  </si>
  <si>
    <t>전남</t>
    <phoneticPr fontId="10" type="noConversion"/>
  </si>
  <si>
    <t>전북</t>
    <phoneticPr fontId="10" type="noConversion"/>
  </si>
  <si>
    <t>충남</t>
    <phoneticPr fontId="10" type="noConversion"/>
  </si>
  <si>
    <t>시도별</t>
  </si>
  <si>
    <t>충북</t>
    <phoneticPr fontId="10" type="noConversion"/>
  </si>
  <si>
    <t>강원</t>
    <phoneticPr fontId="10" type="noConversion"/>
  </si>
  <si>
    <t>* 단위 :</t>
  </si>
  <si>
    <t>울산</t>
    <phoneticPr fontId="10" type="noConversion"/>
  </si>
  <si>
    <t>대전</t>
    <phoneticPr fontId="10" type="noConversion"/>
  </si>
  <si>
    <t>인천</t>
    <phoneticPr fontId="10" type="noConversion"/>
  </si>
  <si>
    <t>대구</t>
    <phoneticPr fontId="10" type="noConversion"/>
  </si>
  <si>
    <t>부산</t>
    <phoneticPr fontId="10" type="noConversion"/>
  </si>
  <si>
    <t>서울</t>
    <phoneticPr fontId="10" type="noConversion"/>
  </si>
  <si>
    <t>2035-2040</t>
    <phoneticPr fontId="10" type="noConversion"/>
  </si>
  <si>
    <t>2030-2035</t>
    <phoneticPr fontId="10" type="noConversion"/>
  </si>
  <si>
    <t>2025-2030</t>
    <phoneticPr fontId="10" type="noConversion"/>
  </si>
  <si>
    <t>2020-2025</t>
    <phoneticPr fontId="10" type="noConversion"/>
  </si>
  <si>
    <t>2015-2020</t>
    <phoneticPr fontId="10" type="noConversion"/>
  </si>
  <si>
    <t>2010-2015</t>
    <phoneticPr fontId="10" type="noConversion"/>
  </si>
  <si>
    <t>DT_1B35003</t>
  </si>
  <si>
    <t>*시도별 장래인구 성비 추계 결과</t>
    <phoneticPr fontId="10" type="noConversion"/>
  </si>
  <si>
    <t>49세</t>
  </si>
  <si>
    <t>48세</t>
  </si>
  <si>
    <t>47세</t>
  </si>
  <si>
    <t>46세</t>
  </si>
  <si>
    <t>45세</t>
  </si>
  <si>
    <t>44세</t>
  </si>
  <si>
    <t>43세</t>
  </si>
  <si>
    <t>42세</t>
  </si>
  <si>
    <t>41세</t>
  </si>
  <si>
    <t>40세</t>
  </si>
  <si>
    <t>39세</t>
  </si>
  <si>
    <t>38세</t>
  </si>
  <si>
    <t>37세</t>
  </si>
  <si>
    <t>36세</t>
  </si>
  <si>
    <t>35세</t>
  </si>
  <si>
    <t>34세</t>
  </si>
  <si>
    <t>33세</t>
  </si>
  <si>
    <t>32세</t>
  </si>
  <si>
    <t>31세</t>
  </si>
  <si>
    <t>30세</t>
  </si>
  <si>
    <t>29세</t>
  </si>
  <si>
    <t>28세</t>
  </si>
  <si>
    <t>27세</t>
  </si>
  <si>
    <t>26세</t>
  </si>
  <si>
    <t>25세</t>
  </si>
  <si>
    <t>24세</t>
  </si>
  <si>
    <t>23세</t>
  </si>
  <si>
    <t>22세</t>
  </si>
  <si>
    <t>21세</t>
  </si>
  <si>
    <t>20세</t>
  </si>
  <si>
    <t>19세</t>
  </si>
  <si>
    <t>18세</t>
  </si>
  <si>
    <t>17세</t>
  </si>
  <si>
    <t>16세</t>
  </si>
  <si>
    <t>15세</t>
  </si>
  <si>
    <t>행정구역별</t>
  </si>
  <si>
    <t>2030-35</t>
    <phoneticPr fontId="10" type="noConversion"/>
  </si>
  <si>
    <t>2025-30</t>
    <phoneticPr fontId="10" type="noConversion"/>
  </si>
  <si>
    <t>2020-25</t>
    <phoneticPr fontId="10" type="noConversion"/>
  </si>
  <si>
    <t>2015-20</t>
    <phoneticPr fontId="10" type="noConversion"/>
  </si>
  <si>
    <t xml:space="preserve"> </t>
    <phoneticPr fontId="10" type="noConversion"/>
  </si>
  <si>
    <t>단위 : 해당연령 여자인구 1천명당
Unit : births per 1,000 women</t>
    <phoneticPr fontId="10" type="noConversion"/>
  </si>
  <si>
    <t>○ 모의 연령별 출산율(Age-specific Fertility Rate) : 연평균</t>
    <phoneticPr fontId="10" type="noConversion"/>
  </si>
  <si>
    <t>Age-specific Fertility Rate by Province</t>
    <phoneticPr fontId="10" type="noConversion"/>
  </si>
  <si>
    <t>모의 연령별 출산율</t>
    <phoneticPr fontId="89" type="noConversion"/>
  </si>
  <si>
    <t>생잔율
(여자)</t>
    <phoneticPr fontId="10" type="noConversion"/>
  </si>
  <si>
    <t>생잔율
(남자)</t>
    <phoneticPr fontId="10" type="noConversion"/>
  </si>
  <si>
    <t>사망확률(여자)</t>
    <phoneticPr fontId="10" type="noConversion"/>
  </si>
  <si>
    <t>사망확률(남자)</t>
    <phoneticPr fontId="10" type="noConversion"/>
  </si>
  <si>
    <t>연령구분</t>
    <phoneticPr fontId="10" type="noConversion"/>
  </si>
  <si>
    <t>90-94</t>
  </si>
  <si>
    <t>85-89</t>
  </si>
  <si>
    <t>1~4</t>
  </si>
  <si>
    <t xml:space="preserve">ex </t>
    <phoneticPr fontId="10" type="noConversion"/>
  </si>
  <si>
    <t>nLx</t>
  </si>
  <si>
    <t>lx</t>
  </si>
  <si>
    <t>nqx</t>
    <phoneticPr fontId="10" type="noConversion"/>
  </si>
  <si>
    <t>Female</t>
    <phoneticPr fontId="10" type="noConversion"/>
  </si>
  <si>
    <t>Male</t>
    <phoneticPr fontId="10" type="noConversion"/>
  </si>
  <si>
    <t>기대여명</t>
  </si>
  <si>
    <t>정지인구</t>
  </si>
  <si>
    <t>생존수</t>
  </si>
  <si>
    <t>사망확률</t>
    <phoneticPr fontId="10" type="noConversion"/>
  </si>
  <si>
    <t>Abridged Life Tables by Province(Cont'd)</t>
    <phoneticPr fontId="89" type="noConversion"/>
  </si>
  <si>
    <t>2-7. 시도별 생명표(계속)</t>
    <phoneticPr fontId="89" type="noConversion"/>
  </si>
  <si>
    <t>광주</t>
    <phoneticPr fontId="10" type="noConversion"/>
  </si>
  <si>
    <t>45 ~ 49</t>
    <phoneticPr fontId="10" type="noConversion"/>
  </si>
  <si>
    <t>40 ~ 44</t>
    <phoneticPr fontId="10" type="noConversion"/>
  </si>
  <si>
    <t>35 ~ 39</t>
    <phoneticPr fontId="10" type="noConversion"/>
  </si>
  <si>
    <t>30 ~ 34</t>
    <phoneticPr fontId="10" type="noConversion"/>
  </si>
  <si>
    <t>25 ~ 29</t>
    <phoneticPr fontId="10" type="noConversion"/>
  </si>
  <si>
    <t>20 ~ 24</t>
    <phoneticPr fontId="10" type="noConversion"/>
  </si>
  <si>
    <t>15 ~ 19</t>
    <phoneticPr fontId="10" type="noConversion"/>
  </si>
  <si>
    <t>1～4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</si>
  <si>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</si>
  <si>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</si>
  <si>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</si>
  <si>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</si>
  <si>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</si>
  <si>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</si>
  <si>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</si>
  <si>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</si>
  <si>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</si>
  <si>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</si>
  <si>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</si>
  <si>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</si>
  <si>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</si>
  <si>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</si>
  <si>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</si>
  <si>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</si>
  <si>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</si>
  <si>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</si>
  <si>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  <phoneticPr fontId="10" type="noConversion"/>
  </si>
  <si>
    <t>(단위 : 여자 100명당)</t>
    <phoneticPr fontId="10" type="noConversion"/>
  </si>
  <si>
    <t>2020~2025 년 출산율</t>
    <phoneticPr fontId="10" type="noConversion"/>
  </si>
  <si>
    <t>2025~2030 년 출산율</t>
    <phoneticPr fontId="10" type="noConversion"/>
  </si>
  <si>
    <t>2030~2035 년 출산율</t>
    <phoneticPr fontId="10" type="noConversion"/>
  </si>
  <si>
    <t>65세이상
고령자 (명)</t>
    <phoneticPr fontId="10" type="noConversion"/>
  </si>
  <si>
    <t>홍성읍</t>
    <phoneticPr fontId="10" type="noConversion"/>
  </si>
  <si>
    <t>광천읍</t>
    <phoneticPr fontId="10" type="noConversion"/>
  </si>
  <si>
    <t>홍북면</t>
    <phoneticPr fontId="10" type="noConversion"/>
  </si>
  <si>
    <t>금마면</t>
    <phoneticPr fontId="10" type="noConversion"/>
  </si>
  <si>
    <t>홍동면</t>
    <phoneticPr fontId="10" type="noConversion"/>
  </si>
  <si>
    <t>장곡면</t>
    <phoneticPr fontId="10" type="noConversion"/>
  </si>
  <si>
    <t>은하면</t>
    <phoneticPr fontId="10" type="noConversion"/>
  </si>
  <si>
    <t>결성면</t>
    <phoneticPr fontId="10" type="noConversion"/>
  </si>
  <si>
    <t>서부면</t>
    <phoneticPr fontId="10" type="noConversion"/>
  </si>
  <si>
    <t>갈산면</t>
    <phoneticPr fontId="10" type="noConversion"/>
  </si>
  <si>
    <t>구항면</t>
    <phoneticPr fontId="10" type="noConversion"/>
  </si>
  <si>
    <t>홍성읍</t>
    <phoneticPr fontId="10" type="noConversion"/>
  </si>
  <si>
    <t>광천읍</t>
    <phoneticPr fontId="10" type="noConversion"/>
  </si>
  <si>
    <t>홍북면</t>
    <phoneticPr fontId="10" type="noConversion"/>
  </si>
  <si>
    <t>금마면</t>
    <phoneticPr fontId="10" type="noConversion"/>
  </si>
  <si>
    <t>홍동면</t>
    <phoneticPr fontId="10" type="noConversion"/>
  </si>
  <si>
    <t>성별</t>
  </si>
  <si>
    <t>연령별(시도)</t>
  </si>
  <si>
    <t>2040</t>
  </si>
  <si>
    <t>2035</t>
  </si>
  <si>
    <t>2030</t>
  </si>
  <si>
    <t>2025</t>
  </si>
  <si>
    <t>2020</t>
  </si>
  <si>
    <t>2015</t>
  </si>
  <si>
    <t>2010</t>
  </si>
  <si>
    <t>사망확률</t>
  </si>
  <si>
    <t>생존수(명)</t>
  </si>
  <si>
    <t>정지인구(명)</t>
  </si>
  <si>
    <t>기대여명(세)</t>
  </si>
  <si>
    <t>남 자</t>
  </si>
  <si>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</si>
  <si>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</si>
  <si>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</si>
  <si>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</si>
  <si>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</si>
  <si>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</si>
  <si>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</si>
  <si>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</si>
  <si>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</si>
  <si>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</si>
  <si>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</si>
  <si>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</si>
  <si>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</si>
  <si>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</si>
  <si>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</si>
  <si>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</si>
  <si>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</si>
  <si>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</si>
  <si>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95-99</t>
  </si>
  <si>
    <t>100+</t>
  </si>
  <si>
    <t>여 자</t>
  </si>
  <si>
    <t>충남[2010-15년 연평균]</t>
    <phoneticPr fontId="10" type="noConversion"/>
  </si>
  <si>
    <t>충남[2010-15]</t>
    <phoneticPr fontId="10" type="noConversion"/>
  </si>
  <si>
    <t>충남[2015-20년 연평균]</t>
    <phoneticPr fontId="10" type="noConversion"/>
  </si>
  <si>
    <t>충남[2015-20]</t>
    <phoneticPr fontId="10" type="noConversion"/>
  </si>
  <si>
    <t>충남[2020-25년 연평균]</t>
    <phoneticPr fontId="10" type="noConversion"/>
  </si>
  <si>
    <t>충남[2025-30년 연평균]</t>
    <phoneticPr fontId="10" type="noConversion"/>
  </si>
  <si>
    <t>충남[2020-25]</t>
    <phoneticPr fontId="10" type="noConversion"/>
  </si>
  <si>
    <t>충남[2025-30]</t>
    <phoneticPr fontId="10" type="noConversion"/>
  </si>
  <si>
    <t>충남[2030-35년 연평균]</t>
    <phoneticPr fontId="10" type="noConversion"/>
  </si>
  <si>
    <t>충남[2035-40년 연평균]</t>
    <phoneticPr fontId="10" type="noConversion"/>
  </si>
  <si>
    <t>충남[2030-35]</t>
    <phoneticPr fontId="10" type="noConversion"/>
  </si>
  <si>
    <t>충남[2035-40]</t>
    <phoneticPr fontId="10" type="noConversion"/>
  </si>
  <si>
    <t>Chart 생잔모형법에 의한 인구추정(홍성군)</t>
    <phoneticPr fontId="10" type="noConversion"/>
  </si>
  <si>
    <t>*사망확률을 이용한 생잔율 산정(충청남도)</t>
    <phoneticPr fontId="10" type="noConversion"/>
  </si>
  <si>
    <t>2012년</t>
  </si>
  <si>
    <t>2013년</t>
    <phoneticPr fontId="10" type="noConversion"/>
  </si>
  <si>
    <t>자료시작년=</t>
    <phoneticPr fontId="13" type="noConversion"/>
  </si>
  <si>
    <t>유효자리수 =</t>
    <phoneticPr fontId="13" type="noConversion"/>
  </si>
  <si>
    <t>연도</t>
  </si>
  <si>
    <t>0. 과거자료</t>
    <phoneticPr fontId="13" type="noConversion"/>
  </si>
  <si>
    <t>선   정</t>
    <phoneticPr fontId="13" type="noConversion"/>
  </si>
  <si>
    <t>비     고</t>
    <phoneticPr fontId="13" type="noConversion"/>
  </si>
  <si>
    <t>채택</t>
  </si>
  <si>
    <t>○</t>
  </si>
  <si>
    <t>상관계수 (R²)</t>
    <phoneticPr fontId="13" type="noConversion"/>
  </si>
  <si>
    <t>오차자승합(최근10년간)이 가장 작은 지수함수법으로 결정함.</t>
    <phoneticPr fontId="13" type="noConversion"/>
  </si>
  <si>
    <t>최대값</t>
    <phoneticPr fontId="13" type="noConversion"/>
  </si>
  <si>
    <t>오차자승합 (최근10년간)</t>
    <phoneticPr fontId="13" type="noConversion"/>
  </si>
  <si>
    <t>최소값</t>
    <phoneticPr fontId="13" type="noConversion"/>
  </si>
  <si>
    <t>절대평균오차율(최근10년간)</t>
    <phoneticPr fontId="13" type="noConversion"/>
  </si>
  <si>
    <t>최소값</t>
    <phoneticPr fontId="13" type="noConversion"/>
  </si>
  <si>
    <t>오차자승합 (최근5년간)</t>
    <phoneticPr fontId="13" type="noConversion"/>
  </si>
  <si>
    <t>최소값</t>
    <phoneticPr fontId="13" type="noConversion"/>
  </si>
  <si>
    <t>절대평균오차율(최근5년간)</t>
    <phoneticPr fontId="13" type="noConversion"/>
  </si>
  <si>
    <t>최소값</t>
    <phoneticPr fontId="13" type="noConversion"/>
  </si>
  <si>
    <t>1. 등차급수</t>
    <phoneticPr fontId="13" type="noConversion"/>
  </si>
  <si>
    <t>원단위(y)</t>
    <phoneticPr fontId="13" type="noConversion"/>
  </si>
  <si>
    <t>경과년수(x)</t>
    <phoneticPr fontId="13" type="noConversion"/>
  </si>
  <si>
    <t>절대오차율</t>
    <phoneticPr fontId="13" type="noConversion"/>
  </si>
  <si>
    <t>오차자승</t>
    <phoneticPr fontId="13" type="noConversion"/>
  </si>
  <si>
    <t>y = ax + b</t>
    <phoneticPr fontId="13" type="noConversion"/>
  </si>
  <si>
    <t>상수(a) =</t>
    <phoneticPr fontId="13" type="noConversion"/>
  </si>
  <si>
    <t>상수(b) =</t>
    <phoneticPr fontId="13" type="noConversion"/>
  </si>
  <si>
    <t>상관계수 (R²)</t>
    <phoneticPr fontId="13" type="noConversion"/>
  </si>
  <si>
    <t>오차자승합 (최근10년간)</t>
    <phoneticPr fontId="13" type="noConversion"/>
  </si>
  <si>
    <t>절대평균오차율(최근10년간)</t>
    <phoneticPr fontId="13" type="noConversion"/>
  </si>
  <si>
    <t>오차자승합 (최근5년간)</t>
    <phoneticPr fontId="13" type="noConversion"/>
  </si>
  <si>
    <t>절대평균오차율(최근5년간)</t>
    <phoneticPr fontId="13" type="noConversion"/>
  </si>
  <si>
    <t>2. 등비급수</t>
    <phoneticPr fontId="13" type="noConversion"/>
  </si>
  <si>
    <t>원단위(y)</t>
    <phoneticPr fontId="13" type="noConversion"/>
  </si>
  <si>
    <t>LN(y)</t>
    <phoneticPr fontId="13" type="noConversion"/>
  </si>
  <si>
    <t>경과년수(x)</t>
    <phoneticPr fontId="13" type="noConversion"/>
  </si>
  <si>
    <t>절대오차율</t>
    <phoneticPr fontId="13" type="noConversion"/>
  </si>
  <si>
    <t>오차자승</t>
    <phoneticPr fontId="13" type="noConversion"/>
  </si>
  <si>
    <t xml:space="preserve">   y = a(1+b)^x</t>
    <phoneticPr fontId="13" type="noConversion"/>
  </si>
  <si>
    <t xml:space="preserve">   LN(y) = LN(a) + LN(1+b)x</t>
    <phoneticPr fontId="13" type="noConversion"/>
  </si>
  <si>
    <t xml:space="preserve">   Y = A + Bx</t>
    <phoneticPr fontId="13" type="noConversion"/>
  </si>
  <si>
    <t>A =</t>
    <phoneticPr fontId="13" type="noConversion"/>
  </si>
  <si>
    <t>LN(A) =</t>
    <phoneticPr fontId="13" type="noConversion"/>
  </si>
  <si>
    <t>B =</t>
    <phoneticPr fontId="13" type="noConversion"/>
  </si>
  <si>
    <t>LN(1+B) =</t>
    <phoneticPr fontId="13" type="noConversion"/>
  </si>
  <si>
    <t>a =</t>
    <phoneticPr fontId="13" type="noConversion"/>
  </si>
  <si>
    <t>b =</t>
    <phoneticPr fontId="13" type="noConversion"/>
  </si>
  <si>
    <t>상관계수 (R²)</t>
    <phoneticPr fontId="13" type="noConversion"/>
  </si>
  <si>
    <t>오차자승합 (최근10년간)</t>
    <phoneticPr fontId="13" type="noConversion"/>
  </si>
  <si>
    <t>절대평균오차율(최근10년간)</t>
    <phoneticPr fontId="13" type="noConversion"/>
  </si>
  <si>
    <t>오차자승합 (최근5년간)</t>
    <phoneticPr fontId="13" type="noConversion"/>
  </si>
  <si>
    <t>절대평균오차율(최근5년간)</t>
    <phoneticPr fontId="13" type="noConversion"/>
  </si>
  <si>
    <t>3. 베기함수</t>
    <phoneticPr fontId="13" type="noConversion"/>
  </si>
  <si>
    <t>원단위(y)</t>
    <phoneticPr fontId="13" type="noConversion"/>
  </si>
  <si>
    <t>LN(y-c)</t>
    <phoneticPr fontId="13" type="noConversion"/>
  </si>
  <si>
    <t>경과년수(x)</t>
    <phoneticPr fontId="13" type="noConversion"/>
  </si>
  <si>
    <t>절대오차율</t>
    <phoneticPr fontId="13" type="noConversion"/>
  </si>
  <si>
    <t>오차자승</t>
    <phoneticPr fontId="13" type="noConversion"/>
  </si>
  <si>
    <t xml:space="preserve">   y = a(1+b)^x + c</t>
    <phoneticPr fontId="13" type="noConversion"/>
  </si>
  <si>
    <t>c =</t>
    <phoneticPr fontId="13" type="noConversion"/>
  </si>
  <si>
    <t xml:space="preserve">   LN(y-c) = LN(a) + LN(1+b)x</t>
    <phoneticPr fontId="13" type="noConversion"/>
  </si>
  <si>
    <t>LN(a) =</t>
    <phoneticPr fontId="13" type="noConversion"/>
  </si>
  <si>
    <t>A =</t>
    <phoneticPr fontId="13" type="noConversion"/>
  </si>
  <si>
    <t xml:space="preserve">   Y = A + Bx</t>
    <phoneticPr fontId="13" type="noConversion"/>
  </si>
  <si>
    <t>LN(1+b) =</t>
    <phoneticPr fontId="13" type="noConversion"/>
  </si>
  <si>
    <t>B =</t>
    <phoneticPr fontId="13" type="noConversion"/>
  </si>
  <si>
    <t>c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</si>
  <si>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</si>
  <si>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</si>
  <si>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</si>
  <si>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</si>
  <si>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</si>
  <si>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LN(a) =</t>
    <phoneticPr fontId="13" type="noConversion"/>
  </si>
  <si>
    <t>b =</t>
    <phoneticPr fontId="13" type="noConversion"/>
  </si>
  <si>
    <t>B =</t>
    <phoneticPr fontId="13" type="noConversion"/>
  </si>
  <si>
    <t>LN(1+b) =</t>
    <phoneticPr fontId="13" type="noConversion"/>
  </si>
  <si>
    <t>a =</t>
    <phoneticPr fontId="13" type="noConversion"/>
  </si>
  <si>
    <t>오차자승합 =</t>
    <phoneticPr fontId="13" type="noConversion"/>
  </si>
  <si>
    <t>b =</t>
    <phoneticPr fontId="13" type="noConversion"/>
  </si>
  <si>
    <t>min(y) =</t>
    <phoneticPr fontId="13" type="noConversion"/>
  </si>
  <si>
    <t>min(y) =</t>
    <phoneticPr fontId="13" type="noConversion"/>
  </si>
  <si>
    <t>min(y) =</t>
    <phoneticPr fontId="13" type="noConversion"/>
  </si>
  <si>
    <t>min(y) =</t>
    <phoneticPr fontId="13" type="noConversion"/>
  </si>
  <si>
    <t>min(y) =</t>
    <phoneticPr fontId="13" type="noConversion"/>
  </si>
  <si>
    <t>min(y) =</t>
    <phoneticPr fontId="13" type="noConversion"/>
  </si>
  <si>
    <t>min(y) =</t>
    <phoneticPr fontId="13" type="noConversion"/>
  </si>
  <si>
    <t>min(y) =</t>
    <phoneticPr fontId="13" type="noConversion"/>
  </si>
  <si>
    <t>오차자승합 (최근10년간)</t>
    <phoneticPr fontId="13" type="noConversion"/>
  </si>
  <si>
    <t>유효자리 =</t>
    <phoneticPr fontId="13" type="noConversion"/>
  </si>
  <si>
    <t>유효자리 =</t>
    <phoneticPr fontId="13" type="noConversion"/>
  </si>
  <si>
    <t>유효자리 =</t>
    <phoneticPr fontId="13" type="noConversion"/>
  </si>
  <si>
    <t>유효자리 =</t>
    <phoneticPr fontId="13" type="noConversion"/>
  </si>
  <si>
    <t>유효자리 =</t>
    <phoneticPr fontId="13" type="noConversion"/>
  </si>
  <si>
    <t>유효자리 =</t>
    <phoneticPr fontId="13" type="noConversion"/>
  </si>
  <si>
    <t>유효자리 =</t>
    <phoneticPr fontId="13" type="noConversion"/>
  </si>
  <si>
    <t>유효자리 =</t>
    <phoneticPr fontId="13" type="noConversion"/>
  </si>
  <si>
    <t>절대평균오차율(최근10년간)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</si>
  <si>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</si>
  <si>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</si>
  <si>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</si>
  <si>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</si>
  <si>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</si>
  <si>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</si>
  <si>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</si>
  <si>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</si>
  <si>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</si>
  <si>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오차자승합 (최근5년간)</t>
    <phoneticPr fontId="13" type="noConversion"/>
  </si>
  <si>
    <t>절대평균오차율(최근5년간)</t>
    <phoneticPr fontId="13" type="noConversion"/>
  </si>
  <si>
    <t>c</t>
    <phoneticPr fontId="13" type="noConversion"/>
  </si>
  <si>
    <t>오차자승합</t>
    <phoneticPr fontId="13" type="noConversion"/>
  </si>
  <si>
    <t>4. 지수함수</t>
    <phoneticPr fontId="13" type="noConversion"/>
  </si>
  <si>
    <t>원단위(y)</t>
    <phoneticPr fontId="13" type="noConversion"/>
  </si>
  <si>
    <t>LN(y-c)</t>
    <phoneticPr fontId="13" type="noConversion"/>
  </si>
  <si>
    <t>경과년수(x)</t>
    <phoneticPr fontId="13" type="noConversion"/>
  </si>
  <si>
    <t>LN(x)</t>
    <phoneticPr fontId="13" type="noConversion"/>
  </si>
  <si>
    <t>절대오차율</t>
    <phoneticPr fontId="13" type="noConversion"/>
  </si>
  <si>
    <t>오차자승</t>
    <phoneticPr fontId="13" type="noConversion"/>
  </si>
  <si>
    <t xml:space="preserve">  y = ax^b + c</t>
    <phoneticPr fontId="13" type="noConversion"/>
  </si>
  <si>
    <t xml:space="preserve">  LN(y-c) = LN(a) + b LN(x)</t>
    <phoneticPr fontId="13" type="noConversion"/>
  </si>
  <si>
    <t xml:space="preserve">  Y = A + bx</t>
    <phoneticPr fontId="13" type="noConversion"/>
  </si>
  <si>
    <t>c =</t>
    <phoneticPr fontId="13" type="noConversion"/>
  </si>
  <si>
    <t>b =</t>
    <phoneticPr fontId="13" type="noConversion"/>
  </si>
  <si>
    <t>A =</t>
    <phoneticPr fontId="13" type="noConversion"/>
  </si>
  <si>
    <t>= LN(a)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</si>
  <si>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</si>
  <si>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</si>
  <si>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</si>
  <si>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</si>
  <si>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</si>
  <si>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</si>
  <si>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</si>
  <si>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</si>
  <si>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</si>
  <si>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</si>
  <si>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</si>
  <si>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</si>
  <si>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a =</t>
    <phoneticPr fontId="13" type="noConversion"/>
  </si>
  <si>
    <t>오차자승합 =</t>
    <phoneticPr fontId="13" type="noConversion"/>
  </si>
  <si>
    <t>상관계수 (R²)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</si>
  <si>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</si>
  <si>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</si>
  <si>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</si>
  <si>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</si>
  <si>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</si>
  <si>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</si>
  <si>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</si>
  <si>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</si>
  <si>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</si>
  <si>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</si>
  <si>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</si>
  <si>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</si>
  <si>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최소자료값 =</t>
    <phoneticPr fontId="13" type="noConversion"/>
  </si>
  <si>
    <t>오차자승합 (최근10년간)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</si>
  <si>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</si>
  <si>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</si>
  <si>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</si>
  <si>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</si>
  <si>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</si>
  <si>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</si>
  <si>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</si>
  <si>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</si>
  <si>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</si>
  <si>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</si>
  <si>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</si>
  <si>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</si>
  <si>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</si>
  <si>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</si>
  <si>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</si>
  <si>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절대평균오차율(최근10년간)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</si>
  <si>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</si>
  <si>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</si>
  <si>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</si>
  <si>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</si>
  <si>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c 간격 =</t>
    <phoneticPr fontId="13" type="noConversion"/>
  </si>
  <si>
    <t>오차자승합 (최근5년간)</t>
    <phoneticPr fontId="13" type="noConversion"/>
  </si>
  <si>
    <t>절대평균오차율(최근5년간)</t>
    <phoneticPr fontId="13" type="noConversion"/>
  </si>
  <si>
    <t>Y0</t>
    <phoneticPr fontId="13" type="noConversion"/>
  </si>
  <si>
    <t>오차자승합</t>
    <phoneticPr fontId="13" type="noConversion"/>
  </si>
  <si>
    <t>5. 로지스틱</t>
    <phoneticPr fontId="13" type="noConversion"/>
  </si>
  <si>
    <t>원단위(y)</t>
    <phoneticPr fontId="13" type="noConversion"/>
  </si>
  <si>
    <t>LN(k/y-1)</t>
    <phoneticPr fontId="13" type="noConversion"/>
  </si>
  <si>
    <t>경과년수(x)</t>
    <phoneticPr fontId="13" type="noConversion"/>
  </si>
  <si>
    <t>절대오차율</t>
    <phoneticPr fontId="13" type="noConversion"/>
  </si>
  <si>
    <t>오차자승</t>
    <phoneticPr fontId="13" type="noConversion"/>
  </si>
  <si>
    <t xml:space="preserve">  Y=k/(1+e^(a-bx))</t>
    <phoneticPr fontId="13" type="noConversion"/>
  </si>
  <si>
    <t xml:space="preserve">  Y=k/(1+e^(a-bx))</t>
    <phoneticPr fontId="13" type="noConversion"/>
  </si>
  <si>
    <t xml:space="preserve">  LN(k/Y-1)=a-bx</t>
    <phoneticPr fontId="13" type="noConversion"/>
  </si>
  <si>
    <t>k=</t>
  </si>
  <si>
    <t>max(y) =</t>
    <phoneticPr fontId="13" type="noConversion"/>
  </si>
  <si>
    <t>avg(5) =</t>
    <phoneticPr fontId="13" type="noConversion"/>
  </si>
  <si>
    <t>-b =</t>
    <phoneticPr fontId="13" type="noConversion"/>
  </si>
  <si>
    <t>b =</t>
    <phoneticPr fontId="13" type="noConversion"/>
  </si>
  <si>
    <t>오차자승합 =</t>
    <phoneticPr fontId="13" type="noConversion"/>
  </si>
  <si>
    <t>상관계수 (R²)</t>
    <phoneticPr fontId="13" type="noConversion"/>
  </si>
  <si>
    <t>오차자승합 (최근10년간)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</si>
  <si>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</si>
  <si>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</si>
  <si>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</si>
  <si>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</si>
  <si>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</si>
  <si>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</si>
  <si>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</si>
  <si>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절대평균오차율(최근10년간)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</si>
  <si>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</si>
  <si>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</si>
  <si>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</si>
  <si>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</si>
  <si>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</si>
  <si>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</si>
  <si>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</si>
  <si>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</si>
  <si>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오차자승합 (최근5년간)</t>
    <phoneticPr fontId="13" type="noConversion"/>
  </si>
  <si>
    <t>max(y)=</t>
    <phoneticPr fontId="13" type="noConversion"/>
  </si>
  <si>
    <t>절대평균오차율(최근5년간)</t>
    <phoneticPr fontId="13" type="noConversion"/>
  </si>
  <si>
    <t>k</t>
    <phoneticPr fontId="13" type="noConversion"/>
  </si>
  <si>
    <t>오차자승합</t>
    <phoneticPr fontId="13" type="noConversion"/>
  </si>
  <si>
    <t>6. 수정지수</t>
    <phoneticPr fontId="13" type="noConversion"/>
  </si>
  <si>
    <t>원단위(y)</t>
    <phoneticPr fontId="13" type="noConversion"/>
  </si>
  <si>
    <t>LN(k-y)</t>
    <phoneticPr fontId="13" type="noConversion"/>
  </si>
  <si>
    <t>경과년수(x)</t>
    <phoneticPr fontId="13" type="noConversion"/>
  </si>
  <si>
    <t>절대오차율</t>
    <phoneticPr fontId="13" type="noConversion"/>
  </si>
  <si>
    <t>오차자승</t>
    <phoneticPr fontId="13" type="noConversion"/>
  </si>
  <si>
    <t xml:space="preserve"> y = k - ab^x</t>
    <phoneticPr fontId="13" type="noConversion"/>
  </si>
  <si>
    <t xml:space="preserve">  LN(k-y) = ln(a) + ln(b)x</t>
    <phoneticPr fontId="13" type="noConversion"/>
  </si>
  <si>
    <t>k =</t>
    <phoneticPr fontId="13" type="noConversion"/>
  </si>
  <si>
    <t>k =</t>
    <phoneticPr fontId="13" type="noConversion"/>
  </si>
  <si>
    <t>ln(a) =</t>
    <phoneticPr fontId="13" type="noConversion"/>
  </si>
  <si>
    <t>ln(b) =</t>
    <phoneticPr fontId="13" type="noConversion"/>
  </si>
  <si>
    <t>a =</t>
    <phoneticPr fontId="13" type="noConversion"/>
  </si>
  <si>
    <t>b =</t>
    <phoneticPr fontId="13" type="noConversion"/>
  </si>
  <si>
    <t>b =</t>
    <phoneticPr fontId="13" type="noConversion"/>
  </si>
  <si>
    <t>b =</t>
    <phoneticPr fontId="13" type="noConversion"/>
  </si>
  <si>
    <t>b =</t>
    <phoneticPr fontId="13" type="noConversion"/>
  </si>
  <si>
    <t>오차자승합 =</t>
    <phoneticPr fontId="13" type="noConversion"/>
  </si>
  <si>
    <t>상관계수 (R²)</t>
    <phoneticPr fontId="13" type="noConversion"/>
  </si>
  <si>
    <t>2max(y)=</t>
    <phoneticPr fontId="13" type="noConversion"/>
  </si>
  <si>
    <t>2max(y)=</t>
    <phoneticPr fontId="13" type="noConversion"/>
  </si>
  <si>
    <t>2max(y)=</t>
    <phoneticPr fontId="13" type="noConversion"/>
  </si>
  <si>
    <t>2max(y)=</t>
    <phoneticPr fontId="13" type="noConversion"/>
  </si>
  <si>
    <t>2max(y)=</t>
    <phoneticPr fontId="13" type="noConversion"/>
  </si>
  <si>
    <t>2max(y)=</t>
    <phoneticPr fontId="13" type="noConversion"/>
  </si>
  <si>
    <t>오차자승합 (최근10년간)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</si>
  <si>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</si>
  <si>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</si>
  <si>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</si>
  <si>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유효자리=</t>
    <phoneticPr fontId="13" type="noConversion"/>
  </si>
  <si>
    <t>오차자승합 (최근5년간)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</si>
  <si>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</si>
  <si>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</si>
  <si>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</si>
  <si>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</si>
  <si>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</si>
  <si>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k 간격 =</t>
    <phoneticPr fontId="13" type="noConversion"/>
  </si>
  <si>
    <t>절대평균오차율(최근5년간)</t>
    <phoneticPr fontId="13" type="noConversion"/>
  </si>
  <si>
    <t>k</t>
    <phoneticPr fontId="13" type="noConversion"/>
  </si>
  <si>
    <t>오차자승합</t>
    <phoneticPr fontId="13" type="noConversion"/>
  </si>
  <si>
    <t>홍성군</t>
    <phoneticPr fontId="10" type="noConversion"/>
  </si>
  <si>
    <t>장곡면</t>
    <phoneticPr fontId="10" type="noConversion"/>
  </si>
  <si>
    <t>은하면</t>
    <phoneticPr fontId="10" type="noConversion"/>
  </si>
  <si>
    <t>결성면</t>
    <phoneticPr fontId="10" type="noConversion"/>
  </si>
  <si>
    <t>서부면</t>
    <phoneticPr fontId="10" type="noConversion"/>
  </si>
  <si>
    <t>갈산면</t>
    <phoneticPr fontId="10" type="noConversion"/>
  </si>
  <si>
    <t>구항면</t>
    <phoneticPr fontId="10" type="noConversion"/>
  </si>
  <si>
    <t>2013년</t>
    <phoneticPr fontId="10" type="noConversion"/>
  </si>
  <si>
    <t>읍지역</t>
    <phoneticPr fontId="10" type="noConversion"/>
  </si>
  <si>
    <t>면지역</t>
    <phoneticPr fontId="10" type="noConversion"/>
  </si>
  <si>
    <t xml:space="preserve"> 다. 과거 인구추이 분석</t>
    <phoneticPr fontId="10" type="noConversion"/>
  </si>
  <si>
    <t>1.2 자연적인구</t>
    <phoneticPr fontId="10" type="noConversion"/>
  </si>
  <si>
    <t>2014년</t>
  </si>
  <si>
    <t>2015년</t>
  </si>
  <si>
    <t>2014년</t>
    <phoneticPr fontId="10" type="noConversion"/>
  </si>
  <si>
    <t>2015년</t>
    <phoneticPr fontId="10" type="noConversion"/>
  </si>
  <si>
    <t xml:space="preserve"> 나. 읍면별 인구현황(2005년~2015년, 10년간)</t>
    <phoneticPr fontId="10" type="noConversion"/>
  </si>
  <si>
    <t xml:space="preserve"> 가. 홍성군 인구현황(2004년~2015년)</t>
    <phoneticPr fontId="10" type="noConversion"/>
  </si>
  <si>
    <t>자료) 홍성군 통계연보(2005년 ~ 2015년)</t>
    <phoneticPr fontId="10" type="noConversion"/>
  </si>
  <si>
    <t>TFR</t>
  </si>
  <si>
    <t>2035-40</t>
    <phoneticPr fontId="10" type="noConversion"/>
  </si>
  <si>
    <t>○ 통계표ID</t>
  </si>
  <si>
    <t>DT_1B01B07</t>
  </si>
  <si>
    <t>○ 통계표명</t>
  </si>
  <si>
    <t>가정별 연령별 출산율(전국)</t>
  </si>
  <si>
    <t>○ 수록기간</t>
  </si>
  <si>
    <t>5년 2010 ~ 2045</t>
  </si>
  <si>
    <t>○ 출처</t>
  </si>
  <si>
    <t>통계청, 장래인구추계</t>
  </si>
  <si>
    <t>○ 자료다운일자</t>
  </si>
  <si>
    <t>2016.06.21 16:26</t>
  </si>
  <si>
    <t>○ 통계표URL</t>
  </si>
  <si>
    <t>http://kosis.kr/statHtml/statHtml.do?orgId=101&amp;tblId=DT_1B01B07&amp;conn_path=I3</t>
  </si>
  <si>
    <t>* KOSIS 개편 시 통계표 URL은 달라질 수 있음</t>
  </si>
  <si>
    <t>○ 주석</t>
  </si>
  <si>
    <t>통계표</t>
  </si>
  <si>
    <t>* 출산력 중위(Medium), 저위(Low), 고위(High) 가정은 시계열 회귀 분석과 보정형 로그감마모형에 의해 코호트 출산율 및 평균출산연령을 예측, 중위가정으로 설정. 고위 가정은 출산 완료시기에 접어든 1961~1975년생 코호트출산율의 평균수준이 이후 코호트에도 지속될 것으로 가정, 저위 가정은 1961~1975년생 코호트출산율의 평균감소율이 이후 코호트에서도 유지된다는 가정</t>
  </si>
  <si>
    <t>* 2010년까지는 확정인구이며, 2011년이후는 다음 인구추계시 변경될 수 있음</t>
  </si>
  <si>
    <t>* 연령별출산율 : 15세부터 49세 가임여성인구 천명당 해당연령의 출생아수</t>
  </si>
  <si>
    <t>* 1995년 코호트가 49세에 도달하는 2044년 이후 동수준이 지속될 것으로 가정.</t>
  </si>
  <si>
    <t>* 2011.12월에 작성한 장래인구추계 자료임</t>
  </si>
  <si>
    <t>보다 자세한 설명은 상단의「통계설명자료」,「보도자료」또는「온라인간행물 &gt; 전국장래인구추계결과」를 참조</t>
  </si>
  <si>
    <t>연령별 &gt; TFR</t>
  </si>
  <si>
    <t>TFR(합계출산율) : 여자 1명이 가임기간(15~49세)동안 낳을 것으로 예상되는</t>
  </si>
  <si>
    <t>평균 출생아수</t>
  </si>
  <si>
    <t>DT_1B01B15</t>
  </si>
  <si>
    <t>시도별 생명표(시도)</t>
  </si>
  <si>
    <t>5년 2010 ~ 2040</t>
  </si>
  <si>
    <t>2016.06.21 16:44</t>
  </si>
  <si>
    <t>http://kosis.kr/statHtml/statHtml.do?orgId=101&amp;tblId=DT_1B01B15&amp;conn_path=I3</t>
  </si>
  <si>
    <t>* 2014년 12월에 작성한 장래인구추계 시도편 자료임</t>
  </si>
  <si>
    <t>항목 &gt; 사망확률</t>
  </si>
  <si>
    <t>특정연령 x세인 사람이 x+n세에 도달하지 못하고 사망할 확률</t>
  </si>
  <si>
    <t>항목 &gt; 생존수(명)</t>
  </si>
  <si>
    <t>특정연령 x세에서의 생존수, 동시에 출생한 100,000명이 사망확률에 따라 사망</t>
  </si>
  <si>
    <t>으로 감소할 경우 x세에 도달할 때까지 살아 있을 것으로 기대되는 사람수</t>
  </si>
  <si>
    <t>항목 &gt; 정지인구(명)</t>
  </si>
  <si>
    <t>특정연령 x세에서의 생존자들이 각각 x세에서 x+n세에 도달하는 기간동안에 생</t>
  </si>
  <si>
    <t>존할 것으로 기대되는 생존년수의 합계</t>
  </si>
  <si>
    <t>항목 &gt; 기대여명(세)</t>
  </si>
  <si>
    <t>특정연령 x세의 생존자가 앞으로 생존할 것으로 기대되는 평균생존년수</t>
  </si>
  <si>
    <t>인구구조,부양비별</t>
  </si>
  <si>
    <t>2011</t>
  </si>
  <si>
    <t>2012</t>
  </si>
  <si>
    <t>2013</t>
  </si>
  <si>
    <t>2014</t>
  </si>
  <si>
    <t>2016</t>
  </si>
  <si>
    <t>2017</t>
  </si>
  <si>
    <t>2018</t>
  </si>
  <si>
    <t>2019</t>
  </si>
  <si>
    <t>2021</t>
  </si>
  <si>
    <t>2022</t>
  </si>
  <si>
    <t>2023</t>
  </si>
  <si>
    <t>2024</t>
  </si>
  <si>
    <t>2026</t>
  </si>
  <si>
    <t>2027</t>
  </si>
  <si>
    <t>2028</t>
  </si>
  <si>
    <t>2029</t>
  </si>
  <si>
    <t>2031</t>
  </si>
  <si>
    <t>2032</t>
  </si>
  <si>
    <t>2033</t>
  </si>
  <si>
    <t>2034</t>
  </si>
  <si>
    <t>2036</t>
  </si>
  <si>
    <t>2037</t>
  </si>
  <si>
    <t>2038</t>
  </si>
  <si>
    <t>2039</t>
  </si>
  <si>
    <t>세종특별자치시</t>
  </si>
  <si>
    <t>-</t>
  </si>
  <si>
    <t>세종</t>
    <phoneticPr fontId="10" type="noConversion"/>
  </si>
  <si>
    <t>세종특별자치시</t>
    <phoneticPr fontId="10" type="noConversion"/>
  </si>
  <si>
    <t>시도별 인구구성비,성비,인구성장률,인구구조,부양비,노령화지수,중위연령(시도)</t>
  </si>
  <si>
    <t>년 1970 ~ 2040</t>
  </si>
  <si>
    <t>2016.06.21 17:02</t>
  </si>
  <si>
    <t>http://kosis.kr/statHtml/statHtml.do?orgId=101&amp;tblId=DT_1B35003&amp;conn_path=I3</t>
  </si>
  <si>
    <t>주) 시도별 인구구성비,성비,인구성장률,인구구조,부양비,노령화지수,중위연령(시도) (인구항목) (2012.6, 국가통계포털)??</t>
    <phoneticPr fontId="10" type="noConversion"/>
  </si>
  <si>
    <t>행정구역(동읍면)별</t>
  </si>
  <si>
    <t>항목</t>
  </si>
  <si>
    <t>2015. 12</t>
  </si>
  <si>
    <t>계</t>
  </si>
  <si>
    <t>0 - 4세</t>
  </si>
  <si>
    <t>5 - 9세</t>
  </si>
  <si>
    <t>10 - 14세</t>
  </si>
  <si>
    <t>15 - 19세</t>
  </si>
  <si>
    <t>20 - 24세</t>
  </si>
  <si>
    <t>25 - 29세</t>
  </si>
  <si>
    <t>30 - 34세</t>
  </si>
  <si>
    <t>35 - 39세</t>
  </si>
  <si>
    <t>40 - 44세</t>
  </si>
  <si>
    <t>45 - 49세</t>
  </si>
  <si>
    <t>50 - 54세</t>
  </si>
  <si>
    <t>55 - 59세</t>
  </si>
  <si>
    <t>60 - 64세</t>
  </si>
  <si>
    <t>65 - 69세</t>
  </si>
  <si>
    <t>70 - 74세</t>
  </si>
  <si>
    <t>75 - 79세</t>
  </si>
  <si>
    <t>80 - 84세</t>
  </si>
  <si>
    <t>85 - 89세</t>
  </si>
  <si>
    <t>90 - 94세</t>
  </si>
  <si>
    <t>95 - 99세</t>
  </si>
  <si>
    <t>총인구수 (명)</t>
  </si>
  <si>
    <t>남자인구수 (명)</t>
  </si>
  <si>
    <t>여자인구수 (명)</t>
  </si>
  <si>
    <t>　　　홍성군</t>
  </si>
  <si>
    <t>2015년 홍성군 인구</t>
    <phoneticPr fontId="10" type="noConversion"/>
  </si>
  <si>
    <t>DT_1B04005N</t>
  </si>
  <si>
    <t>행정구역(읍면동)별/5세별 주민등록인구(2011년~)</t>
  </si>
  <si>
    <t>월, 년 2011 ~ 2016.05</t>
  </si>
  <si>
    <t>행정자치부, 주민등록인구현황</t>
  </si>
  <si>
    <t>2016.06.21 17:14</t>
  </si>
  <si>
    <t>http://kosis.kr/statHtml/statHtml.do?orgId=101&amp;tblId=DT_1B04005N&amp;conn_path=I3</t>
  </si>
  <si>
    <t>○ 단위</t>
  </si>
  <si>
    <t>명</t>
  </si>
  <si>
    <t>* 등록구분의 "전체"는 "거주자", "거주불명자", "재외국민"이 포함된 자료입니다.</t>
  </si>
  <si>
    <t>- 거주자: 거주지가 분명한 사람(재외국민 제외)</t>
  </si>
  <si>
    <t>- 거주불명자: 거주사실이 불분명하여 거주불명으로 등록된 사람(2010년 1월부터 통계에 포함)</t>
  </si>
  <si>
    <t>- 재외국민: 외국의 영주권을 취득한(영주목적으로 외국거주 포함) 대한민국 국민으로 주민등록을 한 사람(2015년 1월부터 통계에 포함)</t>
  </si>
  <si>
    <t>* 주민등록 연령별 인구통계는 주민등록 신고에 따른 것으로 실제 연령과는 차이가 있을 수 있습니다.</t>
  </si>
  <si>
    <t>* 아래 8개의 면은 인구가 없는 지역이므로 통계현황에서 제외됩니다.</t>
  </si>
  <si>
    <t>(경기도 파주시 군내면, 장단면, 진서면, 강원도 철원군 근동면, 원동면, 원남면, 임남면, 고성군 수동면)</t>
  </si>
  <si>
    <t>85~89</t>
    <phoneticPr fontId="10" type="noConversion"/>
  </si>
  <si>
    <t>90~94</t>
    <phoneticPr fontId="10" type="noConversion"/>
  </si>
  <si>
    <t>95~99</t>
    <phoneticPr fontId="10" type="noConversion"/>
  </si>
  <si>
    <t>100+</t>
    <phoneticPr fontId="10" type="noConversion"/>
  </si>
  <si>
    <t>출산성비(15-20)</t>
    <phoneticPr fontId="10" type="noConversion"/>
  </si>
  <si>
    <t>2015~2020 년 출산율</t>
    <phoneticPr fontId="10" type="noConversion"/>
  </si>
  <si>
    <t>2015~2020 영아사망률</t>
    <phoneticPr fontId="10" type="noConversion"/>
  </si>
  <si>
    <t>2015~2020생잔율</t>
    <phoneticPr fontId="10" type="noConversion"/>
  </si>
  <si>
    <t>2003년 인구(명)</t>
    <phoneticPr fontId="10" type="noConversion"/>
  </si>
  <si>
    <t>생잔모형법에 의한 장래인구(외국인 미포함)</t>
    <phoneticPr fontId="10" type="noConversion"/>
  </si>
  <si>
    <t>추계인구 (명)</t>
  </si>
  <si>
    <t>추계인구(남) (명)</t>
  </si>
  <si>
    <t>추계인구(여) (명)</t>
  </si>
  <si>
    <t>0-4세</t>
  </si>
  <si>
    <t>5-9세</t>
  </si>
  <si>
    <t>10-14세</t>
  </si>
  <si>
    <t>15-19세</t>
  </si>
  <si>
    <t>20-24세</t>
  </si>
  <si>
    <t>25-29세</t>
  </si>
  <si>
    <t>30-34세</t>
  </si>
  <si>
    <t>35-39세</t>
  </si>
  <si>
    <t>40-44세</t>
  </si>
  <si>
    <t>45-49세</t>
  </si>
  <si>
    <t>50-54세</t>
  </si>
  <si>
    <t>55-59세</t>
  </si>
  <si>
    <t>60-64세</t>
  </si>
  <si>
    <t>65-69세</t>
  </si>
  <si>
    <t>70-74세</t>
  </si>
  <si>
    <t>75-79세</t>
  </si>
  <si>
    <t>80-84세</t>
  </si>
  <si>
    <t>85-89세</t>
  </si>
  <si>
    <t>90-94세</t>
  </si>
  <si>
    <t>95세이상</t>
  </si>
  <si>
    <t>100세이상</t>
  </si>
  <si>
    <t>DT_1B01003</t>
  </si>
  <si>
    <t>연령별(시도) 추계인구</t>
  </si>
  <si>
    <t>2016.06.24 10:01</t>
  </si>
  <si>
    <t>http://kosis.kr/statHtml/statHtml.do?orgId=101&amp;tblId=DT_1B01003&amp;conn_path=I3</t>
  </si>
  <si>
    <t>* 1970~1999년의 80~84세 인구는 80세이상 인구임</t>
  </si>
  <si>
    <t>* 본 자료는 2014년 12월 장래인구추계 시도편 자료임</t>
  </si>
  <si>
    <t>* 인구는 국적에 관계없이 국내에 거주하는 인구임(외국인도 포함)</t>
  </si>
  <si>
    <t>2016.06.24 09:53</t>
  </si>
  <si>
    <t>구      분</t>
  </si>
  <si>
    <t>2020년</t>
  </si>
  <si>
    <t>2025년</t>
  </si>
  <si>
    <t>2030년</t>
  </si>
  <si>
    <t>2035년</t>
  </si>
  <si>
    <t>비   고</t>
  </si>
  <si>
    <t>금회 홍성군 장래인구
(생잔모형법)</t>
  </si>
  <si>
    <t>금회 충청남도 장래인구</t>
  </si>
  <si>
    <t>통계청 충청남도 장래인구</t>
  </si>
  <si>
    <t>보정인구</t>
  </si>
  <si>
    <t>적      용</t>
  </si>
  <si>
    <t>홍성군</t>
  </si>
  <si>
    <t>2015년 인구 현황</t>
  </si>
  <si>
    <t>시군구</t>
  </si>
  <si>
    <t>읍면동</t>
  </si>
  <si>
    <t>법정리</t>
  </si>
  <si>
    <t>세대수</t>
  </si>
  <si>
    <t>인구수</t>
  </si>
  <si>
    <t>홍성읍</t>
  </si>
  <si>
    <t>오관리</t>
  </si>
  <si>
    <t>대교리</t>
  </si>
  <si>
    <t>소향리</t>
  </si>
  <si>
    <t>월산리</t>
  </si>
  <si>
    <t>옥암리</t>
  </si>
  <si>
    <t>남장리</t>
  </si>
  <si>
    <t>학계리</t>
  </si>
  <si>
    <t>신성리</t>
  </si>
  <si>
    <t>송월리</t>
  </si>
  <si>
    <t>고암리</t>
  </si>
  <si>
    <t>내법리</t>
  </si>
  <si>
    <t>구룡리</t>
  </si>
  <si>
    <t>광천읍</t>
  </si>
  <si>
    <t>신진리</t>
  </si>
  <si>
    <t>광천리</t>
  </si>
  <si>
    <t>담산리</t>
  </si>
  <si>
    <t>가정리</t>
  </si>
  <si>
    <t>내죽리</t>
  </si>
  <si>
    <t>소암리</t>
  </si>
  <si>
    <t>매현리</t>
  </si>
  <si>
    <t>벽계리</t>
  </si>
  <si>
    <t>상정리</t>
  </si>
  <si>
    <t>옹암리</t>
  </si>
  <si>
    <t>운용리</t>
  </si>
  <si>
    <t>대평리</t>
  </si>
  <si>
    <t>월림리</t>
  </si>
  <si>
    <t>홍북면</t>
  </si>
  <si>
    <t>중계리</t>
  </si>
  <si>
    <t>상하리</t>
  </si>
  <si>
    <t>봉신리</t>
  </si>
  <si>
    <t>내덕리</t>
  </si>
  <si>
    <t>신경리</t>
  </si>
  <si>
    <t>대동리</t>
  </si>
  <si>
    <t>석택리</t>
  </si>
  <si>
    <t>용산리</t>
  </si>
  <si>
    <t>갈산리</t>
  </si>
  <si>
    <t>신정리</t>
  </si>
  <si>
    <t>산수리</t>
  </si>
  <si>
    <t>노은리</t>
  </si>
  <si>
    <t>대인리</t>
  </si>
  <si>
    <t>금마면</t>
  </si>
  <si>
    <t>월암리</t>
  </si>
  <si>
    <t>봉서리</t>
  </si>
  <si>
    <t>인산리</t>
  </si>
  <si>
    <t>가산리</t>
  </si>
  <si>
    <t>부평리</t>
  </si>
  <si>
    <t>덕정리</t>
  </si>
  <si>
    <t>용흥리</t>
  </si>
  <si>
    <t>송암리</t>
  </si>
  <si>
    <t>장성리</t>
  </si>
  <si>
    <t>신곡리</t>
  </si>
  <si>
    <t>죽림리</t>
  </si>
  <si>
    <t>화양리</t>
  </si>
  <si>
    <t>송강리</t>
  </si>
  <si>
    <t>홍동면</t>
  </si>
  <si>
    <t>운월리</t>
  </si>
  <si>
    <t>월현리</t>
  </si>
  <si>
    <t>원천리</t>
  </si>
  <si>
    <t>홍원리</t>
  </si>
  <si>
    <t>화신리</t>
  </si>
  <si>
    <t>문당리</t>
  </si>
  <si>
    <t>금평리</t>
  </si>
  <si>
    <t>구정리</t>
  </si>
  <si>
    <t>신기리</t>
  </si>
  <si>
    <t>수란리</t>
  </si>
  <si>
    <t>금당리</t>
  </si>
  <si>
    <t>효학리</t>
  </si>
  <si>
    <t>대영리</t>
  </si>
  <si>
    <t>팔괘리</t>
  </si>
  <si>
    <t>장곡면</t>
  </si>
  <si>
    <t>도산리</t>
  </si>
  <si>
    <t>신풍리</t>
  </si>
  <si>
    <t>화계리</t>
  </si>
  <si>
    <t>광성리</t>
  </si>
  <si>
    <t>오성리</t>
  </si>
  <si>
    <t>죽전리</t>
  </si>
  <si>
    <t>가송리</t>
  </si>
  <si>
    <t>신동리</t>
  </si>
  <si>
    <t>지정리</t>
  </si>
  <si>
    <t>월계리</t>
  </si>
  <si>
    <t>행정리</t>
  </si>
  <si>
    <t>천태리</t>
  </si>
  <si>
    <t>산성리</t>
  </si>
  <si>
    <t>옥계리</t>
  </si>
  <si>
    <t>대현리</t>
  </si>
  <si>
    <t>상송리</t>
  </si>
  <si>
    <t>은하면</t>
  </si>
  <si>
    <t>대천리</t>
  </si>
  <si>
    <t>유송리</t>
  </si>
  <si>
    <t>장곡리</t>
  </si>
  <si>
    <t>대율리</t>
  </si>
  <si>
    <t>금국리</t>
  </si>
  <si>
    <t>학산리</t>
  </si>
  <si>
    <t>목현리</t>
  </si>
  <si>
    <t>대판리</t>
  </si>
  <si>
    <t>덕실리</t>
  </si>
  <si>
    <t>화봉리</t>
  </si>
  <si>
    <t>장척리</t>
  </si>
  <si>
    <t>결성면</t>
  </si>
  <si>
    <t>읍내리</t>
  </si>
  <si>
    <t>성호리</t>
  </si>
  <si>
    <t>성남리</t>
  </si>
  <si>
    <t>금곡리</t>
  </si>
  <si>
    <t>성곡리</t>
  </si>
  <si>
    <t>무량리</t>
  </si>
  <si>
    <t>교항리</t>
  </si>
  <si>
    <t>용호리</t>
  </si>
  <si>
    <t>형산리</t>
  </si>
  <si>
    <t>서부면</t>
  </si>
  <si>
    <t>이호리</t>
  </si>
  <si>
    <t>광리</t>
  </si>
  <si>
    <t>궁리</t>
  </si>
  <si>
    <t>상황리</t>
  </si>
  <si>
    <t>거차리</t>
  </si>
  <si>
    <t>어사리</t>
  </si>
  <si>
    <t>남당리</t>
  </si>
  <si>
    <t>신리</t>
  </si>
  <si>
    <t>양곡리</t>
  </si>
  <si>
    <t>판교리</t>
  </si>
  <si>
    <t>중리</t>
  </si>
  <si>
    <t>죽도리</t>
  </si>
  <si>
    <t>갈산면</t>
  </si>
  <si>
    <t>상촌리</t>
  </si>
  <si>
    <t>내갈리</t>
  </si>
  <si>
    <t>신안리</t>
  </si>
  <si>
    <t>가곡리</t>
  </si>
  <si>
    <t>갈오리</t>
  </si>
  <si>
    <t>동산리</t>
  </si>
  <si>
    <t>쌍천리</t>
  </si>
  <si>
    <t>행산리</t>
  </si>
  <si>
    <t>오두리</t>
  </si>
  <si>
    <t>부기리</t>
  </si>
  <si>
    <t>기산리</t>
  </si>
  <si>
    <t>동성리</t>
  </si>
  <si>
    <t>취생리</t>
  </si>
  <si>
    <t>운곡리</t>
  </si>
  <si>
    <t>와리</t>
  </si>
  <si>
    <t>대사리</t>
  </si>
  <si>
    <t>구항면</t>
  </si>
  <si>
    <t>황곡리</t>
  </si>
  <si>
    <t>오봉리</t>
  </si>
  <si>
    <t>공리</t>
  </si>
  <si>
    <t>남산리</t>
  </si>
  <si>
    <t>장양리</t>
  </si>
  <si>
    <t>태봉리</t>
  </si>
  <si>
    <t>내현리</t>
  </si>
  <si>
    <t>대정리</t>
  </si>
  <si>
    <t>청광리</t>
  </si>
  <si>
    <t>마온리</t>
  </si>
  <si>
    <t>인구수(내포제외)</t>
    <phoneticPr fontId="10" type="noConversion"/>
  </si>
  <si>
    <t>배율</t>
    <phoneticPr fontId="10" type="noConversion"/>
  </si>
  <si>
    <t>2014년추계자료 (2015년인구는 금회충남인구로 산정)</t>
    <phoneticPr fontId="10" type="noConversion"/>
  </si>
  <si>
    <t>공동주택/택지지구</t>
    <phoneticPr fontId="150" type="noConversion"/>
  </si>
  <si>
    <t>위치</t>
    <phoneticPr fontId="150" type="noConversion"/>
  </si>
  <si>
    <t>세대수</t>
    <phoneticPr fontId="150" type="noConversion"/>
  </si>
  <si>
    <t>계</t>
    <phoneticPr fontId="150" type="noConversion"/>
  </si>
  <si>
    <t>홍성읍 옥암리 187</t>
    <phoneticPr fontId="150" type="noConversion"/>
  </si>
  <si>
    <t>2016년</t>
    <phoneticPr fontId="150" type="noConversion"/>
  </si>
  <si>
    <t>2018년</t>
    <phoneticPr fontId="150" type="noConversion"/>
  </si>
  <si>
    <t>2018년</t>
    <phoneticPr fontId="150" type="noConversion"/>
  </si>
  <si>
    <t>홍성읍 오관리 477-1</t>
    <phoneticPr fontId="150" type="noConversion"/>
  </si>
  <si>
    <t>(%)</t>
  </si>
  <si>
    <t>지 역</t>
  </si>
  <si>
    <t>외부유입률(%)</t>
  </si>
  <si>
    <t>경 기</t>
  </si>
  <si>
    <t>22.9～51.7</t>
  </si>
  <si>
    <t>경 남</t>
  </si>
  <si>
    <t>27.4～43.4</t>
  </si>
  <si>
    <t>부 산</t>
  </si>
  <si>
    <t>21.4～24.4</t>
  </si>
  <si>
    <t>경 북</t>
  </si>
  <si>
    <t>29.0～41.6</t>
  </si>
  <si>
    <t>대 전</t>
  </si>
  <si>
    <t>33.3～37.7</t>
  </si>
  <si>
    <t>전 남</t>
  </si>
  <si>
    <t>21.1～41.8</t>
  </si>
  <si>
    <t>대 구</t>
  </si>
  <si>
    <t>23.1～25.9</t>
  </si>
  <si>
    <t>전 북</t>
  </si>
  <si>
    <t>15.6～29.5</t>
  </si>
  <si>
    <t>울 산</t>
  </si>
  <si>
    <t>29.1～31.3</t>
  </si>
  <si>
    <t>충 남</t>
  </si>
  <si>
    <t>37.7～40.9</t>
  </si>
  <si>
    <t>광 주</t>
  </si>
  <si>
    <t>32.2～34.8</t>
  </si>
  <si>
    <t>충 북</t>
  </si>
  <si>
    <t>24.5～26.8</t>
  </si>
  <si>
    <t>인 천</t>
  </si>
  <si>
    <t>32.2～33.7</t>
  </si>
  <si>
    <t>구분</t>
  </si>
  <si>
    <t>총이동</t>
  </si>
  <si>
    <t>시도내 이동</t>
  </si>
  <si>
    <t>시도간이동</t>
  </si>
  <si>
    <t>전입인구(인)</t>
  </si>
  <si>
    <t>내부유입율(%)</t>
  </si>
  <si>
    <t>외부유입율(%)</t>
  </si>
  <si>
    <t>비고</t>
  </si>
  <si>
    <t>적용 외부유입율</t>
  </si>
  <si>
    <t>1.1 자연적 인구</t>
    <phoneticPr fontId="10" type="noConversion"/>
  </si>
  <si>
    <t>1.1.1 과거인구 현황</t>
    <phoneticPr fontId="10" type="noConversion"/>
  </si>
  <si>
    <t>Chart 생잔모형법에 의한 인구추정(충청남도)</t>
    <phoneticPr fontId="10" type="noConversion"/>
  </si>
  <si>
    <t>▣ 인구보정(자연적)</t>
    <phoneticPr fontId="10" type="noConversion"/>
  </si>
  <si>
    <t>2020년 홍성군기본계획(변경)</t>
    <phoneticPr fontId="10" type="noConversion"/>
  </si>
  <si>
    <t>홍성군 수도정비 기본계획(변경)</t>
    <phoneticPr fontId="10" type="noConversion"/>
  </si>
  <si>
    <t>홍성군 하수도정 비기본계획(변경)</t>
    <phoneticPr fontId="10" type="noConversion"/>
  </si>
  <si>
    <t>2012.3</t>
    <phoneticPr fontId="10" type="noConversion"/>
  </si>
  <si>
    <t>2010.8</t>
    <phoneticPr fontId="10" type="noConversion"/>
  </si>
  <si>
    <t>2014.0</t>
    <phoneticPr fontId="10" type="noConversion"/>
  </si>
  <si>
    <t>-</t>
    <phoneticPr fontId="10" type="noConversion"/>
  </si>
  <si>
    <t>151,300   (91,300)</t>
    <phoneticPr fontId="10" type="noConversion"/>
  </si>
  <si>
    <t>180,000   (120,000)</t>
    <phoneticPr fontId="10" type="noConversion"/>
  </si>
  <si>
    <t>156,000  (96,000)</t>
    <phoneticPr fontId="10" type="noConversion"/>
  </si>
  <si>
    <t>149,600  (89,600)</t>
    <phoneticPr fontId="10" type="noConversion"/>
  </si>
  <si>
    <t>155,300  (95,000)</t>
    <phoneticPr fontId="10" type="noConversion"/>
  </si>
  <si>
    <t>A</t>
    <phoneticPr fontId="10" type="noConversion"/>
  </si>
  <si>
    <t>B</t>
    <phoneticPr fontId="10" type="noConversion"/>
  </si>
  <si>
    <t>자료 : 홍성군『통계연보(2004~2015), 홍성군청 기획감사실』</t>
    <phoneticPr fontId="10" type="noConversion"/>
  </si>
  <si>
    <t>구분</t>
    <phoneticPr fontId="10" type="noConversion"/>
  </si>
  <si>
    <t>외국인</t>
    <phoneticPr fontId="10" type="noConversion"/>
  </si>
  <si>
    <t>남</t>
    <phoneticPr fontId="10" type="noConversion"/>
  </si>
  <si>
    <t>여</t>
    <phoneticPr fontId="10" type="noConversion"/>
  </si>
  <si>
    <t>계</t>
    <phoneticPr fontId="10" type="noConversion"/>
  </si>
  <si>
    <t>2014년 외국인인구 포함 (전체:1,861, 남:1,226, 여:635)</t>
    <phoneticPr fontId="10" type="noConversion"/>
  </si>
  <si>
    <t>자연</t>
    <phoneticPr fontId="10" type="noConversion"/>
  </si>
  <si>
    <t>계획</t>
    <phoneticPr fontId="10" type="noConversion"/>
  </si>
  <si>
    <t>사회</t>
    <phoneticPr fontId="10" type="noConversion"/>
  </si>
  <si>
    <t>자연적</t>
    <phoneticPr fontId="10" type="noConversion"/>
  </si>
  <si>
    <t>사회적</t>
    <phoneticPr fontId="10" type="noConversion"/>
  </si>
  <si>
    <t>구분</t>
    <phoneticPr fontId="10" type="noConversion"/>
  </si>
  <si>
    <t>오관구역 주거환경개선사업</t>
    <phoneticPr fontId="150" type="noConversion"/>
  </si>
  <si>
    <t>남장지구 택지개발사업</t>
    <phoneticPr fontId="150" type="noConversion"/>
  </si>
  <si>
    <t>역재방죽지구 도시개발사업</t>
    <phoneticPr fontId="150" type="noConversion"/>
  </si>
  <si>
    <t>홍성일반산업단지</t>
    <phoneticPr fontId="150" type="noConversion"/>
  </si>
  <si>
    <t>갈산2 전문농공단지</t>
    <phoneticPr fontId="10" type="noConversion"/>
  </si>
  <si>
    <t>산업단지</t>
    <phoneticPr fontId="10" type="noConversion"/>
  </si>
  <si>
    <t>홍성읍 남장리 591</t>
    <phoneticPr fontId="150" type="noConversion"/>
  </si>
  <si>
    <t>홍성읍 고암리 668</t>
    <phoneticPr fontId="150" type="noConversion"/>
  </si>
  <si>
    <t>갈산면 취생리 산 126-1</t>
    <phoneticPr fontId="150" type="noConversion"/>
  </si>
  <si>
    <t>갈산면 운곡리 488-3</t>
    <phoneticPr fontId="10" type="noConversion"/>
  </si>
  <si>
    <t>-</t>
    <phoneticPr fontId="10" type="noConversion"/>
  </si>
  <si>
    <t>옥암지구 도시개발사업</t>
    <phoneticPr fontId="150" type="noConversion"/>
  </si>
  <si>
    <t>2013~2015년 인구는 내포신도시 인구 제외</t>
    <phoneticPr fontId="10" type="noConversion"/>
  </si>
  <si>
    <t>내포제외</t>
    <phoneticPr fontId="10" type="noConversion"/>
  </si>
  <si>
    <t>2. 내포신도시 기존인구 및 비율</t>
    <phoneticPr fontId="11" type="noConversion"/>
  </si>
  <si>
    <t>구분</t>
    <phoneticPr fontId="11" type="noConversion"/>
  </si>
  <si>
    <t>인구</t>
    <phoneticPr fontId="11" type="noConversion"/>
  </si>
  <si>
    <t>비율</t>
    <phoneticPr fontId="11" type="noConversion"/>
  </si>
  <si>
    <t>계</t>
    <phoneticPr fontId="11" type="noConversion"/>
  </si>
  <si>
    <t>홍성</t>
    <phoneticPr fontId="11" type="noConversion"/>
  </si>
  <si>
    <t>예산</t>
    <phoneticPr fontId="11" type="noConversion"/>
  </si>
  <si>
    <t>남</t>
    <phoneticPr fontId="11" type="noConversion"/>
  </si>
  <si>
    <t>여</t>
    <phoneticPr fontId="10" type="noConversion"/>
  </si>
  <si>
    <t>계</t>
    <phoneticPr fontId="10" type="noConversion"/>
  </si>
  <si>
    <t>2015년인구</t>
    <phoneticPr fontId="10" type="noConversion"/>
  </si>
  <si>
    <t>비율</t>
    <phoneticPr fontId="10" type="noConversion"/>
  </si>
  <si>
    <r>
      <t>인구</t>
    </r>
    <r>
      <rPr>
        <sz val="11"/>
        <color rgb="FF000000"/>
        <rFont val="HY그래픽M"/>
        <family val="1"/>
        <charset val="129"/>
      </rPr>
      <t>(</t>
    </r>
    <r>
      <rPr>
        <sz val="11"/>
        <color rgb="FF000000"/>
        <rFont val="돋움"/>
        <family val="3"/>
        <charset val="129"/>
      </rPr>
      <t>명</t>
    </r>
    <r>
      <rPr>
        <sz val="11"/>
        <color rgb="FF000000"/>
        <rFont val="HY그래픽M"/>
        <family val="1"/>
        <charset val="129"/>
      </rPr>
      <t>)</t>
    </r>
  </si>
  <si>
    <t>인구증가율</t>
  </si>
  <si>
    <t>세대당인구</t>
  </si>
  <si>
    <r>
      <t>(</t>
    </r>
    <r>
      <rPr>
        <sz val="11"/>
        <color rgb="FF000000"/>
        <rFont val="돋움"/>
        <family val="3"/>
        <charset val="129"/>
      </rPr>
      <t>명</t>
    </r>
    <r>
      <rPr>
        <sz val="11"/>
        <color rgb="FF000000"/>
        <rFont val="HY그래픽M"/>
        <family val="1"/>
        <charset val="129"/>
      </rPr>
      <t>)</t>
    </r>
  </si>
  <si>
    <t>소계</t>
  </si>
  <si>
    <t>남</t>
  </si>
  <si>
    <t>여</t>
  </si>
  <si>
    <r>
      <t>2004</t>
    </r>
    <r>
      <rPr>
        <sz val="11"/>
        <color rgb="FF000000"/>
        <rFont val="돋움"/>
        <family val="3"/>
        <charset val="129"/>
      </rPr>
      <t>년</t>
    </r>
  </si>
  <si>
    <r>
      <t>2005</t>
    </r>
    <r>
      <rPr>
        <sz val="11"/>
        <color rgb="FF000000"/>
        <rFont val="돋움"/>
        <family val="3"/>
        <charset val="129"/>
      </rPr>
      <t>년</t>
    </r>
  </si>
  <si>
    <r>
      <t>2006</t>
    </r>
    <r>
      <rPr>
        <sz val="11"/>
        <color rgb="FF000000"/>
        <rFont val="돋움"/>
        <family val="3"/>
        <charset val="129"/>
      </rPr>
      <t>년</t>
    </r>
  </si>
  <si>
    <r>
      <t>2007</t>
    </r>
    <r>
      <rPr>
        <sz val="11"/>
        <color rgb="FF000000"/>
        <rFont val="돋움"/>
        <family val="3"/>
        <charset val="129"/>
      </rPr>
      <t>년</t>
    </r>
  </si>
  <si>
    <r>
      <t>2008</t>
    </r>
    <r>
      <rPr>
        <sz val="11"/>
        <color rgb="FF000000"/>
        <rFont val="돋움"/>
        <family val="3"/>
        <charset val="129"/>
      </rPr>
      <t xml:space="preserve">년 </t>
    </r>
  </si>
  <si>
    <r>
      <t>2009</t>
    </r>
    <r>
      <rPr>
        <sz val="11"/>
        <color rgb="FF000000"/>
        <rFont val="돋움"/>
        <family val="3"/>
        <charset val="129"/>
      </rPr>
      <t>년</t>
    </r>
  </si>
  <si>
    <r>
      <t>2010</t>
    </r>
    <r>
      <rPr>
        <sz val="11"/>
        <color rgb="FF000000"/>
        <rFont val="돋움"/>
        <family val="3"/>
        <charset val="129"/>
      </rPr>
      <t>년</t>
    </r>
  </si>
  <si>
    <r>
      <t>2011</t>
    </r>
    <r>
      <rPr>
        <sz val="11"/>
        <color rgb="FF000000"/>
        <rFont val="돋움"/>
        <family val="3"/>
        <charset val="129"/>
      </rPr>
      <t>년</t>
    </r>
  </si>
  <si>
    <r>
      <t>2012</t>
    </r>
    <r>
      <rPr>
        <sz val="11"/>
        <color rgb="FF000000"/>
        <rFont val="돋움"/>
        <family val="3"/>
        <charset val="129"/>
      </rPr>
      <t>년</t>
    </r>
  </si>
  <si>
    <r>
      <t>2013</t>
    </r>
    <r>
      <rPr>
        <sz val="11"/>
        <color rgb="FF000000"/>
        <rFont val="돋움"/>
        <family val="3"/>
        <charset val="129"/>
      </rPr>
      <t>년</t>
    </r>
  </si>
  <si>
    <r>
      <t>2014</t>
    </r>
    <r>
      <rPr>
        <sz val="11"/>
        <color rgb="FF000000"/>
        <rFont val="돋움"/>
        <family val="3"/>
        <charset val="129"/>
      </rPr>
      <t>년</t>
    </r>
  </si>
  <si>
    <r>
      <t>2015</t>
    </r>
    <r>
      <rPr>
        <sz val="11"/>
        <color rgb="FF000000"/>
        <rFont val="돋움"/>
        <family val="3"/>
        <charset val="129"/>
      </rPr>
      <t>년</t>
    </r>
  </si>
  <si>
    <t>비율</t>
    <phoneticPr fontId="10" type="noConversion"/>
  </si>
  <si>
    <t>홍성군</t>
    <phoneticPr fontId="10" type="noConversion"/>
  </si>
  <si>
    <t>홍성읍</t>
    <phoneticPr fontId="10" type="noConversion"/>
  </si>
  <si>
    <t>흥북면</t>
    <phoneticPr fontId="10" type="noConversion"/>
  </si>
  <si>
    <t>1.3 계획인구</t>
    <phoneticPr fontId="10" type="noConversion"/>
  </si>
  <si>
    <r>
      <t>R</t>
    </r>
    <r>
      <rPr>
        <vertAlign val="superscript"/>
        <sz val="10"/>
        <rFont val="굴림"/>
        <family val="3"/>
        <charset val="129"/>
      </rPr>
      <t>2</t>
    </r>
    <r>
      <rPr>
        <sz val="10"/>
        <rFont val="굴림"/>
        <family val="3"/>
        <charset val="129"/>
      </rPr>
      <t>=</t>
    </r>
    <phoneticPr fontId="10" type="noConversion"/>
  </si>
  <si>
    <r>
      <t>R</t>
    </r>
    <r>
      <rPr>
        <vertAlign val="superscript"/>
        <sz val="10"/>
        <color indexed="10"/>
        <rFont val="굴림"/>
        <family val="3"/>
        <charset val="129"/>
      </rPr>
      <t>2</t>
    </r>
    <r>
      <rPr>
        <sz val="10"/>
        <color indexed="10"/>
        <rFont val="굴림"/>
        <family val="3"/>
        <charset val="129"/>
      </rPr>
      <t>=</t>
    </r>
    <phoneticPr fontId="10" type="noConversion"/>
  </si>
  <si>
    <r>
      <t>R</t>
    </r>
    <r>
      <rPr>
        <vertAlign val="superscript"/>
        <sz val="10"/>
        <rFont val="굴림"/>
        <family val="3"/>
        <charset val="129"/>
      </rPr>
      <t xml:space="preserve">2 </t>
    </r>
    <r>
      <rPr>
        <sz val="10"/>
        <rFont val="굴림"/>
        <family val="3"/>
        <charset val="129"/>
      </rPr>
      <t>=</t>
    </r>
    <phoneticPr fontId="13" type="noConversion"/>
  </si>
  <si>
    <r>
      <t>R</t>
    </r>
    <r>
      <rPr>
        <vertAlign val="superscript"/>
        <sz val="10"/>
        <rFont val="굴림"/>
        <family val="3"/>
        <charset val="129"/>
      </rPr>
      <t>2</t>
    </r>
    <phoneticPr fontId="10" type="noConversion"/>
  </si>
  <si>
    <t>* 내포신도시 인구 및 외국인 포함</t>
    <phoneticPr fontId="10" type="noConversion"/>
  </si>
  <si>
    <t>주) 내포신도시 인구 및 외국인 인구 제외</t>
    <phoneticPr fontId="10" type="noConversion"/>
  </si>
  <si>
    <t xml:space="preserve">     순증가 인구 = 출생 - 사망</t>
    <phoneticPr fontId="10" type="noConversion"/>
  </si>
  <si>
    <t>■ 5세 계급별 인구 - 충청남도 전체</t>
    <phoneticPr fontId="13" type="noConversion"/>
  </si>
  <si>
    <t>■ 5세 계급별 인구 - 홍성군 전체(내포신도시 인구 제외)</t>
    <phoneticPr fontId="13" type="noConversion"/>
  </si>
  <si>
    <t>■ 5세 계급별 인구 - 홍성군 전체(내포신도시 인구 포함)</t>
    <phoneticPr fontId="13" type="noConversion"/>
  </si>
  <si>
    <t>1) 출산율은 '시도별 장래 추계인구의 시도별 모의 연령별 출산율(충남)'적용</t>
    <phoneticPr fontId="10" type="noConversion"/>
  </si>
  <si>
    <t>▣ 인구추정 기본방향</t>
    <phoneticPr fontId="10" type="noConversion"/>
  </si>
  <si>
    <t xml:space="preserve">  -  내포신도시 인구는 별도 산정</t>
    <phoneticPr fontId="10" type="noConversion"/>
  </si>
  <si>
    <t xml:space="preserve">  -  외국인인구는 추정인구에 추가함</t>
    <phoneticPr fontId="10" type="noConversion"/>
  </si>
  <si>
    <t xml:space="preserve">  -  수학적 방법 및 조성법의 과거인구 자료는 내포신도시 인구 및 외국인을 제외하여 사용</t>
    <phoneticPr fontId="10" type="noConversion"/>
  </si>
  <si>
    <t>보정 후 목표년도 인구가 증가하여 보정 전 인구 채택</t>
    <phoneticPr fontId="10" type="noConversion"/>
  </si>
  <si>
    <t xml:space="preserve">  -  통계청 추계인구에 의한 보정 시 목표년도별 인구 증가 발생 시 보정 제외함</t>
    <phoneticPr fontId="10" type="noConversion"/>
  </si>
  <si>
    <t>소계(내포제외)</t>
    <phoneticPr fontId="10" type="noConversion"/>
  </si>
  <si>
    <t>* 총 전입인구 중 시도간 전입인구를 외부유입율로 산정</t>
    <phoneticPr fontId="10" type="noConversion"/>
  </si>
  <si>
    <t>자료) 홍성통계연보(2014)</t>
    <phoneticPr fontId="10" type="noConversion"/>
  </si>
  <si>
    <t>종전 홍성군 수도정비기본계획 변경(2010.8)</t>
    <phoneticPr fontId="10" type="noConversion"/>
  </si>
  <si>
    <t>산업단지</t>
    <phoneticPr fontId="10" type="noConversion"/>
  </si>
  <si>
    <t>도시개발</t>
    <phoneticPr fontId="10" type="noConversion"/>
  </si>
  <si>
    <t>외부유입율(%)</t>
    <phoneticPr fontId="10" type="noConversion"/>
  </si>
  <si>
    <t>비고</t>
    <phoneticPr fontId="10" type="noConversion"/>
  </si>
  <si>
    <t>계</t>
    <phoneticPr fontId="10" type="noConversion"/>
  </si>
  <si>
    <t>자연적</t>
    <phoneticPr fontId="10" type="noConversion"/>
  </si>
  <si>
    <t>사회적</t>
    <phoneticPr fontId="10" type="noConversion"/>
  </si>
  <si>
    <t>장래인구</t>
    <phoneticPr fontId="10" type="noConversion"/>
  </si>
  <si>
    <t>적용</t>
    <phoneticPr fontId="10" type="noConversion"/>
  </si>
  <si>
    <t>주) 상수도 수요예측 업무편람 참조</t>
    <phoneticPr fontId="10" type="noConversion"/>
  </si>
  <si>
    <t>지역</t>
    <phoneticPr fontId="10" type="noConversion"/>
  </si>
  <si>
    <t>경기</t>
    <phoneticPr fontId="10" type="noConversion"/>
  </si>
  <si>
    <t>대전</t>
    <phoneticPr fontId="10" type="noConversion"/>
  </si>
  <si>
    <t>대구</t>
    <phoneticPr fontId="10" type="noConversion"/>
  </si>
  <si>
    <t>울산</t>
    <phoneticPr fontId="10" type="noConversion"/>
  </si>
  <si>
    <t>인천</t>
    <phoneticPr fontId="10" type="noConversion"/>
  </si>
  <si>
    <t>경남</t>
    <phoneticPr fontId="10" type="noConversion"/>
  </si>
  <si>
    <t>충남</t>
    <phoneticPr fontId="10" type="noConversion"/>
  </si>
  <si>
    <t>충북</t>
    <phoneticPr fontId="10" type="noConversion"/>
  </si>
  <si>
    <t>경북</t>
    <phoneticPr fontId="10" type="noConversion"/>
  </si>
  <si>
    <t>전남</t>
    <phoneticPr fontId="10" type="noConversion"/>
  </si>
  <si>
    <t>전북</t>
    <phoneticPr fontId="10" type="noConversion"/>
  </si>
  <si>
    <t>개발유형별 외부유입률</t>
    <phoneticPr fontId="10" type="noConversion"/>
  </si>
  <si>
    <t>개발사업유형(%)</t>
    <phoneticPr fontId="10" type="noConversion"/>
  </si>
  <si>
    <t>택지개발</t>
    <phoneticPr fontId="10" type="noConversion"/>
  </si>
  <si>
    <t>(55.5%)</t>
    <phoneticPr fontId="10" type="noConversion"/>
  </si>
  <si>
    <t>(49.7%)</t>
    <phoneticPr fontId="10" type="noConversion"/>
  </si>
  <si>
    <t>(49.2%)</t>
    <phoneticPr fontId="10" type="noConversion"/>
  </si>
  <si>
    <t>(39.2%)</t>
    <phoneticPr fontId="10" type="noConversion"/>
  </si>
  <si>
    <t>(38.7%)</t>
    <phoneticPr fontId="10" type="noConversion"/>
  </si>
  <si>
    <t>(35.8%)</t>
    <phoneticPr fontId="10" type="noConversion"/>
  </si>
  <si>
    <t>주택재개발</t>
    <phoneticPr fontId="10" type="noConversion"/>
  </si>
  <si>
    <t>도시개발</t>
    <phoneticPr fontId="10" type="noConversion"/>
  </si>
  <si>
    <t>지구단위</t>
    <phoneticPr fontId="10" type="noConversion"/>
  </si>
  <si>
    <t>도시정비</t>
    <phoneticPr fontId="10" type="noConversion"/>
  </si>
  <si>
    <t>재건축</t>
    <phoneticPr fontId="10" type="noConversion"/>
  </si>
  <si>
    <t>부산</t>
    <phoneticPr fontId="10" type="noConversion"/>
  </si>
  <si>
    <t>광주</t>
    <phoneticPr fontId="10" type="noConversion"/>
  </si>
  <si>
    <t>홍성군</t>
    <phoneticPr fontId="10" type="noConversion"/>
  </si>
  <si>
    <t>* 금회 홍성군의 외부유입율은 '상수도예측업무편람' 의 도시개발, 택지개발, 주택재개발 지구단위의 충남지역 기준을 적용 하였다</t>
    <phoneticPr fontId="10" type="noConversion"/>
  </si>
  <si>
    <t>택지개발</t>
    <phoneticPr fontId="10" type="noConversion"/>
  </si>
  <si>
    <t>주택재개발</t>
    <phoneticPr fontId="10" type="noConversion"/>
  </si>
  <si>
    <t>도시개발</t>
    <phoneticPr fontId="10" type="noConversion"/>
  </si>
  <si>
    <t>주택재개발</t>
    <phoneticPr fontId="10" type="noConversion"/>
  </si>
  <si>
    <t>택지개발</t>
    <phoneticPr fontId="10" type="noConversion"/>
  </si>
  <si>
    <t>비고</t>
    <phoneticPr fontId="10" type="noConversion"/>
  </si>
  <si>
    <t>계획년도</t>
    <phoneticPr fontId="150" type="noConversion"/>
  </si>
  <si>
    <t>년도</t>
    <phoneticPr fontId="10" type="noConversion"/>
  </si>
  <si>
    <t>계</t>
    <phoneticPr fontId="10" type="noConversion"/>
  </si>
  <si>
    <t>도시개발
및 택지개발</t>
    <phoneticPr fontId="10" type="noConversion"/>
  </si>
  <si>
    <t>주) 오관구역 주거환경개선사업은 원주민의 재정착에 의해 외부유입이 적을 것으로 판단하여 제외함</t>
    <phoneticPr fontId="10" type="noConversion"/>
  </si>
  <si>
    <t>* (  ) : 내포신도시제외시</t>
    <phoneticPr fontId="10" type="noConversion"/>
  </si>
  <si>
    <t>▣ 장래 자연적인구</t>
    <phoneticPr fontId="10" type="noConversion"/>
  </si>
  <si>
    <t>추정인구</t>
    <phoneticPr fontId="10" type="noConversion"/>
  </si>
  <si>
    <t>외국인인구</t>
    <phoneticPr fontId="10" type="noConversion"/>
  </si>
  <si>
    <t>▣ 과거인구 현황</t>
    <phoneticPr fontId="10" type="noConversion"/>
  </si>
  <si>
    <t>▣ 수학적 방법에 의한 추정 - 홍성군 전체</t>
    <phoneticPr fontId="13" type="noConversion"/>
  </si>
  <si>
    <t>▣ 조성법</t>
    <phoneticPr fontId="10" type="noConversion"/>
  </si>
  <si>
    <t xml:space="preserve"> 가. 행정구역별 생잔모형법에 의한 장래인구</t>
    <phoneticPr fontId="10" type="noConversion"/>
  </si>
  <si>
    <t xml:space="preserve"> 나. 통계청 장래인구 추계 (2014년)</t>
    <phoneticPr fontId="10" type="noConversion"/>
  </si>
  <si>
    <t>▣ 개발계획 검토</t>
    <phoneticPr fontId="10" type="noConversion"/>
  </si>
  <si>
    <t>▣ 사회적 유입인구 추정</t>
    <phoneticPr fontId="10" type="noConversion"/>
  </si>
  <si>
    <t>구분</t>
    <phoneticPr fontId="10" type="noConversion"/>
  </si>
  <si>
    <t>계</t>
    <phoneticPr fontId="10" type="noConversion"/>
  </si>
  <si>
    <t>비고</t>
    <phoneticPr fontId="10" type="noConversion"/>
  </si>
  <si>
    <t>외부유입율
(%)</t>
    <phoneticPr fontId="150" type="noConversion"/>
  </si>
  <si>
    <t>유발인구
(인)</t>
    <phoneticPr fontId="150" type="noConversion"/>
  </si>
  <si>
    <t>유입인구
(인)</t>
    <phoneticPr fontId="150" type="noConversion"/>
  </si>
  <si>
    <t>적용
(인)</t>
    <phoneticPr fontId="150" type="noConversion"/>
  </si>
  <si>
    <t>(단위 : 인)</t>
    <phoneticPr fontId="10" type="noConversion"/>
  </si>
  <si>
    <t>* 산업단지에 의한 외부유입인구 제외</t>
    <phoneticPr fontId="10" type="noConversion"/>
  </si>
  <si>
    <t>* 오관구역 주거환경개선사업은 원주민의 재정착에 의해 외부유입이 적을 것으로 판단하여 제외</t>
    <phoneticPr fontId="10" type="noConversion"/>
  </si>
  <si>
    <t>▣ 문헌상의 외부 유입율</t>
    <phoneticPr fontId="10" type="noConversion"/>
  </si>
  <si>
    <t xml:space="preserve"> 가. 관련문헌(1)</t>
    <phoneticPr fontId="10" type="noConversion"/>
  </si>
  <si>
    <t xml:space="preserve"> 나. 관련문헌(2)</t>
    <phoneticPr fontId="10" type="noConversion"/>
  </si>
  <si>
    <t>66개 택지지구내 간접적 산정방법에 의한 외부유입률을 개발유형별 가중치 적용하여 산정</t>
    <phoneticPr fontId="10" type="noConversion"/>
  </si>
  <si>
    <t>66개 택지지구내 간접적 산정방법에 의한 외부 유입률 현황</t>
    <phoneticPr fontId="10" type="noConversion"/>
  </si>
  <si>
    <t>▣ 통계연보 자료에 의한 외부유입율</t>
    <phoneticPr fontId="10" type="noConversion"/>
  </si>
  <si>
    <t>▣ 관련계획상 외부유입율</t>
    <phoneticPr fontId="10" type="noConversion"/>
  </si>
  <si>
    <t>▣ 외부유입율 결정</t>
    <phoneticPr fontId="10" type="noConversion"/>
  </si>
  <si>
    <t>▣ 수학적 방법에 의한 인구추정</t>
    <phoneticPr fontId="10" type="noConversion"/>
  </si>
  <si>
    <t>▣ 조성법에 의한 인구추정(외국인제외)</t>
    <phoneticPr fontId="10" type="noConversion"/>
  </si>
  <si>
    <t>▣ 조성법에 의한 인구추정(외국인포함)</t>
    <phoneticPr fontId="10" type="noConversion"/>
  </si>
  <si>
    <t>▣ 관련계획 인구 비교</t>
    <phoneticPr fontId="10" type="noConversion"/>
  </si>
  <si>
    <t>▣ 금회추정</t>
    <phoneticPr fontId="10" type="noConversion"/>
  </si>
  <si>
    <t>▣ 읍면별 인구배분(자연+사회 총괄)(외국인포함)</t>
    <phoneticPr fontId="10" type="noConversion"/>
  </si>
  <si>
    <t>* 비율로 단계별 인구변화 재산정</t>
    <phoneticPr fontId="10" type="noConversion"/>
  </si>
  <si>
    <t>▣ 읍면별 인구배분(자연+사회 총괄)(외국인포함)(단계별 인구변화 재산정)</t>
    <phoneticPr fontId="10" type="noConversion"/>
  </si>
  <si>
    <t>▣ 읍면별 인구배분(자연)(외국인포함)(단계별 인구변화 재산정)</t>
    <phoneticPr fontId="10" type="noConversion"/>
  </si>
  <si>
    <t>홍성역세권 도시개발사업</t>
  </si>
  <si>
    <t>홍성역세권 도시개발사업</t>
    <phoneticPr fontId="10" type="noConversion"/>
  </si>
  <si>
    <t>홍성읍 고암리, 대교리 일원</t>
    <phoneticPr fontId="10" type="noConversion"/>
  </si>
  <si>
    <t>2020년</t>
    <phoneticPr fontId="10" type="noConversion"/>
  </si>
  <si>
    <t>홍성역세권 도시개발사업</t>
    <phoneticPr fontId="10" type="noConversion"/>
  </si>
  <si>
    <t>내포신도시 외부유입인구</t>
    <phoneticPr fontId="10" type="noConversion"/>
  </si>
  <si>
    <t>외부유입율</t>
    <phoneticPr fontId="10" type="noConversion"/>
  </si>
  <si>
    <t>내포신도시 외부유입율</t>
    <phoneticPr fontId="10" type="noConversion"/>
  </si>
  <si>
    <t>C</t>
    <phoneticPr fontId="10" type="noConversion"/>
  </si>
  <si>
    <t>D=BxC</t>
    <phoneticPr fontId="10" type="noConversion"/>
  </si>
  <si>
    <t>E=B-D</t>
    <phoneticPr fontId="10" type="noConversion"/>
  </si>
  <si>
    <t>내포신도시 계획인구(홍성군)</t>
    <phoneticPr fontId="10" type="noConversion"/>
  </si>
  <si>
    <t>읍면지역인구</t>
    <phoneticPr fontId="10" type="noConversion"/>
  </si>
  <si>
    <t>읍면지역유출인구</t>
    <phoneticPr fontId="10" type="noConversion"/>
  </si>
  <si>
    <t>F=A-E</t>
    <phoneticPr fontId="10" type="noConversion"/>
  </si>
  <si>
    <t>홍북면 인구이동 보고서(인구)</t>
    <phoneticPr fontId="150" type="noConversion"/>
  </si>
  <si>
    <t>(단위:인)</t>
    <phoneticPr fontId="150" type="noConversion"/>
  </si>
  <si>
    <t xml:space="preserve"> 구분</t>
    <phoneticPr fontId="150" type="noConversion"/>
  </si>
  <si>
    <t>전입인구수</t>
    <phoneticPr fontId="150" type="noConversion"/>
  </si>
  <si>
    <t>홍성군내</t>
    <phoneticPr fontId="150" type="noConversion"/>
  </si>
  <si>
    <t>타시군</t>
    <phoneticPr fontId="150" type="noConversion"/>
  </si>
  <si>
    <t>타시도</t>
    <phoneticPr fontId="150" type="noConversion"/>
  </si>
  <si>
    <t>타시군+타시도</t>
    <phoneticPr fontId="150" type="noConversion"/>
  </si>
  <si>
    <t>합계</t>
    <phoneticPr fontId="150" type="noConversion"/>
  </si>
  <si>
    <t>2014년</t>
    <phoneticPr fontId="150" type="noConversion"/>
  </si>
  <si>
    <t>1월</t>
    <phoneticPr fontId="150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</si>
  <si>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</si>
  <si>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</si>
  <si>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</si>
  <si>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</si>
  <si>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</si>
  <si>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</si>
  <si>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</si>
  <si>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</si>
  <si>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</si>
  <si>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</si>
  <si>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</si>
  <si>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2015년</t>
    <phoneticPr fontId="150" type="noConversion"/>
  </si>
  <si>
    <t>1월</t>
    <phoneticPr fontId="150" type="noConversion"/>
  </si>
  <si>
    <t>2017년</t>
    <phoneticPr fontId="150" type="noConversion"/>
  </si>
  <si>
    <t>7월</t>
    <phoneticPr fontId="150" type="noConversion"/>
  </si>
  <si>
    <t>계(2014~2017)</t>
    <phoneticPr fontId="150" type="noConversion"/>
  </si>
  <si>
    <t>비율(%)</t>
    <phoneticPr fontId="150" type="noConversion"/>
  </si>
  <si>
    <t>연도별 인구 합계</t>
    <phoneticPr fontId="150" type="noConversion"/>
  </si>
  <si>
    <t>누적인구 기준</t>
    <phoneticPr fontId="150" type="noConversion"/>
  </si>
  <si>
    <t>구분</t>
    <phoneticPr fontId="150" type="noConversion"/>
  </si>
  <si>
    <t>합계</t>
    <phoneticPr fontId="150" type="noConversion"/>
  </si>
  <si>
    <t>연도별 인구 비율</t>
    <phoneticPr fontId="150" type="noConversion"/>
  </si>
  <si>
    <t>(단위:%)</t>
    <phoneticPr fontId="150" type="noConversion"/>
  </si>
  <si>
    <t>홍성군내</t>
    <phoneticPr fontId="150" type="noConversion"/>
  </si>
  <si>
    <t>타시군</t>
    <phoneticPr fontId="150" type="noConversion"/>
  </si>
  <si>
    <t>타시도</t>
    <phoneticPr fontId="150" type="noConversion"/>
  </si>
  <si>
    <t>타시군+타시도</t>
    <phoneticPr fontId="150" type="noConversion"/>
  </si>
  <si>
    <t>구분</t>
    <phoneticPr fontId="150" type="noConversion"/>
  </si>
  <si>
    <t>홍성군내</t>
    <phoneticPr fontId="150" type="noConversion"/>
  </si>
  <si>
    <t>타시군+타시도</t>
    <phoneticPr fontId="150" type="noConversion"/>
  </si>
  <si>
    <t>합계</t>
    <phoneticPr fontId="150" type="noConversion"/>
  </si>
  <si>
    <t>평균(2014~2017)</t>
    <phoneticPr fontId="150" type="noConversion"/>
  </si>
  <si>
    <t>평균</t>
    <phoneticPr fontId="150" type="noConversion"/>
  </si>
  <si>
    <t>구분</t>
    <phoneticPr fontId="150" type="noConversion"/>
  </si>
  <si>
    <t>내포신도시인구(인)</t>
    <phoneticPr fontId="150" type="noConversion"/>
  </si>
  <si>
    <t>외부유입율(%)</t>
    <phoneticPr fontId="150" type="noConversion"/>
  </si>
  <si>
    <t>외부유입인구(인)</t>
    <phoneticPr fontId="150" type="noConversion"/>
  </si>
  <si>
    <t>읍면지역 유출인구(인)</t>
    <phoneticPr fontId="150" type="noConversion"/>
  </si>
  <si>
    <t>내포신도시인구(인)</t>
    <phoneticPr fontId="150" type="noConversion"/>
  </si>
  <si>
    <t>외부유입율(%)</t>
    <phoneticPr fontId="150" type="noConversion"/>
  </si>
  <si>
    <t>▣ 내포신도시 외부유입율 추정</t>
    <phoneticPr fontId="10" type="noConversion"/>
  </si>
  <si>
    <t>구분</t>
    <phoneticPr fontId="10" type="noConversion"/>
  </si>
  <si>
    <r>
      <t>경과년수(년</t>
    </r>
    <r>
      <rPr>
        <sz val="11"/>
        <color theme="1"/>
        <rFont val="맑은 고딕"/>
        <family val="2"/>
        <charset val="129"/>
        <scheme val="minor"/>
      </rPr>
      <t>)</t>
    </r>
    <phoneticPr fontId="10" type="noConversion"/>
  </si>
  <si>
    <r>
      <t>외부유입율(</t>
    </r>
    <r>
      <rPr>
        <sz val="11"/>
        <color theme="1"/>
        <rFont val="맑은 고딕"/>
        <family val="2"/>
        <charset val="129"/>
        <scheme val="minor"/>
      </rPr>
      <t>%)</t>
    </r>
    <phoneticPr fontId="10" type="noConversion"/>
  </si>
  <si>
    <t>평균</t>
    <phoneticPr fontId="10" type="noConversion"/>
  </si>
  <si>
    <t>G</t>
    <phoneticPr fontId="10" type="noConversion"/>
  </si>
  <si>
    <t>자연적인구 배분</t>
    <phoneticPr fontId="10" type="noConversion"/>
  </si>
</sst>
</file>

<file path=xl/styles.xml><?xml version="1.0" encoding="utf-8"?>
<styleSheet xmlns="http://schemas.openxmlformats.org/spreadsheetml/2006/main">
  <numFmts count="89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_-* #,##0.00_-;\-* #,##0.00_-;_-* &quot;-&quot;_-;_-@_-"/>
    <numFmt numFmtId="178" formatCode="_-* #,##0.00000_-;\-* #,##0.00000_-;_-* &quot;-&quot;_-;_-@_-"/>
    <numFmt numFmtId="179" formatCode="0.00_ "/>
    <numFmt numFmtId="180" formatCode="_ * #,##0.00_ ;_ * \-#,##0.00_ ;_ * &quot;-&quot;??_ ;_ @_ "/>
    <numFmt numFmtId="181" formatCode="#."/>
    <numFmt numFmtId="182" formatCode="#.00"/>
    <numFmt numFmtId="183" formatCode="#,##0;[Red]&quot;-&quot;#,##0"/>
    <numFmt numFmtId="184" formatCode="0.00\ &quot;)&quot;"/>
    <numFmt numFmtId="185" formatCode="0.00\ &quot;)]&quot;"/>
    <numFmt numFmtId="186" formatCode="0.000\ &quot;²&quot;"/>
    <numFmt numFmtId="187" formatCode="&quot;(&quot;\ 0.00"/>
    <numFmt numFmtId="188" formatCode="&quot;[(&quot;\ 0.00"/>
    <numFmt numFmtId="189" formatCode="_ * #,##0_ ;_ * &quot;₩&quot;&quot;₩&quot;&quot;₩&quot;&quot;₩&quot;\-#,##0_ ;_ * &quot;-&quot;_ ;_ @_ "/>
    <numFmt numFmtId="190" formatCode="#,##0.00_ "/>
    <numFmt numFmtId="191" formatCode="#,##0.000000000;[Red]\-#,##0.000000000"/>
    <numFmt numFmtId="192" formatCode="&quot;1 : &quot;0.0"/>
    <numFmt numFmtId="193" formatCode="_ &quot;₩&quot;* #,##0_ ;_ &quot;₩&quot;* &quot;₩&quot;\!\-#,##0_ ;_ &quot;₩&quot;* &quot;-&quot;_ ;_ @_ "/>
    <numFmt numFmtId="194" formatCode="_ &quot;₩&quot;* #,##0.00_ ;_ &quot;₩&quot;* &quot;₩&quot;\!\-#,##0.00_ ;_ &quot;₩&quot;* &quot;-&quot;??_ ;_ @_ "/>
    <numFmt numFmtId="195" formatCode="%#.00"/>
    <numFmt numFmtId="196" formatCode="_ * #,##0.00_ ;_ * &quot;₩&quot;\!\-#,##0.00_ ;_ * &quot;-&quot;??_ ;_ @_ "/>
    <numFmt numFmtId="197" formatCode="#,##0."/>
    <numFmt numFmtId="198" formatCode="yyyy&quot;年&quot;&quot;₩&quot;&quot;₩&quot;&quot;₩&quot;&quot;₩&quot;\ mm&quot;月&quot;&quot;₩&quot;&quot;₩&quot;&quot;₩&quot;&quot;₩&quot;\ dd&quot;日&quot;"/>
    <numFmt numFmtId="199" formatCode="\$#.00"/>
    <numFmt numFmtId="200" formatCode="&quot;$&quot;#,##0_);[Red]\(&quot;$&quot;#,##0\)"/>
    <numFmt numFmtId="201" formatCode="&quot;₩&quot;\!\$#,##0&quot;₩&quot;\!\ ;&quot;₩&quot;\!\(&quot;₩&quot;\!\$#,##0&quot;₩&quot;\!\)"/>
    <numFmt numFmtId="202" formatCode="#,##0.0000000;[Red]&quot;-&quot;#,##0.0000000"/>
    <numFmt numFmtId="203" formatCode="_-* #,##0\ _D_M_-;\-* #,##0\ _D_M_-;_-* &quot;-&quot;\ _D_M_-;_-@_-"/>
    <numFmt numFmtId="204" formatCode="_-* #,##0.00\ _D_M_-;\-* #,##0.00\ _D_M_-;_-* &quot;-&quot;??\ _D_M_-;_-@_-"/>
    <numFmt numFmtId="205" formatCode="#,##0.000000000;[Red]&quot;-&quot;#,##0.000000000"/>
    <numFmt numFmtId="206" formatCode="0\ &quot;EA&quot;"/>
    <numFmt numFmtId="207" formatCode="\$#."/>
    <numFmt numFmtId="208" formatCode="_ * #,##0_ ;_ * \-#,##0_ ;_ * &quot;-&quot;_ ;_ @_ "/>
    <numFmt numFmtId="209" formatCode="#,000"/>
    <numFmt numFmtId="210" formatCode="&quot;₩&quot;#,##0;&quot;₩&quot;&quot;₩&quot;&quot;₩&quot;&quot;₩&quot;\-#,##0"/>
    <numFmt numFmtId="211" formatCode="0\ &quot;t&quot;"/>
    <numFmt numFmtId="212" formatCode="_-* #,##0\ &quot;DM&quot;_-;\-* #,##0\ &quot;DM&quot;_-;_-* &quot;-&quot;\ &quot;DM&quot;_-;_-@_-"/>
    <numFmt numFmtId="213" formatCode="#,##0.0_);[Red]\(#,##0.0\)"/>
    <numFmt numFmtId="214" formatCode="#,##0.00_);[Red]\(#,##0.00\)"/>
    <numFmt numFmtId="215" formatCode="#,##0_);[Red]\(#,##0\)"/>
    <numFmt numFmtId="216" formatCode="#,##0.0_ "/>
    <numFmt numFmtId="217" formatCode="#&quot;년&quot;"/>
    <numFmt numFmtId="218" formatCode="#,##0.00\ ;&quot;△&quot;\ #,##0.00\ ;&quot;-&quot;\ \ ;@"/>
    <numFmt numFmtId="219" formatCode="#,##0_ "/>
    <numFmt numFmtId="220" formatCode="0.0_ "/>
    <numFmt numFmtId="221" formatCode="0_ "/>
    <numFmt numFmtId="222" formatCode="0.00000"/>
    <numFmt numFmtId="223" formatCode="0.00000_ "/>
    <numFmt numFmtId="224" formatCode="General\ &quot;최종인구&quot;"/>
    <numFmt numFmtId="225" formatCode="&quot;출산아수 (t=&quot;General&quot;년)&quot;"/>
    <numFmt numFmtId="226" formatCode="General&quot;년 출산율(충남)&quot;"/>
    <numFmt numFmtId="227" formatCode="General&quot;년 인구&quot;"/>
    <numFmt numFmtId="228" formatCode="#,##0;[Red]#,##0"/>
    <numFmt numFmtId="229" formatCode="#,##0.0#"/>
    <numFmt numFmtId="230" formatCode="#,##0.0########"/>
    <numFmt numFmtId="231" formatCode="0.00_);[Red]\(0.00\)"/>
    <numFmt numFmtId="232" formatCode="##\ ###\ ##0\ ;&quot;-&quot;#\ ##0;&quot;-&quot;"/>
    <numFmt numFmtId="233" formatCode="#,##0.0;[Red]#,##0.0"/>
    <numFmt numFmtId="234" formatCode="#,##0.00;[Red]#,##0.00"/>
    <numFmt numFmtId="235" formatCode="#,##0.0"/>
    <numFmt numFmtId="236" formatCode="#,##0.00000"/>
    <numFmt numFmtId="237" formatCode="0.000000000000000_);[Red]\(0.000000000000000\)"/>
    <numFmt numFmtId="238" formatCode="_-* #,##0.000000_-;\-* #,##0.000000_-;_-* &quot;-&quot;_-;_-@_-"/>
    <numFmt numFmtId="239" formatCode="0.000000_ "/>
    <numFmt numFmtId="240" formatCode="0.0000_ "/>
    <numFmt numFmtId="241" formatCode="0.0000_);[Red]\(0.0000\)"/>
    <numFmt numFmtId="242" formatCode="_-* #,##0.0000_-;\-* #,##0.0000_-;_-* &quot;-&quot;_-;_-@_-"/>
    <numFmt numFmtId="243" formatCode="0.0000"/>
    <numFmt numFmtId="244" formatCode="0.0"/>
    <numFmt numFmtId="245" formatCode="0.0000000_);[Red]\(0.0000000\)"/>
    <numFmt numFmtId="246" formatCode="0.000"/>
    <numFmt numFmtId="247" formatCode="_-* #,##0.000_-;\-* #,##0.000_-;_-* &quot;-&quot;_-;_-@_-"/>
    <numFmt numFmtId="248" formatCode="0.000_ "/>
    <numFmt numFmtId="249" formatCode="0.000000"/>
    <numFmt numFmtId="250" formatCode="#,##0\ "/>
    <numFmt numFmtId="251" formatCode="#,##0.0000"/>
    <numFmt numFmtId="252" formatCode="&quot;₩&quot;#,##0.00;&quot;₩&quot;&quot;₩&quot;&quot;₩&quot;&quot;₩&quot;&quot;₩&quot;&quot;₩&quot;&quot;₩&quot;&quot;₩&quot;\-#,##0.00"/>
    <numFmt numFmtId="253" formatCode="&quot;₩&quot;#,##0;&quot;₩&quot;&quot;₩&quot;&quot;₩&quot;\-#,##0"/>
    <numFmt numFmtId="254" formatCode="_ * #,##0_ ;_ * &quot;₩&quot;&quot;₩&quot;&quot;₩&quot;&quot;₩&quot;&quot;₩&quot;&quot;₩&quot;&quot;₩&quot;&quot;₩&quot;\-#,##0_ ;_ * &quot;-&quot;_ ;_ @_ "/>
    <numFmt numFmtId="255" formatCode="&quot;$&quot;#,##0.0000_);&quot;₩&quot;&quot;₩&quot;&quot;₩&quot;&quot;₩&quot;&quot;₩&quot;&quot;₩&quot;&quot;₩&quot;&quot;₩&quot;\(&quot;$&quot;#,##0.0000&quot;₩&quot;&quot;₩&quot;&quot;₩&quot;&quot;₩&quot;&quot;₩&quot;&quot;₩&quot;&quot;₩&quot;&quot;₩&quot;\)"/>
    <numFmt numFmtId="256" formatCode="&quot;$&quot;#,##0_);[Red]&quot;₩&quot;&quot;₩&quot;&quot;₩&quot;&quot;₩&quot;&quot;₩&quot;&quot;₩&quot;&quot;₩&quot;&quot;₩&quot;\(&quot;$&quot;#,##0&quot;₩&quot;&quot;₩&quot;&quot;₩&quot;&quot;₩&quot;&quot;₩&quot;&quot;₩&quot;&quot;₩&quot;&quot;₩&quot;\)"/>
    <numFmt numFmtId="257" formatCode="_(* #,##0.0_);_(* &quot;₩&quot;&quot;₩&quot;&quot;₩&quot;&quot;₩&quot;&quot;₩&quot;&quot;₩&quot;&quot;₩&quot;&quot;₩&quot;\(#,##0.0&quot;₩&quot;&quot;₩&quot;&quot;₩&quot;&quot;₩&quot;&quot;₩&quot;&quot;₩&quot;&quot;₩&quot;&quot;₩&quot;\);_(* &quot;-&quot;_);_(@_)"/>
    <numFmt numFmtId="258" formatCode="#,##0.000;[Red]#,##0.000"/>
    <numFmt numFmtId="259" formatCode="0.0%"/>
    <numFmt numFmtId="260" formatCode="#,##0.00\ "/>
  </numFmts>
  <fonts count="18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sz val="10"/>
      <name val="Arial"/>
      <family val="2"/>
    </font>
    <font>
      <sz val="12"/>
      <name val="바탕체"/>
      <family val="1"/>
      <charset val="129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sz val="11"/>
      <color indexed="8"/>
      <name val="돋움"/>
      <family val="3"/>
      <charset val="129"/>
    </font>
    <font>
      <b/>
      <sz val="1"/>
      <color indexed="8"/>
      <name val="Courier"/>
      <family val="3"/>
    </font>
    <font>
      <sz val="10"/>
      <color indexed="8"/>
      <name val="맑은 고딕"/>
      <family val="3"/>
      <charset val="129"/>
    </font>
    <font>
      <sz val="11"/>
      <name val="굴림체"/>
      <family val="3"/>
      <charset val="129"/>
    </font>
    <font>
      <sz val="11"/>
      <color indexed="9"/>
      <name val="맑은 고딕"/>
      <family val="3"/>
      <charset val="129"/>
    </font>
    <font>
      <sz val="10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sz val="10"/>
      <color indexed="20"/>
      <name val="맑은 고딕"/>
      <family val="3"/>
      <charset val="129"/>
    </font>
    <font>
      <sz val="10"/>
      <name val="MS Sans Serif"/>
      <family val="2"/>
    </font>
    <font>
      <u/>
      <sz val="11"/>
      <color indexed="36"/>
      <name val="돋움"/>
      <family val="3"/>
      <charset val="129"/>
    </font>
    <font>
      <sz val="12"/>
      <name val="돋움체"/>
      <family val="3"/>
      <charset val="129"/>
    </font>
    <font>
      <sz val="1"/>
      <color indexed="0"/>
      <name val="Courier"/>
      <family val="3"/>
    </font>
    <font>
      <sz val="11"/>
      <color indexed="60"/>
      <name val="맑은 고딕"/>
      <family val="3"/>
      <charset val="129"/>
    </font>
    <font>
      <sz val="10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i/>
      <sz val="10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굴림"/>
      <family val="3"/>
      <charset val="129"/>
    </font>
    <font>
      <sz val="10"/>
      <color indexed="8"/>
      <name val="돋움"/>
      <family val="3"/>
      <charset val="129"/>
    </font>
    <font>
      <sz val="12"/>
      <name val="HY울릉도M"/>
      <family val="1"/>
      <charset val="129"/>
    </font>
    <font>
      <sz val="11"/>
      <color indexed="52"/>
      <name val="맑은 고딕"/>
      <family val="3"/>
      <charset val="129"/>
    </font>
    <font>
      <sz val="10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9"/>
      <name val="돋움"/>
      <family val="3"/>
      <charset val="129"/>
    </font>
    <font>
      <sz val="11"/>
      <color indexed="62"/>
      <name val="맑은 고딕"/>
      <family val="3"/>
      <charset val="129"/>
    </font>
    <font>
      <sz val="10"/>
      <color indexed="62"/>
      <name val="맑은 고딕"/>
      <family val="3"/>
      <charset val="129"/>
    </font>
    <font>
      <sz val="9"/>
      <name val="Arial"/>
      <family val="2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0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0"/>
      <color indexed="63"/>
      <name val="맑은 고딕"/>
      <family val="3"/>
      <charset val="129"/>
    </font>
    <font>
      <sz val="9"/>
      <name val="굴림"/>
      <family val="3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0"/>
      <name val="μ¸¿oA¼"/>
      <family val="3"/>
      <charset val="129"/>
    </font>
    <font>
      <sz val="8"/>
      <name val="¹UAAA¼"/>
      <family val="1"/>
      <charset val="129"/>
    </font>
    <font>
      <sz val="10"/>
      <name val="¹ÙÅÁÃ¼"/>
      <family val="1"/>
      <charset val="129"/>
    </font>
    <font>
      <sz val="11"/>
      <name val="μ¸¿o"/>
      <family val="1"/>
      <charset val="129"/>
    </font>
    <font>
      <sz val="12"/>
      <name val="¹ÙÅÁÃ¼"/>
      <family val="1"/>
      <charset val="129"/>
    </font>
    <font>
      <sz val="12"/>
      <name val="System"/>
      <family val="2"/>
      <charset val="129"/>
    </font>
    <font>
      <sz val="10"/>
      <name val="¹UAAA¼"/>
      <family val="1"/>
      <charset val="129"/>
    </font>
    <font>
      <b/>
      <sz val="10"/>
      <name val="Helv"/>
      <family val="2"/>
    </font>
    <font>
      <sz val="10"/>
      <color indexed="2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8"/>
      <name val="Arial"/>
      <family val="2"/>
    </font>
    <font>
      <u/>
      <sz val="8"/>
      <color indexed="12"/>
      <name val="Times New Roman"/>
      <family val="1"/>
    </font>
    <font>
      <b/>
      <sz val="11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u/>
      <sz val="9"/>
      <color indexed="12"/>
      <name val="바탕체"/>
      <family val="1"/>
      <charset val="129"/>
    </font>
    <font>
      <sz val="11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9"/>
      <name val="굴림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굴림"/>
      <family val="3"/>
      <charset val="129"/>
    </font>
    <font>
      <sz val="11"/>
      <color indexed="20"/>
      <name val="굴림"/>
      <family val="3"/>
      <charset val="129"/>
    </font>
    <font>
      <sz val="11"/>
      <color indexed="60"/>
      <name val="굴림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굴림"/>
      <family val="3"/>
      <charset val="129"/>
    </font>
    <font>
      <sz val="11"/>
      <color indexed="62"/>
      <name val="굴림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굴림"/>
      <family val="3"/>
      <charset val="129"/>
    </font>
    <font>
      <sz val="11"/>
      <color indexed="8"/>
      <name val="맑은 고딕"/>
      <family val="2"/>
      <scheme val="minor"/>
    </font>
    <font>
      <b/>
      <sz val="12"/>
      <name val="굴림"/>
      <family val="3"/>
      <charset val="129"/>
    </font>
    <font>
      <b/>
      <sz val="10"/>
      <name val="굴림"/>
      <family val="3"/>
      <charset val="129"/>
    </font>
    <font>
      <sz val="10"/>
      <color indexed="10"/>
      <name val="굴림"/>
      <family val="3"/>
      <charset val="129"/>
    </font>
    <font>
      <sz val="11"/>
      <name val="굴림"/>
      <family val="3"/>
      <charset val="129"/>
    </font>
    <font>
      <vertAlign val="superscript"/>
      <sz val="10"/>
      <name val="굴림"/>
      <family val="3"/>
      <charset val="129"/>
    </font>
    <font>
      <sz val="10"/>
      <name val="돋움"/>
      <family val="3"/>
      <charset val="129"/>
    </font>
    <font>
      <vertAlign val="superscript"/>
      <sz val="10"/>
      <color indexed="10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name val="굴림"/>
      <family val="3"/>
      <charset val="129"/>
    </font>
    <font>
      <sz val="10"/>
      <color theme="1"/>
      <name val="굴림"/>
      <family val="3"/>
      <charset val="129"/>
    </font>
    <font>
      <sz val="8"/>
      <name val="굴림"/>
      <family val="3"/>
      <charset val="129"/>
    </font>
    <font>
      <sz val="10"/>
      <color rgb="FFFF0000"/>
      <name val="맑은 고딕"/>
      <family val="3"/>
      <charset val="129"/>
      <scheme val="major"/>
    </font>
    <font>
      <sz val="10"/>
      <color indexed="8"/>
      <name val="맑은 고딕"/>
      <family val="2"/>
      <scheme val="minor"/>
    </font>
    <font>
      <sz val="9"/>
      <color rgb="FFFF0000"/>
      <name val="맑은 고딕"/>
      <family val="3"/>
      <charset val="129"/>
      <scheme val="major"/>
    </font>
    <font>
      <sz val="11"/>
      <color theme="1"/>
      <name val="맑은 고딕"/>
      <family val="2"/>
      <scheme val="minor"/>
    </font>
    <font>
      <sz val="9"/>
      <color theme="1"/>
      <name val="맑은 고딕"/>
      <family val="2"/>
      <scheme val="major"/>
    </font>
    <font>
      <sz val="10"/>
      <color indexed="8"/>
      <name val="굴림체"/>
      <family val="3"/>
      <charset val="129"/>
    </font>
    <font>
      <b/>
      <sz val="10"/>
      <color theme="1"/>
      <name val="굴림체"/>
      <family val="3"/>
      <charset val="129"/>
    </font>
    <font>
      <b/>
      <sz val="20"/>
      <color indexed="8"/>
      <name val="굴림"/>
      <family val="3"/>
      <charset val="129"/>
    </font>
    <font>
      <b/>
      <sz val="15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0"/>
      <color theme="1"/>
      <name val="굴림"/>
      <family val="3"/>
      <charset val="129"/>
    </font>
    <font>
      <b/>
      <sz val="11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b/>
      <sz val="18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HY그래픽M"/>
      <family val="1"/>
      <charset val="129"/>
    </font>
    <font>
      <sz val="11.5"/>
      <color rgb="FF000000"/>
      <name val="HY그래픽M"/>
      <family val="1"/>
      <charset val="129"/>
    </font>
    <font>
      <sz val="11.5"/>
      <color rgb="FFFF0000"/>
      <name val="HY그래픽M"/>
      <family val="1"/>
      <charset val="129"/>
    </font>
    <font>
      <sz val="15"/>
      <color indexed="8"/>
      <name val="굴림"/>
      <family val="3"/>
      <charset val="129"/>
    </font>
    <font>
      <sz val="12"/>
      <name val="돋움"/>
      <family val="3"/>
      <charset val="129"/>
    </font>
    <font>
      <b/>
      <sz val="10"/>
      <name val="돋움"/>
      <family val="3"/>
      <charset val="129"/>
    </font>
    <font>
      <b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b/>
      <sz val="12"/>
      <name val="돋움"/>
      <family val="3"/>
      <charset val="129"/>
    </font>
    <font>
      <sz val="15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8"/>
      <name val="굴림"/>
      <family val="3"/>
      <charset val="129"/>
    </font>
    <font>
      <sz val="15"/>
      <name val="굴림"/>
      <family val="3"/>
      <charset val="129"/>
    </font>
    <font>
      <b/>
      <sz val="15"/>
      <name val="굴림"/>
      <family val="3"/>
      <charset val="129"/>
    </font>
    <font>
      <b/>
      <sz val="9"/>
      <color rgb="FFFF0000"/>
      <name val="굴림"/>
      <family val="3"/>
      <charset val="129"/>
    </font>
    <font>
      <sz val="8.5"/>
      <name val="굴림"/>
      <family val="3"/>
      <charset val="129"/>
    </font>
    <font>
      <b/>
      <sz val="11.5"/>
      <color rgb="FF000000"/>
      <name val="굴림"/>
      <family val="3"/>
      <charset val="129"/>
    </font>
    <font>
      <sz val="11.5"/>
      <color rgb="FF00000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rgb="FFC00000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1"/>
      <name val="바탕체"/>
      <family val="1"/>
      <charset val="129"/>
    </font>
    <font>
      <sz val="11"/>
      <color theme="1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theme="1"/>
      <name val="바탕체"/>
      <family val="1"/>
      <charset val="129"/>
    </font>
    <font>
      <b/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496B4"/>
      </patternFill>
    </fill>
    <fill>
      <patternFill patternType="solid">
        <fgColor rgb="FFF0EBD7"/>
      </patternFill>
    </fill>
    <fill>
      <patternFill patternType="solid">
        <fgColor rgb="FFA0BED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CCE0"/>
      </patternFill>
    </fill>
    <fill>
      <patternFill patternType="solid">
        <fgColor rgb="FFE2ECF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AEAEAE"/>
        <bgColor indexed="64"/>
      </patternFill>
    </fill>
    <fill>
      <patternFill patternType="solid">
        <fgColor rgb="FFD6D6D6"/>
        <bgColor indexed="64"/>
      </patternFill>
    </fill>
  </fills>
  <borders count="1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FFFFFF"/>
      </left>
      <right style="thin">
        <color rgb="FFFFFFFF"/>
      </right>
      <top style="thin">
        <color rgb="FF7F7F7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7F7F7F"/>
      </bottom>
      <diagonal/>
    </border>
    <border>
      <left style="thin">
        <color rgb="FFFFFFFF"/>
      </left>
      <right/>
      <top style="thin">
        <color rgb="FF7F7F7F"/>
      </top>
      <bottom style="thin">
        <color rgb="FFFFFFFF"/>
      </bottom>
      <diagonal/>
    </border>
    <border>
      <left/>
      <right/>
      <top style="thin">
        <color rgb="FF7F7F7F"/>
      </top>
      <bottom style="thin">
        <color rgb="FFFFFFFF"/>
      </bottom>
      <diagonal/>
    </border>
    <border>
      <left/>
      <right style="thin">
        <color rgb="FFFFFFFF"/>
      </right>
      <top style="thin">
        <color rgb="FF7F7F7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7F7F7F"/>
      </bottom>
      <diagonal/>
    </border>
    <border>
      <left style="thin">
        <color rgb="FF000000"/>
      </left>
      <right style="thin">
        <color rgb="FFFFFFFF"/>
      </right>
      <top style="thin">
        <color rgb="FF7F7F7F"/>
      </top>
      <bottom/>
      <diagonal/>
    </border>
    <border>
      <left style="thin">
        <color rgb="FFFFFFFF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7F7F7F"/>
      </bottom>
      <diagonal/>
    </border>
    <border>
      <left style="thin">
        <color rgb="FFFFFFFF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9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/>
    <xf numFmtId="49" fontId="13" fillId="0" borderId="36">
      <alignment horizontal="center" vertical="center"/>
    </xf>
    <xf numFmtId="0" fontId="15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17" fillId="0" borderId="0">
      <protection locked="0"/>
    </xf>
    <xf numFmtId="0" fontId="18" fillId="0" borderId="0">
      <protection locked="0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9" fillId="0" borderId="0"/>
    <xf numFmtId="181" fontId="17" fillId="0" borderId="0">
      <protection locked="0"/>
    </xf>
    <xf numFmtId="182" fontId="18" fillId="0" borderId="0">
      <protection locked="0"/>
    </xf>
    <xf numFmtId="181" fontId="17" fillId="0" borderId="0">
      <protection locked="0"/>
    </xf>
    <xf numFmtId="0" fontId="20" fillId="0" borderId="0"/>
    <xf numFmtId="0" fontId="21" fillId="0" borderId="0">
      <protection locked="0"/>
    </xf>
    <xf numFmtId="0" fontId="21" fillId="0" borderId="0">
      <protection locked="0"/>
    </xf>
    <xf numFmtId="0" fontId="16" fillId="0" borderId="10">
      <alignment horizontal="center"/>
    </xf>
    <xf numFmtId="0" fontId="1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81" fontId="17" fillId="0" borderId="0">
      <protection locked="0"/>
    </xf>
    <xf numFmtId="0" fontId="18" fillId="0" borderId="0">
      <protection locked="0"/>
    </xf>
    <xf numFmtId="0" fontId="23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37" applyNumberFormat="0" applyAlignment="0" applyProtection="0">
      <alignment vertical="center"/>
    </xf>
    <xf numFmtId="0" fontId="29" fillId="24" borderId="37" applyNumberFormat="0" applyAlignment="0" applyProtection="0">
      <alignment vertical="center"/>
    </xf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3" fontId="35" fillId="0" borderId="3">
      <alignment horizontal="center"/>
    </xf>
    <xf numFmtId="0" fontId="30" fillId="0" borderId="0" applyFont="0" applyFill="0" applyBorder="0" applyAlignment="0" applyProtection="0"/>
    <xf numFmtId="181" fontId="17" fillId="0" borderId="0">
      <protection locked="0"/>
    </xf>
    <xf numFmtId="0" fontId="3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9" fillId="25" borderId="38" applyNumberFormat="0" applyFont="0" applyAlignment="0" applyProtection="0">
      <alignment vertical="center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1" fontId="38" fillId="0" borderId="0">
      <protection locked="0"/>
    </xf>
    <xf numFmtId="9" fontId="23" fillId="4" borderId="0" applyFill="0" applyBorder="0" applyProtection="0">
      <alignment horizontal="right"/>
    </xf>
    <xf numFmtId="10" fontId="23" fillId="0" borderId="0" applyFill="0" applyBorder="0" applyProtection="0">
      <alignment horizontal="right"/>
    </xf>
    <xf numFmtId="9" fontId="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0" borderId="0"/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7" borderId="39" applyNumberFormat="0" applyAlignment="0" applyProtection="0">
      <alignment vertical="center"/>
    </xf>
    <xf numFmtId="0" fontId="45" fillId="27" borderId="39" applyNumberFormat="0" applyAlignment="0" applyProtection="0">
      <alignment vertical="center"/>
    </xf>
    <xf numFmtId="183" fontId="46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0" borderId="0"/>
    <xf numFmtId="0" fontId="50" fillId="0" borderId="40" applyNumberFormat="0" applyFill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184" fontId="54" fillId="0" borderId="0" applyFill="0" applyBorder="0">
      <alignment horizontal="centerContinuous"/>
    </xf>
    <xf numFmtId="185" fontId="54" fillId="0" borderId="0" applyFill="0" applyBorder="0">
      <alignment horizontal="centerContinuous"/>
    </xf>
    <xf numFmtId="2" fontId="54" fillId="0" borderId="0" applyFill="0" applyBorder="0" applyProtection="0">
      <alignment horizontal="centerContinuous"/>
    </xf>
    <xf numFmtId="0" fontId="55" fillId="11" borderId="37" applyNumberFormat="0" applyAlignment="0" applyProtection="0">
      <alignment vertical="center"/>
    </xf>
    <xf numFmtId="0" fontId="56" fillId="11" borderId="37" applyNumberFormat="0" applyAlignment="0" applyProtection="0">
      <alignment vertical="center"/>
    </xf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186" fontId="57" fillId="0" borderId="0" applyFill="0" applyBorder="0">
      <alignment horizontal="centerContinuous"/>
    </xf>
    <xf numFmtId="0" fontId="58" fillId="0" borderId="42" applyNumberFormat="0" applyFill="0" applyAlignment="0" applyProtection="0">
      <alignment vertical="center"/>
    </xf>
    <xf numFmtId="0" fontId="59" fillId="0" borderId="43" applyNumberFormat="0" applyFill="0" applyAlignment="0" applyProtection="0">
      <alignment vertical="center"/>
    </xf>
    <xf numFmtId="0" fontId="60" fillId="0" borderId="4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187" fontId="54" fillId="0" borderId="0" applyFill="0" applyBorder="0">
      <alignment horizontal="centerContinuous"/>
    </xf>
    <xf numFmtId="188" fontId="54" fillId="0" borderId="0" applyFill="0" applyBorder="0">
      <alignment horizontal="centerContinuous"/>
    </xf>
    <xf numFmtId="0" fontId="16" fillId="0" borderId="0"/>
    <xf numFmtId="0" fontId="64" fillId="24" borderId="45" applyNumberFormat="0" applyAlignment="0" applyProtection="0">
      <alignment vertical="center"/>
    </xf>
    <xf numFmtId="0" fontId="65" fillId="24" borderId="45" applyNumberFormat="0" applyAlignment="0" applyProtection="0">
      <alignment vertical="center"/>
    </xf>
    <xf numFmtId="181" fontId="38" fillId="0" borderId="0">
      <protection locked="0"/>
    </xf>
    <xf numFmtId="181" fontId="38" fillId="0" borderId="0">
      <protection locked="0"/>
    </xf>
    <xf numFmtId="181" fontId="38" fillId="0" borderId="0">
      <protection locked="0"/>
    </xf>
    <xf numFmtId="41" fontId="9" fillId="0" borderId="0" applyFont="0" applyFill="0" applyBorder="0" applyAlignment="0" applyProtection="0"/>
    <xf numFmtId="189" fontId="15" fillId="0" borderId="1"/>
    <xf numFmtId="190" fontId="23" fillId="4" borderId="0" applyFill="0" applyBorder="0" applyProtection="0">
      <alignment horizontal="right"/>
    </xf>
    <xf numFmtId="191" fontId="9" fillId="4" borderId="0" applyFill="0" applyBorder="0" applyProtection="0">
      <alignment horizontal="right"/>
    </xf>
    <xf numFmtId="192" fontId="16" fillId="0" borderId="0" applyFont="0" applyFill="0" applyBorder="0" applyAlignment="0" applyProtection="0"/>
    <xf numFmtId="181" fontId="38" fillId="0" borderId="0">
      <protection locked="0"/>
    </xf>
    <xf numFmtId="181" fontId="38" fillId="0" borderId="0">
      <protection locked="0"/>
    </xf>
    <xf numFmtId="181" fontId="38" fillId="0" borderId="0">
      <protection locked="0"/>
    </xf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81" fontId="38" fillId="0" borderId="0">
      <protection locked="0"/>
    </xf>
    <xf numFmtId="181" fontId="38" fillId="0" borderId="0">
      <protection locked="0"/>
    </xf>
    <xf numFmtId="0" fontId="12" fillId="0" borderId="0">
      <alignment vertical="center"/>
    </xf>
    <xf numFmtId="0" fontId="66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23" fillId="0" borderId="0"/>
    <xf numFmtId="0" fontId="9" fillId="0" borderId="0">
      <alignment vertical="center"/>
    </xf>
    <xf numFmtId="0" fontId="16" fillId="0" borderId="0"/>
    <xf numFmtId="0" fontId="4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3" fillId="0" borderId="0"/>
    <xf numFmtId="0" fontId="9" fillId="0" borderId="0"/>
    <xf numFmtId="0" fontId="30" fillId="0" borderId="46" applyNumberFormat="0" applyFont="0" applyFill="0" applyAlignment="0" applyProtection="0"/>
    <xf numFmtId="0" fontId="30" fillId="0" borderId="46" applyNumberFormat="0" applyFont="0" applyFill="0" applyAlignment="0" applyProtection="0"/>
    <xf numFmtId="0" fontId="30" fillId="0" borderId="46" applyNumberFormat="0" applyFont="0" applyFill="0" applyAlignment="0" applyProtection="0"/>
    <xf numFmtId="7" fontId="30" fillId="0" borderId="0" applyFont="0" applyFill="0" applyBorder="0" applyAlignment="0" applyProtection="0"/>
    <xf numFmtId="7" fontId="30" fillId="0" borderId="0" applyFont="0" applyFill="0" applyBorder="0" applyAlignment="0" applyProtection="0"/>
    <xf numFmtId="7" fontId="30" fillId="0" borderId="0" applyFont="0" applyFill="0" applyBorder="0" applyAlignment="0" applyProtection="0"/>
    <xf numFmtId="5" fontId="30" fillId="0" borderId="0" applyFont="0" applyFill="0" applyBorder="0" applyAlignment="0" applyProtection="0"/>
    <xf numFmtId="5" fontId="30" fillId="0" borderId="0" applyFont="0" applyFill="0" applyBorder="0" applyAlignment="0" applyProtection="0"/>
    <xf numFmtId="5" fontId="30" fillId="0" borderId="0" applyFont="0" applyFill="0" applyBorder="0" applyAlignment="0" applyProtection="0"/>
    <xf numFmtId="0" fontId="67" fillId="0" borderId="0">
      <protection locked="0"/>
    </xf>
    <xf numFmtId="193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81" fontId="17" fillId="0" borderId="0">
      <protection locked="0"/>
    </xf>
    <xf numFmtId="195" fontId="18" fillId="0" borderId="0">
      <protection locked="0"/>
    </xf>
    <xf numFmtId="0" fontId="35" fillId="0" borderId="0"/>
    <xf numFmtId="194" fontId="69" fillId="0" borderId="0" applyFont="0" applyFill="0" applyBorder="0" applyAlignment="0" applyProtection="0"/>
    <xf numFmtId="196" fontId="68" fillId="0" borderId="0" applyFont="0" applyFill="0" applyBorder="0" applyAlignment="0" applyProtection="0"/>
    <xf numFmtId="4" fontId="18" fillId="0" borderId="0">
      <protection locked="0"/>
    </xf>
    <xf numFmtId="197" fontId="18" fillId="0" borderId="0">
      <protection locked="0"/>
    </xf>
    <xf numFmtId="181" fontId="17" fillId="0" borderId="0">
      <protection locked="0"/>
    </xf>
    <xf numFmtId="181" fontId="17" fillId="0" borderId="0">
      <protection locked="0"/>
    </xf>
    <xf numFmtId="180" fontId="15" fillId="0" borderId="0" applyFont="0" applyFill="0" applyBorder="0" applyAlignment="0" applyProtection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73" fillId="0" borderId="0"/>
    <xf numFmtId="0" fontId="75" fillId="0" borderId="0"/>
    <xf numFmtId="0" fontId="71" fillId="0" borderId="0"/>
    <xf numFmtId="0" fontId="76" fillId="0" borderId="0"/>
    <xf numFmtId="0" fontId="18" fillId="0" borderId="46">
      <protection locked="0"/>
    </xf>
    <xf numFmtId="181" fontId="17" fillId="0" borderId="46">
      <protection locked="0"/>
    </xf>
    <xf numFmtId="4" fontId="18" fillId="0" borderId="0">
      <protection locked="0"/>
    </xf>
    <xf numFmtId="38" fontId="15" fillId="0" borderId="0" applyFont="0" applyFill="0" applyBorder="0" applyAlignment="0" applyProtection="0"/>
    <xf numFmtId="198" fontId="16" fillId="0" borderId="0"/>
    <xf numFmtId="3" fontId="77" fillId="0" borderId="0" applyFont="0" applyFill="0" applyBorder="0" applyAlignment="0" applyProtection="0"/>
    <xf numFmtId="199" fontId="18" fillId="0" borderId="0">
      <protection locked="0"/>
    </xf>
    <xf numFmtId="200" fontId="15" fillId="0" borderId="0" applyFont="0" applyFill="0" applyBorder="0" applyAlignment="0" applyProtection="0"/>
    <xf numFmtId="201" fontId="77" fillId="0" borderId="0" applyFont="0" applyFill="0" applyBorder="0" applyAlignment="0" applyProtection="0"/>
    <xf numFmtId="202" fontId="16" fillId="0" borderId="0"/>
    <xf numFmtId="0" fontId="77" fillId="0" borderId="0" applyFont="0" applyFill="0" applyBorder="0" applyAlignment="0" applyProtection="0"/>
    <xf numFmtId="0" fontId="78" fillId="0" borderId="0" applyFill="0" applyBorder="0" applyAlignment="0" applyProtection="0"/>
    <xf numFmtId="203" fontId="15" fillId="0" borderId="0" applyFont="0" applyFill="0" applyBorder="0" applyAlignment="0" applyProtection="0"/>
    <xf numFmtId="204" fontId="15" fillId="0" borderId="0" applyFont="0" applyFill="0" applyBorder="0" applyAlignment="0" applyProtection="0"/>
    <xf numFmtId="205" fontId="16" fillId="0" borderId="0"/>
    <xf numFmtId="206" fontId="57" fillId="0" borderId="0" applyFill="0" applyBorder="0">
      <alignment horizontal="centerContinuous"/>
    </xf>
    <xf numFmtId="181" fontId="17" fillId="0" borderId="0">
      <protection locked="0"/>
    </xf>
    <xf numFmtId="181" fontId="17" fillId="0" borderId="0">
      <protection locked="0"/>
    </xf>
    <xf numFmtId="199" fontId="18" fillId="0" borderId="0">
      <protection locked="0"/>
    </xf>
    <xf numFmtId="207" fontId="18" fillId="0" borderId="0">
      <protection locked="0"/>
    </xf>
    <xf numFmtId="2" fontId="77" fillId="0" borderId="0" applyFont="0" applyFill="0" applyBorder="0" applyAlignment="0" applyProtection="0"/>
    <xf numFmtId="2" fontId="78" fillId="0" borderId="0" applyFill="0" applyBorder="0" applyAlignment="0" applyProtection="0"/>
    <xf numFmtId="38" fontId="79" fillId="28" borderId="0" applyNumberFormat="0" applyBorder="0" applyAlignment="0" applyProtection="0"/>
    <xf numFmtId="0" fontId="80" fillId="0" borderId="0">
      <alignment horizontal="left"/>
    </xf>
    <xf numFmtId="0" fontId="81" fillId="0" borderId="47" applyNumberFormat="0" applyAlignment="0" applyProtection="0">
      <alignment horizontal="left" vertical="center"/>
    </xf>
    <xf numFmtId="0" fontId="81" fillId="0" borderId="48">
      <alignment horizontal="left" vertical="center"/>
    </xf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10" fontId="79" fillId="29" borderId="1" applyNumberFormat="0" applyBorder="0" applyAlignment="0" applyProtection="0"/>
    <xf numFmtId="208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86" fillId="0" borderId="49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09" fontId="16" fillId="0" borderId="0"/>
    <xf numFmtId="210" fontId="9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8" fillId="0" borderId="0">
      <protection locked="0"/>
    </xf>
    <xf numFmtId="10" fontId="15" fillId="0" borderId="0" applyFont="0" applyFill="0" applyBorder="0" applyAlignment="0" applyProtection="0"/>
    <xf numFmtId="0" fontId="16" fillId="0" borderId="0">
      <protection locked="0"/>
    </xf>
    <xf numFmtId="180" fontId="15" fillId="0" borderId="0" applyFont="0" applyFill="0" applyBorder="0" applyAlignment="0" applyProtection="0"/>
    <xf numFmtId="0" fontId="15" fillId="0" borderId="0"/>
    <xf numFmtId="0" fontId="86" fillId="0" borderId="0"/>
    <xf numFmtId="0" fontId="87" fillId="0" borderId="0" applyFill="0" applyBorder="0" applyProtection="0">
      <alignment horizontal="centerContinuous" vertical="center"/>
    </xf>
    <xf numFmtId="0" fontId="88" fillId="4" borderId="0" applyFill="0" applyBorder="0" applyProtection="0">
      <alignment horizontal="center" vertical="center"/>
    </xf>
    <xf numFmtId="211" fontId="57" fillId="0" borderId="0" applyFill="0" applyBorder="0">
      <alignment horizontal="centerContinuous"/>
    </xf>
    <xf numFmtId="0" fontId="77" fillId="0" borderId="46" applyNumberFormat="0" applyFont="0" applyFill="0" applyAlignment="0" applyProtection="0"/>
    <xf numFmtId="0" fontId="78" fillId="0" borderId="50" applyNumberFormat="0" applyFill="0" applyAlignment="0" applyProtection="0"/>
    <xf numFmtId="212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0" borderId="0"/>
    <xf numFmtId="0" fontId="9" fillId="0" borderId="0"/>
    <xf numFmtId="0" fontId="15" fillId="0" borderId="0"/>
    <xf numFmtId="0" fontId="16" fillId="0" borderId="0"/>
    <xf numFmtId="0" fontId="111" fillId="6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8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11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5" borderId="0" applyNumberFormat="0" applyBorder="0" applyAlignment="0" applyProtection="0">
      <alignment vertical="center"/>
    </xf>
    <xf numFmtId="0" fontId="113" fillId="16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3" fillId="14" borderId="0" applyNumberFormat="0" applyBorder="0" applyAlignment="0" applyProtection="0">
      <alignment vertical="center"/>
    </xf>
    <xf numFmtId="0" fontId="113" fillId="17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113" fillId="19" borderId="0" applyNumberFormat="0" applyBorder="0" applyAlignment="0" applyProtection="0">
      <alignment vertical="center"/>
    </xf>
    <xf numFmtId="0" fontId="113" fillId="20" borderId="0" applyNumberFormat="0" applyBorder="0" applyAlignment="0" applyProtection="0">
      <alignment vertical="center"/>
    </xf>
    <xf numFmtId="0" fontId="113" fillId="21" borderId="0" applyNumberFormat="0" applyBorder="0" applyAlignment="0" applyProtection="0">
      <alignment vertical="center"/>
    </xf>
    <xf numFmtId="0" fontId="113" fillId="22" borderId="0" applyNumberFormat="0" applyBorder="0" applyAlignment="0" applyProtection="0">
      <alignment vertical="center"/>
    </xf>
    <xf numFmtId="0" fontId="113" fillId="17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113" fillId="2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24" borderId="37" applyNumberFormat="0" applyAlignment="0" applyProtection="0">
      <alignment vertical="center"/>
    </xf>
    <xf numFmtId="0" fontId="116" fillId="7" borderId="0" applyNumberFormat="0" applyBorder="0" applyAlignment="0" applyProtection="0">
      <alignment vertical="center"/>
    </xf>
    <xf numFmtId="0" fontId="117" fillId="26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27" borderId="39" applyNumberFormat="0" applyAlignment="0" applyProtection="0">
      <alignment vertical="center"/>
    </xf>
    <xf numFmtId="0" fontId="16" fillId="0" borderId="0" applyFont="0" applyFill="0" applyBorder="0" applyAlignment="0" applyProtection="0"/>
    <xf numFmtId="0" fontId="120" fillId="0" borderId="40" applyNumberFormat="0" applyFill="0" applyAlignment="0" applyProtection="0">
      <alignment vertical="center"/>
    </xf>
    <xf numFmtId="0" fontId="112" fillId="0" borderId="41" applyNumberFormat="0" applyFill="0" applyAlignment="0" applyProtection="0">
      <alignment vertical="center"/>
    </xf>
    <xf numFmtId="0" fontId="121" fillId="11" borderId="37" applyNumberFormat="0" applyAlignment="0" applyProtection="0">
      <alignment vertical="center"/>
    </xf>
    <xf numFmtId="0" fontId="122" fillId="0" borderId="42" applyNumberFormat="0" applyFill="0" applyAlignment="0" applyProtection="0">
      <alignment vertical="center"/>
    </xf>
    <xf numFmtId="0" fontId="123" fillId="0" borderId="43" applyNumberFormat="0" applyFill="0" applyAlignment="0" applyProtection="0">
      <alignment vertical="center"/>
    </xf>
    <xf numFmtId="0" fontId="124" fillId="0" borderId="44" applyNumberFormat="0" applyFill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8" borderId="0" applyNumberFormat="0" applyBorder="0" applyAlignment="0" applyProtection="0">
      <alignment vertical="center"/>
    </xf>
    <xf numFmtId="0" fontId="126" fillId="24" borderId="45" applyNumberFormat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27" fillId="0" borderId="0">
      <alignment vertical="center"/>
    </xf>
    <xf numFmtId="0" fontId="1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89" fontId="15" fillId="0" borderId="90"/>
    <xf numFmtId="0" fontId="136" fillId="0" borderId="0">
      <alignment vertical="center"/>
    </xf>
    <xf numFmtId="10" fontId="79" fillId="29" borderId="90" applyNumberFormat="0" applyBorder="0" applyAlignment="0" applyProtection="0"/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89" fontId="15" fillId="0" borderId="125"/>
    <xf numFmtId="0" fontId="28" fillId="24" borderId="120" applyNumberFormat="0" applyAlignment="0" applyProtection="0">
      <alignment vertical="center"/>
    </xf>
    <xf numFmtId="0" fontId="29" fillId="24" borderId="120" applyNumberFormat="0" applyAlignment="0" applyProtection="0">
      <alignment vertical="center"/>
    </xf>
    <xf numFmtId="0" fontId="9" fillId="25" borderId="121" applyNumberFormat="0" applyFont="0" applyAlignment="0" applyProtection="0">
      <alignment vertical="center"/>
    </xf>
    <xf numFmtId="0" fontId="52" fillId="0" borderId="122" applyNumberFormat="0" applyFill="0" applyAlignment="0" applyProtection="0">
      <alignment vertical="center"/>
    </xf>
    <xf numFmtId="0" fontId="53" fillId="0" borderId="122" applyNumberFormat="0" applyFill="0" applyAlignment="0" applyProtection="0">
      <alignment vertical="center"/>
    </xf>
    <xf numFmtId="0" fontId="55" fillId="11" borderId="120" applyNumberFormat="0" applyAlignment="0" applyProtection="0">
      <alignment vertical="center"/>
    </xf>
    <xf numFmtId="0" fontId="56" fillId="11" borderId="120" applyNumberFormat="0" applyAlignment="0" applyProtection="0">
      <alignment vertical="center"/>
    </xf>
    <xf numFmtId="0" fontId="64" fillId="24" borderId="123" applyNumberFormat="0" applyAlignment="0" applyProtection="0">
      <alignment vertical="center"/>
    </xf>
    <xf numFmtId="0" fontId="65" fillId="24" borderId="123" applyNumberFormat="0" applyAlignment="0" applyProtection="0">
      <alignment vertical="center"/>
    </xf>
    <xf numFmtId="189" fontId="15" fillId="0" borderId="119"/>
    <xf numFmtId="0" fontId="81" fillId="0" borderId="100">
      <alignment horizontal="left" vertical="center"/>
    </xf>
    <xf numFmtId="10" fontId="79" fillId="29" borderId="119" applyNumberFormat="0" applyBorder="0" applyAlignment="0" applyProtection="0"/>
    <xf numFmtId="10" fontId="79" fillId="29" borderId="125" applyNumberFormat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15" fillId="24" borderId="120" applyNumberFormat="0" applyAlignment="0" applyProtection="0">
      <alignment vertical="center"/>
    </xf>
    <xf numFmtId="0" fontId="112" fillId="0" borderId="122" applyNumberFormat="0" applyFill="0" applyAlignment="0" applyProtection="0">
      <alignment vertical="center"/>
    </xf>
    <xf numFmtId="0" fontId="121" fillId="11" borderId="120" applyNumberFormat="0" applyAlignment="0" applyProtection="0">
      <alignment vertical="center"/>
    </xf>
    <xf numFmtId="0" fontId="126" fillId="24" borderId="123" applyNumberFormat="0" applyAlignment="0" applyProtection="0">
      <alignment vertical="center"/>
    </xf>
    <xf numFmtId="0" fontId="9" fillId="0" borderId="0"/>
    <xf numFmtId="180" fontId="15" fillId="0" borderId="0" applyFont="0" applyFill="0" applyBorder="0" applyAlignment="0" applyProtection="0"/>
    <xf numFmtId="252" fontId="15" fillId="0" borderId="0" applyFont="0" applyFill="0" applyBorder="0" applyAlignment="0" applyProtection="0"/>
    <xf numFmtId="0" fontId="81" fillId="0" borderId="126">
      <alignment horizontal="left" vertical="center"/>
    </xf>
    <xf numFmtId="0" fontId="9" fillId="0" borderId="0">
      <alignment vertical="center"/>
    </xf>
    <xf numFmtId="38" fontId="79" fillId="4" borderId="0" applyNumberFormat="0" applyBorder="0" applyAlignment="0" applyProtection="0"/>
    <xf numFmtId="10" fontId="79" fillId="4" borderId="125" applyNumberFormat="0" applyBorder="0" applyAlignment="0" applyProtection="0"/>
    <xf numFmtId="253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0" fontId="9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24" borderId="164" applyNumberFormat="0" applyAlignment="0" applyProtection="0">
      <alignment vertical="center"/>
    </xf>
    <xf numFmtId="0" fontId="29" fillId="24" borderId="164" applyNumberFormat="0" applyAlignment="0" applyProtection="0">
      <alignment vertical="center"/>
    </xf>
    <xf numFmtId="0" fontId="9" fillId="25" borderId="165" applyNumberFormat="0" applyFont="0" applyAlignment="0" applyProtection="0">
      <alignment vertical="center"/>
    </xf>
    <xf numFmtId="0" fontId="52" fillId="0" borderId="166" applyNumberFormat="0" applyFill="0" applyAlignment="0" applyProtection="0">
      <alignment vertical="center"/>
    </xf>
    <xf numFmtId="0" fontId="53" fillId="0" borderId="166" applyNumberFormat="0" applyFill="0" applyAlignment="0" applyProtection="0">
      <alignment vertical="center"/>
    </xf>
    <xf numFmtId="0" fontId="55" fillId="11" borderId="164" applyNumberFormat="0" applyAlignment="0" applyProtection="0">
      <alignment vertical="center"/>
    </xf>
    <xf numFmtId="0" fontId="56" fillId="11" borderId="164" applyNumberFormat="0" applyAlignment="0" applyProtection="0">
      <alignment vertical="center"/>
    </xf>
    <xf numFmtId="0" fontId="64" fillId="24" borderId="167" applyNumberFormat="0" applyAlignment="0" applyProtection="0">
      <alignment vertical="center"/>
    </xf>
    <xf numFmtId="0" fontId="65" fillId="24" borderId="167" applyNumberFormat="0" applyAlignment="0" applyProtection="0">
      <alignment vertical="center"/>
    </xf>
    <xf numFmtId="189" fontId="15" fillId="0" borderId="158"/>
    <xf numFmtId="0" fontId="81" fillId="0" borderId="168">
      <alignment horizontal="left" vertical="center"/>
    </xf>
    <xf numFmtId="10" fontId="79" fillId="29" borderId="158" applyNumberFormat="0" applyBorder="0" applyAlignment="0" applyProtection="0"/>
    <xf numFmtId="0" fontId="78" fillId="0" borderId="169" applyNumberFormat="0" applyFill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15" fillId="24" borderId="164" applyNumberFormat="0" applyAlignment="0" applyProtection="0">
      <alignment vertical="center"/>
    </xf>
    <xf numFmtId="0" fontId="112" fillId="0" borderId="166" applyNumberFormat="0" applyFill="0" applyAlignment="0" applyProtection="0">
      <alignment vertical="center"/>
    </xf>
    <xf numFmtId="0" fontId="121" fillId="11" borderId="164" applyNumberFormat="0" applyAlignment="0" applyProtection="0">
      <alignment vertical="center"/>
    </xf>
    <xf numFmtId="0" fontId="126" fillId="24" borderId="167" applyNumberFormat="0" applyAlignment="0" applyProtection="0">
      <alignment vertical="center"/>
    </xf>
    <xf numFmtId="189" fontId="15" fillId="0" borderId="170"/>
    <xf numFmtId="10" fontId="79" fillId="29" borderId="170" applyNumberFormat="0" applyBorder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89" fontId="15" fillId="0" borderId="170"/>
    <xf numFmtId="0" fontId="28" fillId="24" borderId="173" applyNumberFormat="0" applyAlignment="0" applyProtection="0">
      <alignment vertical="center"/>
    </xf>
    <xf numFmtId="0" fontId="29" fillId="24" borderId="173" applyNumberFormat="0" applyAlignment="0" applyProtection="0">
      <alignment vertical="center"/>
    </xf>
    <xf numFmtId="0" fontId="9" fillId="25" borderId="174" applyNumberFormat="0" applyFont="0" applyAlignment="0" applyProtection="0">
      <alignment vertical="center"/>
    </xf>
    <xf numFmtId="0" fontId="52" fillId="0" borderId="175" applyNumberFormat="0" applyFill="0" applyAlignment="0" applyProtection="0">
      <alignment vertical="center"/>
    </xf>
    <xf numFmtId="0" fontId="53" fillId="0" borderId="175" applyNumberFormat="0" applyFill="0" applyAlignment="0" applyProtection="0">
      <alignment vertical="center"/>
    </xf>
    <xf numFmtId="0" fontId="55" fillId="11" borderId="173" applyNumberFormat="0" applyAlignment="0" applyProtection="0">
      <alignment vertical="center"/>
    </xf>
    <xf numFmtId="0" fontId="56" fillId="11" borderId="173" applyNumberFormat="0" applyAlignment="0" applyProtection="0">
      <alignment vertical="center"/>
    </xf>
    <xf numFmtId="0" fontId="64" fillId="24" borderId="176" applyNumberFormat="0" applyAlignment="0" applyProtection="0">
      <alignment vertical="center"/>
    </xf>
    <xf numFmtId="0" fontId="65" fillId="24" borderId="176" applyNumberFormat="0" applyAlignment="0" applyProtection="0">
      <alignment vertical="center"/>
    </xf>
    <xf numFmtId="189" fontId="15" fillId="0" borderId="172"/>
    <xf numFmtId="0" fontId="81" fillId="0" borderId="171">
      <alignment horizontal="left" vertical="center"/>
    </xf>
    <xf numFmtId="10" fontId="79" fillId="29" borderId="172" applyNumberFormat="0" applyBorder="0" applyAlignment="0" applyProtection="0"/>
    <xf numFmtId="10" fontId="79" fillId="29" borderId="170" applyNumberFormat="0" applyBorder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15" fillId="24" borderId="173" applyNumberFormat="0" applyAlignment="0" applyProtection="0">
      <alignment vertical="center"/>
    </xf>
    <xf numFmtId="0" fontId="112" fillId="0" borderId="175" applyNumberFormat="0" applyFill="0" applyAlignment="0" applyProtection="0">
      <alignment vertical="center"/>
    </xf>
    <xf numFmtId="0" fontId="121" fillId="11" borderId="173" applyNumberFormat="0" applyAlignment="0" applyProtection="0">
      <alignment vertical="center"/>
    </xf>
    <xf numFmtId="0" fontId="126" fillId="24" borderId="176" applyNumberFormat="0" applyAlignment="0" applyProtection="0">
      <alignment vertical="center"/>
    </xf>
    <xf numFmtId="0" fontId="81" fillId="0" borderId="171">
      <alignment horizontal="left" vertical="center"/>
    </xf>
    <xf numFmtId="10" fontId="79" fillId="4" borderId="170" applyNumberFormat="0" applyBorder="0" applyAlignment="0" applyProtection="0"/>
    <xf numFmtId="0" fontId="28" fillId="24" borderId="173" applyNumberFormat="0" applyAlignment="0" applyProtection="0">
      <alignment vertical="center"/>
    </xf>
    <xf numFmtId="0" fontId="29" fillId="24" borderId="173" applyNumberFormat="0" applyAlignment="0" applyProtection="0">
      <alignment vertical="center"/>
    </xf>
    <xf numFmtId="0" fontId="9" fillId="25" borderId="174" applyNumberFormat="0" applyFont="0" applyAlignment="0" applyProtection="0">
      <alignment vertical="center"/>
    </xf>
    <xf numFmtId="0" fontId="52" fillId="0" borderId="175" applyNumberFormat="0" applyFill="0" applyAlignment="0" applyProtection="0">
      <alignment vertical="center"/>
    </xf>
    <xf numFmtId="0" fontId="53" fillId="0" borderId="175" applyNumberFormat="0" applyFill="0" applyAlignment="0" applyProtection="0">
      <alignment vertical="center"/>
    </xf>
    <xf numFmtId="0" fontId="55" fillId="11" borderId="173" applyNumberFormat="0" applyAlignment="0" applyProtection="0">
      <alignment vertical="center"/>
    </xf>
    <xf numFmtId="0" fontId="56" fillId="11" borderId="173" applyNumberFormat="0" applyAlignment="0" applyProtection="0">
      <alignment vertical="center"/>
    </xf>
    <xf numFmtId="0" fontId="64" fillId="24" borderId="176" applyNumberFormat="0" applyAlignment="0" applyProtection="0">
      <alignment vertical="center"/>
    </xf>
    <xf numFmtId="0" fontId="65" fillId="24" borderId="176" applyNumberFormat="0" applyAlignment="0" applyProtection="0">
      <alignment vertical="center"/>
    </xf>
    <xf numFmtId="189" fontId="15" fillId="0" borderId="170"/>
    <xf numFmtId="0" fontId="81" fillId="0" borderId="177">
      <alignment horizontal="left" vertical="center"/>
    </xf>
    <xf numFmtId="10" fontId="79" fillId="29" borderId="170" applyNumberFormat="0" applyBorder="0" applyAlignment="0" applyProtection="0"/>
    <xf numFmtId="0" fontId="78" fillId="0" borderId="178" applyNumberFormat="0" applyFill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15" fillId="24" borderId="173" applyNumberFormat="0" applyAlignment="0" applyProtection="0">
      <alignment vertical="center"/>
    </xf>
    <xf numFmtId="0" fontId="112" fillId="0" borderId="175" applyNumberFormat="0" applyFill="0" applyAlignment="0" applyProtection="0">
      <alignment vertical="center"/>
    </xf>
    <xf numFmtId="0" fontId="121" fillId="11" borderId="173" applyNumberFormat="0" applyAlignment="0" applyProtection="0">
      <alignment vertical="center"/>
    </xf>
    <xf numFmtId="0" fontId="126" fillId="24" borderId="176" applyNumberFormat="0" applyAlignment="0" applyProtection="0">
      <alignment vertical="center"/>
    </xf>
    <xf numFmtId="189" fontId="15" fillId="0" borderId="172"/>
    <xf numFmtId="10" fontId="79" fillId="29" borderId="172" applyNumberFormat="0" applyBorder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89" fontId="15" fillId="0" borderId="172"/>
    <xf numFmtId="0" fontId="28" fillId="24" borderId="173" applyNumberFormat="0" applyAlignment="0" applyProtection="0">
      <alignment vertical="center"/>
    </xf>
    <xf numFmtId="0" fontId="29" fillId="24" borderId="173" applyNumberFormat="0" applyAlignment="0" applyProtection="0">
      <alignment vertical="center"/>
    </xf>
    <xf numFmtId="0" fontId="9" fillId="25" borderId="174" applyNumberFormat="0" applyFont="0" applyAlignment="0" applyProtection="0">
      <alignment vertical="center"/>
    </xf>
    <xf numFmtId="0" fontId="52" fillId="0" borderId="175" applyNumberFormat="0" applyFill="0" applyAlignment="0" applyProtection="0">
      <alignment vertical="center"/>
    </xf>
    <xf numFmtId="0" fontId="53" fillId="0" borderId="175" applyNumberFormat="0" applyFill="0" applyAlignment="0" applyProtection="0">
      <alignment vertical="center"/>
    </xf>
    <xf numFmtId="0" fontId="55" fillId="11" borderId="173" applyNumberFormat="0" applyAlignment="0" applyProtection="0">
      <alignment vertical="center"/>
    </xf>
    <xf numFmtId="0" fontId="56" fillId="11" borderId="173" applyNumberFormat="0" applyAlignment="0" applyProtection="0">
      <alignment vertical="center"/>
    </xf>
    <xf numFmtId="0" fontId="64" fillId="24" borderId="176" applyNumberFormat="0" applyAlignment="0" applyProtection="0">
      <alignment vertical="center"/>
    </xf>
    <xf numFmtId="0" fontId="65" fillId="24" borderId="176" applyNumberFormat="0" applyAlignment="0" applyProtection="0">
      <alignment vertical="center"/>
    </xf>
    <xf numFmtId="189" fontId="15" fillId="0" borderId="172"/>
    <xf numFmtId="0" fontId="81" fillId="0" borderId="177">
      <alignment horizontal="left" vertical="center"/>
    </xf>
    <xf numFmtId="10" fontId="79" fillId="29" borderId="172" applyNumberFormat="0" applyBorder="0" applyAlignment="0" applyProtection="0"/>
    <xf numFmtId="10" fontId="79" fillId="29" borderId="172" applyNumberFormat="0" applyBorder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15" fillId="24" borderId="173" applyNumberFormat="0" applyAlignment="0" applyProtection="0">
      <alignment vertical="center"/>
    </xf>
    <xf numFmtId="0" fontId="112" fillId="0" borderId="175" applyNumberFormat="0" applyFill="0" applyAlignment="0" applyProtection="0">
      <alignment vertical="center"/>
    </xf>
    <xf numFmtId="0" fontId="121" fillId="11" borderId="173" applyNumberFormat="0" applyAlignment="0" applyProtection="0">
      <alignment vertical="center"/>
    </xf>
    <xf numFmtId="0" fontId="126" fillId="24" borderId="176" applyNumberFormat="0" applyAlignment="0" applyProtection="0">
      <alignment vertical="center"/>
    </xf>
    <xf numFmtId="0" fontId="81" fillId="0" borderId="177">
      <alignment horizontal="left" vertical="center"/>
    </xf>
    <xf numFmtId="10" fontId="79" fillId="4" borderId="172" applyNumberFormat="0" applyBorder="0" applyAlignment="0" applyProtection="0"/>
    <xf numFmtId="0" fontId="3" fillId="0" borderId="0">
      <alignment vertical="center"/>
    </xf>
  </cellStyleXfs>
  <cellXfs count="1166">
    <xf numFmtId="0" fontId="0" fillId="0" borderId="0" xfId="0">
      <alignment vertical="center"/>
    </xf>
    <xf numFmtId="0" fontId="90" fillId="0" borderId="0" xfId="0" applyFont="1">
      <alignment vertical="center"/>
    </xf>
    <xf numFmtId="0" fontId="95" fillId="0" borderId="0" xfId="0" applyFont="1">
      <alignment vertical="center"/>
    </xf>
    <xf numFmtId="0" fontId="102" fillId="0" borderId="0" xfId="283" applyFont="1" applyFill="1"/>
    <xf numFmtId="0" fontId="91" fillId="0" borderId="0" xfId="283" applyFont="1" applyFill="1"/>
    <xf numFmtId="0" fontId="96" fillId="0" borderId="0" xfId="0" applyFont="1" applyBorder="1" applyAlignment="1"/>
    <xf numFmtId="0" fontId="95" fillId="0" borderId="0" xfId="0" applyFont="1" applyBorder="1" applyAlignment="1"/>
    <xf numFmtId="0" fontId="95" fillId="0" borderId="0" xfId="0" applyFont="1" applyBorder="1" applyAlignment="1">
      <alignment horizontal="right" wrapText="1"/>
    </xf>
    <xf numFmtId="0" fontId="96" fillId="0" borderId="0" xfId="0" applyFont="1" applyAlignment="1"/>
    <xf numFmtId="0" fontId="95" fillId="0" borderId="0" xfId="284" applyFont="1" applyFill="1"/>
    <xf numFmtId="0" fontId="95" fillId="0" borderId="87" xfId="0" applyFont="1" applyFill="1" applyBorder="1" applyAlignment="1">
      <alignment horizontal="center"/>
    </xf>
    <xf numFmtId="0" fontId="95" fillId="0" borderId="86" xfId="0" applyFont="1" applyFill="1" applyBorder="1" applyAlignment="1">
      <alignment horizontal="center"/>
    </xf>
    <xf numFmtId="0" fontId="96" fillId="0" borderId="0" xfId="0" applyFont="1" applyBorder="1" applyAlignment="1">
      <alignment horizontal="center" vertical="center"/>
    </xf>
    <xf numFmtId="0" fontId="95" fillId="0" borderId="56" xfId="0" applyFont="1" applyFill="1" applyBorder="1" applyAlignment="1">
      <alignment horizontal="center"/>
    </xf>
    <xf numFmtId="0" fontId="95" fillId="0" borderId="20" xfId="0" applyFont="1" applyFill="1" applyBorder="1" applyAlignment="1">
      <alignment horizontal="center"/>
    </xf>
    <xf numFmtId="0" fontId="95" fillId="0" borderId="20" xfId="0" quotePrefix="1" applyFont="1" applyFill="1" applyBorder="1" applyAlignment="1">
      <alignment horizontal="center"/>
    </xf>
    <xf numFmtId="232" fontId="95" fillId="0" borderId="0" xfId="0" applyNumberFormat="1" applyFont="1" applyBorder="1" applyAlignment="1">
      <alignment horizontal="right" vertical="center"/>
    </xf>
    <xf numFmtId="0" fontId="95" fillId="0" borderId="0" xfId="284" applyFont="1" applyFill="1" applyAlignment="1">
      <alignment vertical="center"/>
    </xf>
    <xf numFmtId="0" fontId="95" fillId="0" borderId="28" xfId="0" applyFont="1" applyFill="1" applyBorder="1" applyAlignment="1">
      <alignment horizontal="center"/>
    </xf>
    <xf numFmtId="0" fontId="95" fillId="0" borderId="0" xfId="0" applyFont="1" applyFill="1" applyBorder="1" applyAlignment="1">
      <alignment horizontal="center"/>
    </xf>
    <xf numFmtId="0" fontId="95" fillId="0" borderId="0" xfId="0" quotePrefix="1" applyFont="1" applyFill="1" applyBorder="1" applyAlignment="1">
      <alignment horizontal="center"/>
    </xf>
    <xf numFmtId="0" fontId="95" fillId="0" borderId="28" xfId="0" applyFont="1" applyBorder="1" applyAlignment="1">
      <alignment horizontal="center" vertical="center"/>
    </xf>
    <xf numFmtId="222" fontId="95" fillId="0" borderId="0" xfId="0" applyNumberFormat="1" applyFont="1" applyBorder="1" applyAlignment="1">
      <alignment vertical="center"/>
    </xf>
    <xf numFmtId="221" fontId="95" fillId="0" borderId="0" xfId="0" applyNumberFormat="1" applyFont="1" applyBorder="1" applyAlignment="1">
      <alignment vertical="center"/>
    </xf>
    <xf numFmtId="232" fontId="95" fillId="0" borderId="0" xfId="0" applyNumberFormat="1" applyFont="1" applyBorder="1" applyAlignment="1">
      <alignment horizontal="right"/>
    </xf>
    <xf numFmtId="0" fontId="95" fillId="0" borderId="28" xfId="0" quotePrefix="1" applyFont="1" applyBorder="1" applyAlignment="1">
      <alignment horizontal="center" vertical="center"/>
    </xf>
    <xf numFmtId="0" fontId="95" fillId="0" borderId="82" xfId="0" applyFont="1" applyBorder="1" applyAlignment="1">
      <alignment horizontal="center" vertical="center"/>
    </xf>
    <xf numFmtId="232" fontId="95" fillId="0" borderId="49" xfId="0" applyNumberFormat="1" applyFont="1" applyBorder="1" applyAlignment="1">
      <alignment horizontal="right" vertical="center"/>
    </xf>
    <xf numFmtId="221" fontId="95" fillId="0" borderId="49" xfId="0" applyNumberFormat="1" applyFont="1" applyBorder="1" applyAlignment="1">
      <alignment horizontal="right" vertical="center"/>
    </xf>
    <xf numFmtId="0" fontId="95" fillId="0" borderId="0" xfId="284" applyFont="1" applyFill="1" applyBorder="1" applyAlignment="1">
      <alignment vertical="center"/>
    </xf>
    <xf numFmtId="0" fontId="91" fillId="0" borderId="0" xfId="283" applyFont="1"/>
    <xf numFmtId="0" fontId="103" fillId="0" borderId="0" xfId="0" applyFont="1" applyAlignment="1">
      <alignment horizontal="left" vertical="center"/>
    </xf>
    <xf numFmtId="0" fontId="91" fillId="0" borderId="0" xfId="0" applyFont="1" applyBorder="1" applyAlignment="1">
      <alignment vertical="center"/>
    </xf>
    <xf numFmtId="0" fontId="106" fillId="0" borderId="0" xfId="0" applyFont="1" applyFill="1" applyBorder="1" applyAlignment="1">
      <alignment vertical="center"/>
    </xf>
    <xf numFmtId="0" fontId="90" fillId="0" borderId="0" xfId="0" applyFont="1" applyAlignment="1">
      <alignment vertical="center"/>
    </xf>
    <xf numFmtId="0" fontId="108" fillId="0" borderId="0" xfId="283" applyFont="1"/>
    <xf numFmtId="0" fontId="90" fillId="0" borderId="0" xfId="0" applyFont="1" applyAlignment="1"/>
    <xf numFmtId="0" fontId="102" fillId="0" borderId="0" xfId="283" applyFont="1"/>
    <xf numFmtId="0" fontId="94" fillId="0" borderId="0" xfId="283" applyFont="1" applyAlignment="1">
      <alignment horizontal="center"/>
    </xf>
    <xf numFmtId="0" fontId="102" fillId="0" borderId="0" xfId="284" applyFont="1" applyAlignment="1">
      <alignment horizontal="left"/>
    </xf>
    <xf numFmtId="0" fontId="102" fillId="0" borderId="49" xfId="283" applyFont="1" applyBorder="1" applyAlignment="1">
      <alignment horizontal="right"/>
    </xf>
    <xf numFmtId="0" fontId="102" fillId="0" borderId="0" xfId="283" applyFont="1" applyAlignment="1">
      <alignment horizontal="right"/>
    </xf>
    <xf numFmtId="0" fontId="91" fillId="0" borderId="58" xfId="0" applyFont="1" applyBorder="1" applyAlignment="1">
      <alignment horizontal="center" vertical="center"/>
    </xf>
    <xf numFmtId="0" fontId="91" fillId="0" borderId="85" xfId="0" applyFont="1" applyBorder="1" applyAlignment="1">
      <alignment horizontal="center" vertical="center"/>
    </xf>
    <xf numFmtId="0" fontId="90" fillId="0" borderId="0" xfId="284" applyFont="1" applyAlignment="1">
      <alignment vertical="center"/>
    </xf>
    <xf numFmtId="179" fontId="91" fillId="0" borderId="83" xfId="0" applyNumberFormat="1" applyFont="1" applyBorder="1" applyAlignment="1">
      <alignment horizontal="right" vertical="center" indent="1"/>
    </xf>
    <xf numFmtId="0" fontId="91" fillId="0" borderId="28" xfId="0" applyFont="1" applyBorder="1" applyAlignment="1">
      <alignment horizontal="center" vertical="center"/>
    </xf>
    <xf numFmtId="220" fontId="91" fillId="0" borderId="0" xfId="0" applyNumberFormat="1" applyFont="1" applyBorder="1" applyAlignment="1">
      <alignment horizontal="right" vertical="center" indent="1"/>
    </xf>
    <xf numFmtId="0" fontId="91" fillId="0" borderId="82" xfId="0" applyFont="1" applyBorder="1" applyAlignment="1">
      <alignment horizontal="center" vertical="center"/>
    </xf>
    <xf numFmtId="220" fontId="91" fillId="0" borderId="49" xfId="0" applyNumberFormat="1" applyFont="1" applyBorder="1" applyAlignment="1">
      <alignment horizontal="right" vertical="center" indent="1"/>
    </xf>
    <xf numFmtId="230" fontId="90" fillId="0" borderId="0" xfId="0" applyNumberFormat="1" applyFont="1" applyAlignment="1"/>
    <xf numFmtId="0" fontId="91" fillId="0" borderId="0" xfId="0" applyFont="1" applyAlignment="1"/>
    <xf numFmtId="0" fontId="95" fillId="0" borderId="0" xfId="0" applyFont="1" applyBorder="1" applyAlignment="1">
      <alignment horizontal="center" vertical="center"/>
    </xf>
    <xf numFmtId="231" fontId="106" fillId="0" borderId="80" xfId="0" applyNumberFormat="1" applyFont="1" applyFill="1" applyBorder="1" applyAlignment="1">
      <alignment horizontal="center" vertical="center" wrapText="1"/>
    </xf>
    <xf numFmtId="231" fontId="106" fillId="0" borderId="0" xfId="0" applyNumberFormat="1" applyFont="1" applyFill="1" applyBorder="1" applyAlignment="1">
      <alignment horizontal="center" vertical="center" wrapText="1"/>
    </xf>
    <xf numFmtId="231" fontId="106" fillId="0" borderId="77" xfId="0" applyNumberFormat="1" applyFont="1" applyFill="1" applyBorder="1" applyAlignment="1">
      <alignment horizontal="center" vertical="center" wrapText="1"/>
    </xf>
    <xf numFmtId="231" fontId="106" fillId="0" borderId="70" xfId="0" applyNumberFormat="1" applyFont="1" applyFill="1" applyBorder="1" applyAlignment="1">
      <alignment horizontal="center" vertical="center" wrapText="1"/>
    </xf>
    <xf numFmtId="231" fontId="106" fillId="33" borderId="0" xfId="0" applyNumberFormat="1" applyFont="1" applyFill="1" applyBorder="1" applyAlignment="1">
      <alignment horizontal="center" vertical="center" wrapText="1"/>
    </xf>
    <xf numFmtId="0" fontId="109" fillId="0" borderId="0" xfId="0" applyFont="1" applyFill="1" applyBorder="1" applyAlignment="1">
      <alignment horizontal="left" vertical="center" wrapText="1"/>
    </xf>
    <xf numFmtId="0" fontId="91" fillId="0" borderId="0" xfId="0" applyFont="1" applyFill="1" applyBorder="1" applyAlignment="1">
      <alignment horizontal="center" vertical="center"/>
    </xf>
    <xf numFmtId="0" fontId="90" fillId="0" borderId="0" xfId="0" applyFont="1" applyFill="1">
      <alignment vertical="center"/>
    </xf>
    <xf numFmtId="0" fontId="91" fillId="0" borderId="59" xfId="0" applyFont="1" applyFill="1" applyBorder="1" applyAlignment="1">
      <alignment horizontal="center" vertical="center"/>
    </xf>
    <xf numFmtId="0" fontId="91" fillId="0" borderId="33" xfId="0" applyFont="1" applyFill="1" applyBorder="1" applyAlignment="1">
      <alignment horizontal="center" vertical="center"/>
    </xf>
    <xf numFmtId="0" fontId="106" fillId="0" borderId="65" xfId="0" applyFont="1" applyFill="1" applyBorder="1" applyAlignment="1">
      <alignment horizontal="center" vertical="center" wrapText="1"/>
    </xf>
    <xf numFmtId="179" fontId="91" fillId="0" borderId="64" xfId="0" applyNumberFormat="1" applyFont="1" applyFill="1" applyBorder="1" applyAlignment="1">
      <alignment horizontal="center" vertical="center"/>
    </xf>
    <xf numFmtId="179" fontId="91" fillId="0" borderId="63" xfId="0" applyNumberFormat="1" applyFont="1" applyFill="1" applyBorder="1" applyAlignment="1">
      <alignment horizontal="center" vertical="center"/>
    </xf>
    <xf numFmtId="179" fontId="91" fillId="0" borderId="0" xfId="0" applyNumberFormat="1" applyFont="1" applyFill="1" applyBorder="1" applyAlignment="1">
      <alignment horizontal="center" vertical="center"/>
    </xf>
    <xf numFmtId="0" fontId="106" fillId="0" borderId="62" xfId="0" applyFont="1" applyFill="1" applyBorder="1" applyAlignment="1">
      <alignment horizontal="center" vertical="center" wrapText="1"/>
    </xf>
    <xf numFmtId="179" fontId="91" fillId="33" borderId="0" xfId="0" applyNumberFormat="1" applyFont="1" applyFill="1" applyBorder="1" applyAlignment="1">
      <alignment horizontal="center" vertical="center"/>
    </xf>
    <xf numFmtId="0" fontId="91" fillId="0" borderId="0" xfId="0" applyFont="1">
      <alignment vertical="center"/>
    </xf>
    <xf numFmtId="228" fontId="95" fillId="0" borderId="0" xfId="0" applyNumberFormat="1" applyFont="1" applyFill="1" applyAlignment="1" applyProtection="1">
      <alignment horizontal="left" vertical="center"/>
      <protection locked="0"/>
    </xf>
    <xf numFmtId="3" fontId="90" fillId="0" borderId="0" xfId="0" applyNumberFormat="1" applyFont="1" applyAlignment="1"/>
    <xf numFmtId="1" fontId="95" fillId="0" borderId="0" xfId="0" applyNumberFormat="1" applyFont="1" applyBorder="1" applyAlignment="1">
      <alignment vertical="center"/>
    </xf>
    <xf numFmtId="0" fontId="127" fillId="37" borderId="22" xfId="329" applyFill="1" applyBorder="1" applyAlignment="1"/>
    <xf numFmtId="0" fontId="127" fillId="37" borderId="89" xfId="329" applyFill="1" applyBorder="1" applyAlignment="1"/>
    <xf numFmtId="0" fontId="127" fillId="37" borderId="90" xfId="329" applyFill="1" applyBorder="1" applyAlignment="1"/>
    <xf numFmtId="0" fontId="127" fillId="37" borderId="91" xfId="329" applyFill="1" applyBorder="1" applyAlignment="1"/>
    <xf numFmtId="0" fontId="47" fillId="0" borderId="0" xfId="331" applyFont="1" applyFill="1" applyAlignment="1">
      <alignment vertical="center"/>
    </xf>
    <xf numFmtId="0" fontId="47" fillId="0" borderId="0" xfId="331" applyFont="1" applyAlignment="1">
      <alignment vertical="center"/>
    </xf>
    <xf numFmtId="0" fontId="47" fillId="0" borderId="0" xfId="331" applyFont="1" applyFill="1" applyAlignment="1">
      <alignment horizontal="left" vertical="center"/>
    </xf>
    <xf numFmtId="0" fontId="47" fillId="0" borderId="0" xfId="331" applyFont="1" applyAlignment="1">
      <alignment horizontal="left" vertical="center"/>
    </xf>
    <xf numFmtId="0" fontId="47" fillId="0" borderId="0" xfId="331" applyFont="1" applyAlignment="1">
      <alignment horizontal="right" vertical="center"/>
    </xf>
    <xf numFmtId="0" fontId="47" fillId="0" borderId="0" xfId="2" applyFont="1" applyAlignment="1">
      <alignment vertical="center"/>
    </xf>
    <xf numFmtId="237" fontId="47" fillId="0" borderId="0" xfId="2" applyNumberFormat="1" applyFont="1" applyAlignment="1">
      <alignment vertical="center"/>
    </xf>
    <xf numFmtId="0" fontId="47" fillId="38" borderId="0" xfId="2" applyFont="1" applyFill="1" applyAlignment="1">
      <alignment vertical="center"/>
    </xf>
    <xf numFmtId="0" fontId="47" fillId="0" borderId="0" xfId="2" applyFont="1" applyFill="1" applyAlignment="1">
      <alignment vertical="center"/>
    </xf>
    <xf numFmtId="237" fontId="47" fillId="0" borderId="0" xfId="2" applyNumberFormat="1" applyFont="1" applyFill="1" applyAlignment="1">
      <alignment vertical="center"/>
    </xf>
    <xf numFmtId="0" fontId="129" fillId="0" borderId="0" xfId="2" applyFont="1" applyFill="1" applyAlignment="1">
      <alignment vertical="center"/>
    </xf>
    <xf numFmtId="177" fontId="47" fillId="0" borderId="0" xfId="2" applyNumberFormat="1" applyFont="1" applyFill="1" applyAlignment="1">
      <alignment vertical="center"/>
    </xf>
    <xf numFmtId="41" fontId="47" fillId="0" borderId="0" xfId="2" applyNumberFormat="1" applyFont="1" applyFill="1" applyAlignment="1">
      <alignment vertical="center"/>
    </xf>
    <xf numFmtId="41" fontId="47" fillId="38" borderId="0" xfId="5" applyFont="1" applyFill="1" applyAlignment="1">
      <alignment vertical="center"/>
    </xf>
    <xf numFmtId="43" fontId="130" fillId="38" borderId="0" xfId="2" applyNumberFormat="1" applyFont="1" applyFill="1" applyAlignment="1">
      <alignment vertical="center"/>
    </xf>
    <xf numFmtId="177" fontId="47" fillId="38" borderId="0" xfId="2" applyNumberFormat="1" applyFont="1" applyFill="1" applyAlignment="1">
      <alignment vertical="center"/>
    </xf>
    <xf numFmtId="41" fontId="47" fillId="0" borderId="0" xfId="5" applyFont="1" applyFill="1" applyAlignment="1">
      <alignment vertical="center"/>
    </xf>
    <xf numFmtId="43" fontId="130" fillId="0" borderId="0" xfId="2" applyNumberFormat="1" applyFont="1" applyFill="1" applyAlignment="1">
      <alignment vertical="center"/>
    </xf>
    <xf numFmtId="177" fontId="130" fillId="0" borderId="0" xfId="2" applyNumberFormat="1" applyFont="1" applyFill="1" applyAlignment="1">
      <alignment vertical="center"/>
    </xf>
    <xf numFmtId="177" fontId="130" fillId="38" borderId="0" xfId="2" applyNumberFormat="1" applyFont="1" applyFill="1" applyAlignment="1">
      <alignment vertical="center"/>
    </xf>
    <xf numFmtId="221" fontId="47" fillId="0" borderId="0" xfId="2" applyNumberFormat="1" applyFont="1" applyFill="1" applyAlignment="1">
      <alignment horizontal="center" vertical="center"/>
    </xf>
    <xf numFmtId="41" fontId="47" fillId="0" borderId="0" xfId="2" applyNumberFormat="1" applyFont="1" applyFill="1" applyAlignment="1">
      <alignment horizontal="center" vertical="center"/>
    </xf>
    <xf numFmtId="0" fontId="47" fillId="0" borderId="0" xfId="2" applyFont="1" applyFill="1" applyAlignment="1">
      <alignment horizontal="center" vertical="center"/>
    </xf>
    <xf numFmtId="0" fontId="47" fillId="0" borderId="0" xfId="2" applyFont="1" applyAlignment="1">
      <alignment horizontal="center" vertical="center"/>
    </xf>
    <xf numFmtId="238" fontId="47" fillId="0" borderId="0" xfId="5" applyNumberFormat="1" applyFont="1" applyAlignment="1">
      <alignment horizontal="center" vertical="center"/>
    </xf>
    <xf numFmtId="177" fontId="47" fillId="0" borderId="0" xfId="2" applyNumberFormat="1" applyFont="1" applyAlignment="1">
      <alignment vertical="center"/>
    </xf>
    <xf numFmtId="221" fontId="47" fillId="0" borderId="0" xfId="2" applyNumberFormat="1" applyFont="1" applyAlignment="1">
      <alignment horizontal="center" vertical="center"/>
    </xf>
    <xf numFmtId="239" fontId="47" fillId="0" borderId="0" xfId="2" applyNumberFormat="1" applyFont="1" applyAlignment="1">
      <alignment horizontal="center" vertical="center"/>
    </xf>
    <xf numFmtId="41" fontId="47" fillId="0" borderId="0" xfId="2" applyNumberFormat="1" applyFont="1" applyAlignment="1">
      <alignment horizontal="center" vertical="center"/>
    </xf>
    <xf numFmtId="0" fontId="47" fillId="0" borderId="0" xfId="2" applyFont="1" applyFill="1" applyBorder="1" applyAlignment="1">
      <alignment horizontal="center" vertical="center"/>
    </xf>
    <xf numFmtId="222" fontId="47" fillId="0" borderId="0" xfId="2" applyNumberFormat="1" applyFont="1" applyFill="1" applyBorder="1" applyAlignment="1">
      <alignment vertical="center"/>
    </xf>
    <xf numFmtId="222" fontId="47" fillId="0" borderId="0" xfId="2" applyNumberFormat="1" applyFont="1" applyBorder="1" applyAlignment="1">
      <alignment vertical="center"/>
    </xf>
    <xf numFmtId="0" fontId="47" fillId="0" borderId="0" xfId="2" applyFont="1" applyBorder="1" applyAlignment="1">
      <alignment vertical="center"/>
    </xf>
    <xf numFmtId="222" fontId="47" fillId="0" borderId="0" xfId="2" applyNumberFormat="1" applyFont="1" applyAlignment="1">
      <alignment horizontal="center" vertical="center"/>
    </xf>
    <xf numFmtId="0" fontId="131" fillId="0" borderId="0" xfId="331" applyFont="1" applyFill="1" applyAlignment="1">
      <alignment vertical="center"/>
    </xf>
    <xf numFmtId="0" fontId="47" fillId="0" borderId="20" xfId="331" applyFont="1" applyFill="1" applyBorder="1" applyAlignment="1">
      <alignment vertical="center"/>
    </xf>
    <xf numFmtId="0" fontId="47" fillId="0" borderId="53" xfId="331" applyFont="1" applyFill="1" applyBorder="1" applyAlignment="1">
      <alignment horizontal="center" vertical="center"/>
    </xf>
    <xf numFmtId="0" fontId="47" fillId="0" borderId="55" xfId="331" applyFont="1" applyFill="1" applyBorder="1" applyAlignment="1">
      <alignment horizontal="center" vertical="center"/>
    </xf>
    <xf numFmtId="0" fontId="47" fillId="0" borderId="55" xfId="331" applyFont="1" applyBorder="1" applyAlignment="1">
      <alignment horizontal="center" vertical="center"/>
    </xf>
    <xf numFmtId="0" fontId="47" fillId="0" borderId="100" xfId="331" applyFont="1" applyBorder="1" applyAlignment="1">
      <alignment horizontal="center" vertical="center"/>
    </xf>
    <xf numFmtId="0" fontId="47" fillId="0" borderId="100" xfId="331" applyFont="1" applyBorder="1" applyAlignment="1">
      <alignment vertical="center"/>
    </xf>
    <xf numFmtId="0" fontId="47" fillId="0" borderId="100" xfId="331" applyFont="1" applyBorder="1" applyAlignment="1">
      <alignment horizontal="right" vertical="center"/>
    </xf>
    <xf numFmtId="222" fontId="47" fillId="0" borderId="95" xfId="332" applyNumberFormat="1" applyFont="1" applyBorder="1" applyAlignment="1">
      <alignment horizontal="left" vertical="center"/>
    </xf>
    <xf numFmtId="222" fontId="47" fillId="0" borderId="95" xfId="332" applyNumberFormat="1" applyFont="1" applyBorder="1" applyAlignment="1">
      <alignment horizontal="center" vertical="center"/>
    </xf>
    <xf numFmtId="0" fontId="47" fillId="0" borderId="90" xfId="332" applyFont="1" applyBorder="1" applyAlignment="1">
      <alignment horizontal="center" vertical="center"/>
    </xf>
    <xf numFmtId="240" fontId="47" fillId="0" borderId="0" xfId="331" applyNumberFormat="1" applyFont="1" applyBorder="1" applyAlignment="1">
      <alignment vertical="center"/>
    </xf>
    <xf numFmtId="241" fontId="47" fillId="0" borderId="0" xfId="331" applyNumberFormat="1" applyFont="1" applyBorder="1" applyAlignment="1">
      <alignment horizontal="right" vertical="center"/>
    </xf>
    <xf numFmtId="0" fontId="130" fillId="0" borderId="0" xfId="331" applyFont="1" applyBorder="1" applyAlignment="1">
      <alignment horizontal="right" vertical="center"/>
    </xf>
    <xf numFmtId="243" fontId="47" fillId="0" borderId="0" xfId="331" applyNumberFormat="1" applyFont="1" applyBorder="1" applyAlignment="1">
      <alignment horizontal="center" vertical="center"/>
    </xf>
    <xf numFmtId="0" fontId="47" fillId="0" borderId="0" xfId="331" applyFont="1" applyBorder="1" applyAlignment="1">
      <alignment horizontal="right" vertical="center"/>
    </xf>
    <xf numFmtId="177" fontId="47" fillId="0" borderId="90" xfId="5" applyNumberFormat="1" applyFont="1" applyBorder="1" applyAlignment="1">
      <alignment horizontal="center" vertical="center"/>
    </xf>
    <xf numFmtId="177" fontId="47" fillId="0" borderId="90" xfId="5" applyNumberFormat="1" applyFont="1" applyBorder="1" applyAlignment="1">
      <alignment vertical="center"/>
    </xf>
    <xf numFmtId="177" fontId="47" fillId="0" borderId="91" xfId="5" applyNumberFormat="1" applyFont="1" applyBorder="1" applyAlignment="1">
      <alignment vertical="center"/>
    </xf>
    <xf numFmtId="0" fontId="47" fillId="0" borderId="96" xfId="331" applyFont="1" applyFill="1" applyBorder="1" applyAlignment="1">
      <alignment horizontal="center" vertical="center"/>
    </xf>
    <xf numFmtId="41" fontId="47" fillId="0" borderId="35" xfId="5" applyFont="1" applyFill="1" applyBorder="1" applyAlignment="1">
      <alignment horizontal="right" vertical="center"/>
    </xf>
    <xf numFmtId="177" fontId="47" fillId="0" borderId="0" xfId="331" applyNumberFormat="1" applyFont="1" applyBorder="1" applyAlignment="1">
      <alignment vertical="center"/>
    </xf>
    <xf numFmtId="220" fontId="47" fillId="0" borderId="89" xfId="5" applyNumberFormat="1" applyFont="1" applyFill="1" applyBorder="1" applyAlignment="1">
      <alignment horizontal="right" vertical="center"/>
    </xf>
    <xf numFmtId="0" fontId="47" fillId="0" borderId="0" xfId="331" applyFont="1" applyFill="1" applyBorder="1" applyAlignment="1">
      <alignment horizontal="center" vertical="center"/>
    </xf>
    <xf numFmtId="177" fontId="47" fillId="0" borderId="0" xfId="5" applyNumberFormat="1" applyFont="1" applyFill="1" applyBorder="1" applyAlignment="1">
      <alignment horizontal="right" vertical="center"/>
    </xf>
    <xf numFmtId="41" fontId="47" fillId="0" borderId="0" xfId="5" applyFont="1" applyFill="1" applyBorder="1" applyAlignment="1">
      <alignment horizontal="center" vertical="center"/>
    </xf>
    <xf numFmtId="0" fontId="47" fillId="0" borderId="54" xfId="331" applyFont="1" applyBorder="1" applyAlignment="1">
      <alignment horizontal="center" vertical="center"/>
    </xf>
    <xf numFmtId="242" fontId="47" fillId="0" borderId="31" xfId="5" applyNumberFormat="1" applyFont="1" applyBorder="1" applyAlignment="1">
      <alignment horizontal="center" vertical="center"/>
    </xf>
    <xf numFmtId="0" fontId="47" fillId="0" borderId="30" xfId="331" applyFont="1" applyBorder="1" applyAlignment="1">
      <alignment horizontal="left" vertical="center"/>
    </xf>
    <xf numFmtId="244" fontId="47" fillId="0" borderId="0" xfId="331" applyNumberFormat="1" applyFont="1" applyBorder="1" applyAlignment="1">
      <alignment horizontal="center" vertical="center"/>
    </xf>
    <xf numFmtId="223" fontId="47" fillId="0" borderId="0" xfId="331" applyNumberFormat="1" applyFont="1" applyBorder="1" applyAlignment="1">
      <alignment vertical="center"/>
    </xf>
    <xf numFmtId="245" fontId="130" fillId="0" borderId="0" xfId="331" applyNumberFormat="1" applyFont="1" applyBorder="1" applyAlignment="1">
      <alignment horizontal="right" vertical="center"/>
    </xf>
    <xf numFmtId="240" fontId="47" fillId="0" borderId="89" xfId="5" applyNumberFormat="1" applyFont="1" applyFill="1" applyBorder="1" applyAlignment="1">
      <alignment horizontal="right" vertical="center"/>
    </xf>
    <xf numFmtId="222" fontId="47" fillId="0" borderId="0" xfId="331" applyNumberFormat="1" applyFont="1" applyBorder="1" applyAlignment="1">
      <alignment horizontal="center" vertical="center"/>
    </xf>
    <xf numFmtId="246" fontId="47" fillId="0" borderId="0" xfId="331" applyNumberFormat="1" applyFont="1" applyAlignment="1">
      <alignment vertical="center"/>
    </xf>
    <xf numFmtId="222" fontId="47" fillId="0" borderId="0" xfId="331" applyNumberFormat="1" applyFont="1" applyAlignment="1">
      <alignment vertical="center"/>
    </xf>
    <xf numFmtId="242" fontId="47" fillId="0" borderId="35" xfId="5" applyNumberFormat="1" applyFont="1" applyBorder="1" applyAlignment="1">
      <alignment horizontal="center" vertical="center"/>
    </xf>
    <xf numFmtId="240" fontId="47" fillId="0" borderId="103" xfId="5" applyNumberFormat="1" applyFont="1" applyFill="1" applyBorder="1" applyAlignment="1">
      <alignment horizontal="right" vertical="center"/>
    </xf>
    <xf numFmtId="178" fontId="47" fillId="0" borderId="22" xfId="5" applyNumberFormat="1" applyFont="1" applyBorder="1" applyAlignment="1">
      <alignment horizontal="center" vertical="center"/>
    </xf>
    <xf numFmtId="178" fontId="47" fillId="0" borderId="90" xfId="5" applyNumberFormat="1" applyFont="1" applyBorder="1" applyAlignment="1">
      <alignment vertical="center"/>
    </xf>
    <xf numFmtId="238" fontId="47" fillId="0" borderId="90" xfId="5" applyNumberFormat="1" applyFont="1" applyBorder="1" applyAlignment="1">
      <alignment vertical="center"/>
    </xf>
    <xf numFmtId="0" fontId="47" fillId="0" borderId="30" xfId="331" applyFont="1" applyBorder="1" applyAlignment="1">
      <alignment vertical="center"/>
    </xf>
    <xf numFmtId="0" fontId="47" fillId="0" borderId="29" xfId="331" applyFont="1" applyBorder="1" applyAlignment="1">
      <alignment vertical="center"/>
    </xf>
    <xf numFmtId="179" fontId="47" fillId="0" borderId="30" xfId="331" applyNumberFormat="1" applyFont="1" applyBorder="1" applyAlignment="1">
      <alignment vertical="center"/>
    </xf>
    <xf numFmtId="0" fontId="47" fillId="0" borderId="105" xfId="331" applyFont="1" applyBorder="1" applyAlignment="1">
      <alignment vertical="center"/>
    </xf>
    <xf numFmtId="179" fontId="47" fillId="0" borderId="99" xfId="331" applyNumberFormat="1" applyFont="1" applyBorder="1" applyAlignment="1">
      <alignment vertical="center"/>
    </xf>
    <xf numFmtId="179" fontId="47" fillId="0" borderId="0" xfId="5" applyNumberFormat="1" applyFont="1" applyFill="1" applyBorder="1" applyAlignment="1">
      <alignment horizontal="right" vertical="center"/>
    </xf>
    <xf numFmtId="179" fontId="47" fillId="0" borderId="0" xfId="331" applyNumberFormat="1" applyFont="1" applyBorder="1" applyAlignment="1">
      <alignment vertical="center"/>
    </xf>
    <xf numFmtId="1" fontId="47" fillId="0" borderId="0" xfId="331" applyNumberFormat="1" applyFont="1" applyBorder="1" applyAlignment="1">
      <alignment horizontal="right" vertical="center"/>
    </xf>
    <xf numFmtId="0" fontId="47" fillId="0" borderId="90" xfId="331" applyFont="1" applyBorder="1" applyAlignment="1">
      <alignment horizontal="center" vertical="center"/>
    </xf>
    <xf numFmtId="0" fontId="130" fillId="0" borderId="100" xfId="331" applyFont="1" applyBorder="1" applyAlignment="1">
      <alignment horizontal="right" vertical="center"/>
    </xf>
    <xf numFmtId="222" fontId="130" fillId="0" borderId="95" xfId="332" applyNumberFormat="1" applyFont="1" applyBorder="1" applyAlignment="1">
      <alignment horizontal="left" vertical="center"/>
    </xf>
    <xf numFmtId="222" fontId="130" fillId="0" borderId="0" xfId="332" applyNumberFormat="1" applyFont="1" applyBorder="1" applyAlignment="1">
      <alignment horizontal="left" vertical="center"/>
    </xf>
    <xf numFmtId="0" fontId="47" fillId="0" borderId="0" xfId="332" applyFont="1" applyBorder="1" applyAlignment="1">
      <alignment horizontal="center" vertical="center"/>
    </xf>
    <xf numFmtId="242" fontId="47" fillId="0" borderId="89" xfId="5" applyNumberFormat="1" applyFont="1" applyBorder="1" applyAlignment="1">
      <alignment vertical="center"/>
    </xf>
    <xf numFmtId="41" fontId="47" fillId="0" borderId="0" xfId="331" applyNumberFormat="1" applyFont="1" applyBorder="1" applyAlignment="1">
      <alignment vertical="center"/>
    </xf>
    <xf numFmtId="242" fontId="47" fillId="0" borderId="0" xfId="5" applyNumberFormat="1" applyFont="1" applyBorder="1" applyAlignment="1">
      <alignment vertical="center"/>
    </xf>
    <xf numFmtId="41" fontId="47" fillId="0" borderId="0" xfId="5" applyNumberFormat="1" applyFont="1" applyFill="1" applyBorder="1" applyAlignment="1">
      <alignment horizontal="right" vertical="center"/>
    </xf>
    <xf numFmtId="41" fontId="47" fillId="0" borderId="0" xfId="5" applyFont="1" applyFill="1" applyBorder="1" applyAlignment="1">
      <alignment horizontal="right" vertical="center"/>
    </xf>
    <xf numFmtId="41" fontId="47" fillId="0" borderId="0" xfId="5" applyFont="1" applyAlignment="1">
      <alignment vertical="center"/>
    </xf>
    <xf numFmtId="246" fontId="47" fillId="0" borderId="0" xfId="331" applyNumberFormat="1" applyFont="1" applyBorder="1" applyAlignment="1">
      <alignment vertical="center"/>
    </xf>
    <xf numFmtId="222" fontId="47" fillId="0" borderId="0" xfId="331" applyNumberFormat="1" applyFont="1" applyBorder="1" applyAlignment="1">
      <alignment vertical="center"/>
    </xf>
    <xf numFmtId="41" fontId="47" fillId="0" borderId="0" xfId="5" applyFont="1" applyBorder="1" applyAlignment="1">
      <alignment vertical="center"/>
    </xf>
    <xf numFmtId="242" fontId="47" fillId="0" borderId="22" xfId="5" applyNumberFormat="1" applyFont="1" applyBorder="1" applyAlignment="1">
      <alignment vertical="center"/>
    </xf>
    <xf numFmtId="0" fontId="47" fillId="0" borderId="104" xfId="331" applyFont="1" applyBorder="1" applyAlignment="1">
      <alignment vertical="center"/>
    </xf>
    <xf numFmtId="0" fontId="47" fillId="0" borderId="56" xfId="331" applyFont="1" applyBorder="1" applyAlignment="1">
      <alignment vertical="center"/>
    </xf>
    <xf numFmtId="177" fontId="47" fillId="0" borderId="22" xfId="5" applyNumberFormat="1" applyFont="1" applyFill="1" applyBorder="1" applyAlignment="1">
      <alignment horizontal="right" vertical="center"/>
    </xf>
    <xf numFmtId="244" fontId="47" fillId="0" borderId="0" xfId="331" applyNumberFormat="1" applyFont="1" applyBorder="1" applyAlignment="1">
      <alignment vertical="center"/>
    </xf>
    <xf numFmtId="238" fontId="47" fillId="0" borderId="0" xfId="5" applyNumberFormat="1" applyFont="1" applyFill="1" applyBorder="1" applyAlignment="1">
      <alignment horizontal="right" vertical="center"/>
    </xf>
    <xf numFmtId="0" fontId="47" fillId="0" borderId="106" xfId="331" applyFont="1" applyBorder="1" applyAlignment="1">
      <alignment horizontal="center" vertical="center"/>
    </xf>
    <xf numFmtId="0" fontId="47" fillId="0" borderId="50" xfId="331" applyFont="1" applyBorder="1" applyAlignment="1">
      <alignment horizontal="center" vertical="center"/>
    </xf>
    <xf numFmtId="178" fontId="47" fillId="0" borderId="0" xfId="5" applyNumberFormat="1" applyFont="1" applyAlignment="1">
      <alignment vertical="center"/>
    </xf>
    <xf numFmtId="177" fontId="47" fillId="0" borderId="0" xfId="5" applyNumberFormat="1" applyFont="1" applyAlignment="1">
      <alignment vertical="center"/>
    </xf>
    <xf numFmtId="220" fontId="47" fillId="0" borderId="0" xfId="5" applyNumberFormat="1" applyFont="1" applyFill="1" applyBorder="1" applyAlignment="1">
      <alignment horizontal="right" vertical="center"/>
    </xf>
    <xf numFmtId="244" fontId="47" fillId="0" borderId="0" xfId="331" applyNumberFormat="1" applyFont="1" applyBorder="1" applyAlignment="1">
      <alignment horizontal="right" vertical="center"/>
    </xf>
    <xf numFmtId="0" fontId="47" fillId="0" borderId="93" xfId="331" applyFont="1" applyBorder="1" applyAlignment="1">
      <alignment horizontal="center" vertical="center"/>
    </xf>
    <xf numFmtId="223" fontId="47" fillId="0" borderId="31" xfId="331" applyNumberFormat="1" applyFont="1" applyBorder="1" applyAlignment="1">
      <alignment horizontal="right" vertical="center"/>
    </xf>
    <xf numFmtId="223" fontId="47" fillId="0" borderId="31" xfId="331" applyNumberFormat="1" applyFont="1" applyBorder="1" applyAlignment="1">
      <alignment horizontal="center" vertical="center"/>
    </xf>
    <xf numFmtId="223" fontId="47" fillId="0" borderId="89" xfId="331" applyNumberFormat="1" applyFont="1" applyBorder="1" applyAlignment="1">
      <alignment horizontal="right" vertical="center"/>
    </xf>
    <xf numFmtId="0" fontId="47" fillId="0" borderId="0" xfId="331" applyFont="1" applyBorder="1" applyAlignment="1">
      <alignment horizontal="left" vertical="center"/>
    </xf>
    <xf numFmtId="219" fontId="47" fillId="0" borderId="0" xfId="5" applyNumberFormat="1" applyFont="1" applyBorder="1" applyAlignment="1">
      <alignment horizontal="center" vertical="center"/>
    </xf>
    <xf numFmtId="0" fontId="47" fillId="0" borderId="30" xfId="331" applyFont="1" applyBorder="1" applyAlignment="1">
      <alignment horizontal="center" vertical="center"/>
    </xf>
    <xf numFmtId="0" fontId="47" fillId="0" borderId="0" xfId="331" quotePrefix="1" applyFont="1" applyBorder="1" applyAlignment="1">
      <alignment horizontal="left" vertical="center"/>
    </xf>
    <xf numFmtId="2" fontId="47" fillId="0" borderId="0" xfId="331" applyNumberFormat="1" applyFont="1" applyBorder="1" applyAlignment="1">
      <alignment horizontal="center" vertical="center"/>
    </xf>
    <xf numFmtId="223" fontId="47" fillId="0" borderId="35" xfId="331" applyNumberFormat="1" applyFont="1" applyBorder="1" applyAlignment="1">
      <alignment horizontal="right" vertical="center"/>
    </xf>
    <xf numFmtId="223" fontId="47" fillId="0" borderId="35" xfId="331" applyNumberFormat="1" applyFont="1" applyBorder="1" applyAlignment="1">
      <alignment horizontal="center" vertical="center"/>
    </xf>
    <xf numFmtId="179" fontId="47" fillId="0" borderId="103" xfId="5" applyNumberFormat="1" applyFont="1" applyFill="1" applyBorder="1" applyAlignment="1">
      <alignment horizontal="right" vertical="center"/>
    </xf>
    <xf numFmtId="223" fontId="47" fillId="0" borderId="22" xfId="331" applyNumberFormat="1" applyFont="1" applyBorder="1" applyAlignment="1">
      <alignment horizontal="right" vertical="center"/>
    </xf>
    <xf numFmtId="242" fontId="47" fillId="0" borderId="22" xfId="5" applyNumberFormat="1" applyFont="1" applyFill="1" applyBorder="1" applyAlignment="1">
      <alignment horizontal="right" vertical="center"/>
    </xf>
    <xf numFmtId="247" fontId="47" fillId="0" borderId="0" xfId="5" applyNumberFormat="1" applyFont="1" applyAlignment="1">
      <alignment vertical="center"/>
    </xf>
    <xf numFmtId="223" fontId="47" fillId="0" borderId="30" xfId="331" applyNumberFormat="1" applyFont="1" applyBorder="1" applyAlignment="1">
      <alignment horizontal="center" vertical="center"/>
    </xf>
    <xf numFmtId="41" fontId="47" fillId="0" borderId="28" xfId="5" applyFont="1" applyFill="1" applyBorder="1" applyAlignment="1">
      <alignment horizontal="right" vertical="center"/>
    </xf>
    <xf numFmtId="223" fontId="47" fillId="0" borderId="0" xfId="331" applyNumberFormat="1" applyFont="1" applyBorder="1" applyAlignment="1">
      <alignment horizontal="right" vertical="center"/>
    </xf>
    <xf numFmtId="0" fontId="47" fillId="0" borderId="107" xfId="331" applyFont="1" applyBorder="1" applyAlignment="1">
      <alignment horizontal="center" vertical="center"/>
    </xf>
    <xf numFmtId="219" fontId="47" fillId="0" borderId="0" xfId="331" applyNumberFormat="1" applyFont="1" applyAlignment="1">
      <alignment vertical="center"/>
    </xf>
    <xf numFmtId="219" fontId="47" fillId="0" borderId="0" xfId="331" applyNumberFormat="1" applyFont="1" applyBorder="1" applyAlignment="1">
      <alignment vertical="center"/>
    </xf>
    <xf numFmtId="178" fontId="47" fillId="0" borderId="0" xfId="5" applyNumberFormat="1" applyFont="1" applyBorder="1" applyAlignment="1">
      <alignment vertical="center"/>
    </xf>
    <xf numFmtId="247" fontId="47" fillId="0" borderId="0" xfId="5" applyNumberFormat="1" applyFont="1" applyBorder="1" applyAlignment="1">
      <alignment vertical="center"/>
    </xf>
    <xf numFmtId="219" fontId="47" fillId="0" borderId="20" xfId="331" applyNumberFormat="1" applyFont="1" applyBorder="1" applyAlignment="1">
      <alignment vertical="center"/>
    </xf>
    <xf numFmtId="178" fontId="47" fillId="0" borderId="20" xfId="5" applyNumberFormat="1" applyFont="1" applyBorder="1" applyAlignment="1">
      <alignment vertical="center"/>
    </xf>
    <xf numFmtId="247" fontId="47" fillId="0" borderId="20" xfId="5" applyNumberFormat="1" applyFont="1" applyBorder="1" applyAlignment="1">
      <alignment vertical="center"/>
    </xf>
    <xf numFmtId="43" fontId="47" fillId="0" borderId="0" xfId="331" applyNumberFormat="1" applyFont="1" applyBorder="1" applyAlignment="1">
      <alignment vertical="center"/>
    </xf>
    <xf numFmtId="247" fontId="47" fillId="0" borderId="0" xfId="331" applyNumberFormat="1" applyFont="1" applyBorder="1" applyAlignment="1">
      <alignment vertical="center"/>
    </xf>
    <xf numFmtId="248" fontId="47" fillId="0" borderId="0" xfId="331" applyNumberFormat="1" applyFont="1" applyAlignment="1">
      <alignment vertical="center"/>
    </xf>
    <xf numFmtId="0" fontId="47" fillId="0" borderId="53" xfId="331" applyFont="1" applyBorder="1" applyAlignment="1">
      <alignment horizontal="center" vertical="center"/>
    </xf>
    <xf numFmtId="178" fontId="47" fillId="0" borderId="31" xfId="5" applyNumberFormat="1" applyFont="1" applyBorder="1" applyAlignment="1">
      <alignment horizontal="center" vertical="center"/>
    </xf>
    <xf numFmtId="249" fontId="130" fillId="0" borderId="0" xfId="331" applyNumberFormat="1" applyFont="1" applyBorder="1" applyAlignment="1">
      <alignment horizontal="right" vertical="center"/>
    </xf>
    <xf numFmtId="178" fontId="47" fillId="0" borderId="32" xfId="5" applyNumberFormat="1" applyFont="1" applyBorder="1" applyAlignment="1">
      <alignment horizontal="center" vertical="center"/>
    </xf>
    <xf numFmtId="41" fontId="47" fillId="0" borderId="0" xfId="5" applyFont="1" applyBorder="1" applyAlignment="1">
      <alignment horizontal="center" vertical="center"/>
    </xf>
    <xf numFmtId="0" fontId="47" fillId="0" borderId="0" xfId="331" applyFont="1" applyAlignment="1">
      <alignment horizontal="center" vertical="center"/>
    </xf>
    <xf numFmtId="0" fontId="47" fillId="0" borderId="30" xfId="331" quotePrefix="1" applyFont="1" applyBorder="1" applyAlignment="1">
      <alignment horizontal="center" vertical="center"/>
    </xf>
    <xf numFmtId="0" fontId="47" fillId="0" borderId="0" xfId="331" quotePrefix="1" applyFont="1" applyBorder="1" applyAlignment="1">
      <alignment vertical="center"/>
    </xf>
    <xf numFmtId="222" fontId="47" fillId="0" borderId="0" xfId="331" applyNumberFormat="1" applyFont="1" applyAlignment="1">
      <alignment horizontal="center" vertical="center"/>
    </xf>
    <xf numFmtId="0" fontId="47" fillId="0" borderId="28" xfId="331" applyFont="1" applyBorder="1" applyAlignment="1">
      <alignment horizontal="center" vertical="center"/>
    </xf>
    <xf numFmtId="178" fontId="47" fillId="0" borderId="35" xfId="5" applyNumberFormat="1" applyFont="1" applyBorder="1" applyAlignment="1">
      <alignment horizontal="center" vertical="center"/>
    </xf>
    <xf numFmtId="0" fontId="47" fillId="0" borderId="97" xfId="331" applyFont="1" applyBorder="1" applyAlignment="1">
      <alignment horizontal="center" vertical="center"/>
    </xf>
    <xf numFmtId="178" fontId="47" fillId="0" borderId="52" xfId="5" applyNumberFormat="1" applyFont="1" applyBorder="1" applyAlignment="1">
      <alignment horizontal="center" vertical="center"/>
    </xf>
    <xf numFmtId="41" fontId="130" fillId="0" borderId="0" xfId="5" applyFont="1" applyAlignment="1">
      <alignment vertical="center"/>
    </xf>
    <xf numFmtId="178" fontId="47" fillId="0" borderId="0" xfId="5" applyNumberFormat="1" applyFont="1" applyBorder="1" applyAlignment="1">
      <alignment horizontal="center" vertical="center"/>
    </xf>
    <xf numFmtId="0" fontId="47" fillId="0" borderId="28" xfId="331" applyFont="1" applyBorder="1" applyAlignment="1">
      <alignment vertical="center"/>
    </xf>
    <xf numFmtId="179" fontId="47" fillId="0" borderId="0" xfId="331" applyNumberFormat="1" applyFont="1" applyBorder="1" applyAlignment="1">
      <alignment horizontal="center" vertical="center"/>
    </xf>
    <xf numFmtId="43" fontId="47" fillId="0" borderId="0" xfId="331" applyNumberFormat="1" applyFont="1" applyBorder="1" applyAlignment="1">
      <alignment horizontal="center" vertical="center"/>
    </xf>
    <xf numFmtId="0" fontId="47" fillId="0" borderId="54" xfId="331" applyFont="1" applyFill="1" applyBorder="1" applyAlignment="1">
      <alignment horizontal="center" vertical="center"/>
    </xf>
    <xf numFmtId="0" fontId="47" fillId="0" borderId="90" xfId="331" applyFont="1" applyFill="1" applyBorder="1" applyAlignment="1">
      <alignment horizontal="center" vertical="center"/>
    </xf>
    <xf numFmtId="41" fontId="47" fillId="0" borderId="92" xfId="5" applyFont="1" applyFill="1" applyBorder="1" applyAlignment="1">
      <alignment horizontal="right" vertical="center"/>
    </xf>
    <xf numFmtId="177" fontId="47" fillId="0" borderId="30" xfId="331" applyNumberFormat="1" applyFont="1" applyBorder="1" applyAlignment="1">
      <alignment horizontal="left" vertical="center"/>
    </xf>
    <xf numFmtId="177" fontId="47" fillId="0" borderId="0" xfId="331" applyNumberFormat="1" applyFont="1" applyBorder="1" applyAlignment="1">
      <alignment horizontal="center" vertical="center"/>
    </xf>
    <xf numFmtId="177" fontId="47" fillId="0" borderId="0" xfId="331" applyNumberFormat="1" applyFont="1" applyBorder="1" applyAlignment="1">
      <alignment horizontal="left" vertical="center"/>
    </xf>
    <xf numFmtId="177" fontId="47" fillId="0" borderId="30" xfId="331" applyNumberFormat="1" applyFont="1" applyBorder="1" applyAlignment="1">
      <alignment horizontal="center" vertical="center"/>
    </xf>
    <xf numFmtId="177" fontId="47" fillId="0" borderId="102" xfId="5" applyNumberFormat="1" applyFont="1" applyFill="1" applyBorder="1" applyAlignment="1">
      <alignment horizontal="right" vertical="center"/>
    </xf>
    <xf numFmtId="0" fontId="47" fillId="0" borderId="34" xfId="331" applyFont="1" applyBorder="1" applyAlignment="1">
      <alignment horizontal="center" vertical="center"/>
    </xf>
    <xf numFmtId="41" fontId="47" fillId="0" borderId="0" xfId="331" applyNumberFormat="1" applyFont="1" applyAlignment="1">
      <alignment vertical="center"/>
    </xf>
    <xf numFmtId="176" fontId="47" fillId="0" borderId="0" xfId="5" applyNumberFormat="1" applyFont="1" applyFill="1" applyBorder="1" applyAlignment="1">
      <alignment horizontal="right" vertical="center"/>
    </xf>
    <xf numFmtId="176" fontId="47" fillId="0" borderId="20" xfId="5" applyNumberFormat="1" applyFont="1" applyFill="1" applyBorder="1" applyAlignment="1">
      <alignment horizontal="right" vertical="center"/>
    </xf>
    <xf numFmtId="41" fontId="47" fillId="0" borderId="0" xfId="331" applyNumberFormat="1" applyFont="1" applyAlignment="1">
      <alignment horizontal="center" vertical="center"/>
    </xf>
    <xf numFmtId="0" fontId="137" fillId="0" borderId="0" xfId="331" applyFont="1" applyFill="1" applyAlignment="1">
      <alignment vertical="center"/>
    </xf>
    <xf numFmtId="0" fontId="137" fillId="0" borderId="0" xfId="331" applyFont="1" applyAlignment="1">
      <alignment vertical="center"/>
    </xf>
    <xf numFmtId="0" fontId="137" fillId="0" borderId="0" xfId="331" applyFont="1" applyFill="1" applyAlignment="1">
      <alignment horizontal="left" vertical="center"/>
    </xf>
    <xf numFmtId="0" fontId="137" fillId="0" borderId="0" xfId="331" applyFont="1" applyAlignment="1">
      <alignment horizontal="left" vertical="center"/>
    </xf>
    <xf numFmtId="0" fontId="137" fillId="0" borderId="0" xfId="331" applyFont="1" applyAlignment="1">
      <alignment horizontal="right" vertical="center"/>
    </xf>
    <xf numFmtId="236" fontId="127" fillId="0" borderId="90" xfId="329" applyNumberFormat="1" applyBorder="1" applyAlignment="1">
      <alignment horizontal="right"/>
    </xf>
    <xf numFmtId="0" fontId="127" fillId="0" borderId="0" xfId="329">
      <alignment vertical="center"/>
    </xf>
    <xf numFmtId="0" fontId="106" fillId="0" borderId="108" xfId="0" applyFont="1" applyBorder="1" applyAlignment="1">
      <alignment horizontal="center" vertical="center" wrapText="1"/>
    </xf>
    <xf numFmtId="0" fontId="106" fillId="0" borderId="15" xfId="0" applyFont="1" applyBorder="1" applyAlignment="1">
      <alignment horizontal="center" vertical="center" wrapText="1"/>
    </xf>
    <xf numFmtId="0" fontId="106" fillId="0" borderId="112" xfId="0" applyFont="1" applyBorder="1" applyAlignment="1">
      <alignment horizontal="center" vertical="center" wrapText="1"/>
    </xf>
    <xf numFmtId="222" fontId="95" fillId="31" borderId="6" xfId="284" applyNumberFormat="1" applyFont="1" applyFill="1" applyBorder="1" applyAlignment="1">
      <alignment horizontal="center" vertical="center"/>
    </xf>
    <xf numFmtId="222" fontId="95" fillId="31" borderId="5" xfId="284" applyNumberFormat="1" applyFont="1" applyFill="1" applyBorder="1" applyAlignment="1">
      <alignment horizontal="center" vertical="center"/>
    </xf>
    <xf numFmtId="222" fontId="95" fillId="31" borderId="109" xfId="284" applyNumberFormat="1" applyFont="1" applyFill="1" applyBorder="1" applyAlignment="1">
      <alignment horizontal="center" vertical="center"/>
    </xf>
    <xf numFmtId="178" fontId="105" fillId="4" borderId="6" xfId="1" applyNumberFormat="1" applyFont="1" applyFill="1" applyBorder="1" applyAlignment="1">
      <alignment horizontal="center" vertical="center" wrapText="1"/>
    </xf>
    <xf numFmtId="178" fontId="105" fillId="4" borderId="9" xfId="1" applyNumberFormat="1" applyFont="1" applyFill="1" applyBorder="1" applyAlignment="1">
      <alignment horizontal="center" vertical="center" wrapText="1"/>
    </xf>
    <xf numFmtId="222" fontId="95" fillId="32" borderId="2" xfId="284" applyNumberFormat="1" applyFont="1" applyFill="1" applyBorder="1" applyAlignment="1">
      <alignment horizontal="center" vertical="center"/>
    </xf>
    <xf numFmtId="222" fontId="95" fillId="31" borderId="2" xfId="284" applyNumberFormat="1" applyFont="1" applyFill="1" applyBorder="1" applyAlignment="1">
      <alignment horizontal="center" vertical="center"/>
    </xf>
    <xf numFmtId="223" fontId="92" fillId="4" borderId="12" xfId="0" applyNumberFormat="1" applyFont="1" applyFill="1" applyBorder="1" applyAlignment="1">
      <alignment horizontal="center" vertical="center" wrapText="1"/>
    </xf>
    <xf numFmtId="0" fontId="127" fillId="41" borderId="90" xfId="329" applyFill="1" applyBorder="1" applyAlignment="1"/>
    <xf numFmtId="0" fontId="140" fillId="0" borderId="0" xfId="283" applyFont="1"/>
    <xf numFmtId="4" fontId="127" fillId="0" borderId="90" xfId="329" applyNumberFormat="1" applyBorder="1" applyAlignment="1">
      <alignment horizontal="right"/>
    </xf>
    <xf numFmtId="0" fontId="90" fillId="0" borderId="90" xfId="0" applyFont="1" applyBorder="1" applyAlignment="1"/>
    <xf numFmtId="242" fontId="47" fillId="0" borderId="102" xfId="5" applyNumberFormat="1" applyFont="1" applyBorder="1" applyAlignment="1">
      <alignment horizontal="center" vertical="center"/>
    </xf>
    <xf numFmtId="178" fontId="139" fillId="0" borderId="90" xfId="5" applyNumberFormat="1" applyFont="1" applyBorder="1" applyAlignment="1">
      <alignment vertical="center"/>
    </xf>
    <xf numFmtId="41" fontId="93" fillId="5" borderId="9" xfId="5" applyFont="1" applyFill="1" applyBorder="1">
      <alignment vertical="center"/>
    </xf>
    <xf numFmtId="179" fontId="93" fillId="5" borderId="2" xfId="5" applyNumberFormat="1" applyFont="1" applyFill="1" applyBorder="1">
      <alignment vertical="center"/>
    </xf>
    <xf numFmtId="41" fontId="93" fillId="5" borderId="2" xfId="5" applyFont="1" applyFill="1" applyBorder="1">
      <alignment vertical="center"/>
    </xf>
    <xf numFmtId="250" fontId="138" fillId="0" borderId="3" xfId="0" applyNumberFormat="1" applyFont="1" applyBorder="1">
      <alignment vertical="center"/>
    </xf>
    <xf numFmtId="250" fontId="138" fillId="0" borderId="2" xfId="0" applyNumberFormat="1" applyFont="1" applyBorder="1">
      <alignment vertical="center"/>
    </xf>
    <xf numFmtId="0" fontId="127" fillId="36" borderId="90" xfId="329" applyFill="1" applyBorder="1" applyAlignment="1"/>
    <xf numFmtId="41" fontId="47" fillId="0" borderId="102" xfId="5" applyFont="1" applyFill="1" applyBorder="1" applyAlignment="1">
      <alignment horizontal="right" vertical="center"/>
    </xf>
    <xf numFmtId="0" fontId="127" fillId="41" borderId="90" xfId="329" applyFill="1" applyBorder="1" applyAlignment="1"/>
    <xf numFmtId="0" fontId="127" fillId="36" borderId="90" xfId="329" applyFill="1" applyBorder="1" applyAlignment="1"/>
    <xf numFmtId="0" fontId="127" fillId="0" borderId="0" xfId="329" applyAlignment="1">
      <alignment horizontal="left"/>
    </xf>
    <xf numFmtId="0" fontId="127" fillId="0" borderId="0" xfId="329">
      <alignment vertical="center"/>
    </xf>
    <xf numFmtId="0" fontId="47" fillId="0" borderId="102" xfId="331" applyFont="1" applyFill="1" applyBorder="1" applyAlignment="1">
      <alignment horizontal="center" vertical="center"/>
    </xf>
    <xf numFmtId="240" fontId="47" fillId="0" borderId="102" xfId="5" applyNumberFormat="1" applyFont="1" applyFill="1" applyBorder="1" applyAlignment="1">
      <alignment horizontal="right" vertical="center"/>
    </xf>
    <xf numFmtId="0" fontId="90" fillId="0" borderId="0" xfId="0" applyFont="1">
      <alignment vertical="center"/>
    </xf>
    <xf numFmtId="223" fontId="92" fillId="4" borderId="2" xfId="0" applyNumberFormat="1" applyFont="1" applyFill="1" applyBorder="1" applyAlignment="1">
      <alignment horizontal="center" vertical="center" wrapText="1"/>
    </xf>
    <xf numFmtId="223" fontId="92" fillId="4" borderId="4" xfId="0" applyNumberFormat="1" applyFont="1" applyFill="1" applyBorder="1" applyAlignment="1">
      <alignment horizontal="center" vertical="center" wrapText="1"/>
    </xf>
    <xf numFmtId="222" fontId="95" fillId="0" borderId="0" xfId="0" applyNumberFormat="1" applyFont="1" applyBorder="1" applyAlignment="1">
      <alignment vertical="center"/>
    </xf>
    <xf numFmtId="178" fontId="105" fillId="4" borderId="3" xfId="1" applyNumberFormat="1" applyFont="1" applyFill="1" applyBorder="1" applyAlignment="1">
      <alignment horizontal="center" vertical="center" wrapText="1"/>
    </xf>
    <xf numFmtId="0" fontId="105" fillId="0" borderId="3" xfId="0" applyFont="1" applyBorder="1" applyAlignment="1">
      <alignment horizontal="center" vertical="center" wrapText="1"/>
    </xf>
    <xf numFmtId="0" fontId="105" fillId="0" borderId="12" xfId="0" applyFont="1" applyBorder="1" applyAlignment="1">
      <alignment horizontal="center" vertical="center" wrapText="1"/>
    </xf>
    <xf numFmtId="222" fontId="95" fillId="31" borderId="4" xfId="284" applyNumberFormat="1" applyFont="1" applyFill="1" applyBorder="1" applyAlignment="1">
      <alignment horizontal="center" vertical="center"/>
    </xf>
    <xf numFmtId="178" fontId="105" fillId="4" borderId="4" xfId="1" applyNumberFormat="1" applyFont="1" applyFill="1" applyBorder="1" applyAlignment="1">
      <alignment horizontal="center" vertical="center" wrapText="1"/>
    </xf>
    <xf numFmtId="222" fontId="95" fillId="32" borderId="4" xfId="284" applyNumberFormat="1" applyFont="1" applyFill="1" applyBorder="1" applyAlignment="1">
      <alignment horizontal="center" vertical="center"/>
    </xf>
    <xf numFmtId="178" fontId="105" fillId="4" borderId="8" xfId="1" applyNumberFormat="1" applyFont="1" applyFill="1" applyBorder="1" applyAlignment="1">
      <alignment horizontal="center" vertical="center" wrapText="1"/>
    </xf>
    <xf numFmtId="178" fontId="105" fillId="4" borderId="2" xfId="1" applyNumberFormat="1" applyFont="1" applyFill="1" applyBorder="1" applyAlignment="1">
      <alignment horizontal="center" vertical="center" wrapText="1"/>
    </xf>
    <xf numFmtId="222" fontId="95" fillId="31" borderId="3" xfId="284" applyNumberFormat="1" applyFont="1" applyFill="1" applyBorder="1" applyAlignment="1">
      <alignment horizontal="center" vertical="center"/>
    </xf>
    <xf numFmtId="223" fontId="92" fillId="4" borderId="3" xfId="0" applyNumberFormat="1" applyFont="1" applyFill="1" applyBorder="1" applyAlignment="1">
      <alignment horizontal="center" vertical="center" wrapText="1"/>
    </xf>
    <xf numFmtId="222" fontId="95" fillId="32" borderId="3" xfId="284" applyNumberFormat="1" applyFont="1" applyFill="1" applyBorder="1" applyAlignment="1">
      <alignment horizontal="center" vertical="center"/>
    </xf>
    <xf numFmtId="0" fontId="90" fillId="0" borderId="0" xfId="0" applyFont="1" applyAlignment="1"/>
    <xf numFmtId="0" fontId="91" fillId="0" borderId="21" xfId="0" applyFont="1" applyBorder="1" applyAlignment="1">
      <alignment horizontal="center" vertical="center"/>
    </xf>
    <xf numFmtId="0" fontId="91" fillId="0" borderId="85" xfId="0" applyFont="1" applyBorder="1" applyAlignment="1">
      <alignment horizontal="center" vertical="center"/>
    </xf>
    <xf numFmtId="0" fontId="91" fillId="0" borderId="0" xfId="0" applyFont="1" applyAlignment="1"/>
    <xf numFmtId="0" fontId="95" fillId="0" borderId="0" xfId="0" applyFont="1" applyBorder="1" applyAlignment="1">
      <alignment horizontal="center" vertical="center"/>
    </xf>
    <xf numFmtId="231" fontId="106" fillId="0" borderId="0" xfId="0" applyNumberFormat="1" applyFont="1" applyFill="1" applyBorder="1" applyAlignment="1">
      <alignment horizontal="center" vertical="center" wrapText="1"/>
    </xf>
    <xf numFmtId="231" fontId="106" fillId="0" borderId="70" xfId="0" applyNumberFormat="1" applyFont="1" applyFill="1" applyBorder="1" applyAlignment="1">
      <alignment horizontal="center" vertical="center" wrapText="1"/>
    </xf>
    <xf numFmtId="179" fontId="91" fillId="0" borderId="61" xfId="0" applyNumberFormat="1" applyFont="1" applyFill="1" applyBorder="1" applyAlignment="1">
      <alignment horizontal="center" vertical="center"/>
    </xf>
    <xf numFmtId="3" fontId="90" fillId="0" borderId="0" xfId="0" applyNumberFormat="1" applyFont="1" applyAlignment="1"/>
    <xf numFmtId="1" fontId="95" fillId="0" borderId="0" xfId="0" applyNumberFormat="1" applyFont="1" applyBorder="1" applyAlignment="1">
      <alignment vertical="center"/>
    </xf>
    <xf numFmtId="0" fontId="127" fillId="37" borderId="89" xfId="329" applyFill="1" applyBorder="1" applyAlignment="1"/>
    <xf numFmtId="0" fontId="47" fillId="0" borderId="20" xfId="331" applyFont="1" applyBorder="1" applyAlignment="1">
      <alignment vertical="center"/>
    </xf>
    <xf numFmtId="0" fontId="47" fillId="0" borderId="32" xfId="331" applyFont="1" applyFill="1" applyBorder="1" applyAlignment="1">
      <alignment horizontal="center" vertical="center"/>
    </xf>
    <xf numFmtId="41" fontId="47" fillId="0" borderId="31" xfId="5" applyFont="1" applyFill="1" applyBorder="1" applyAlignment="1">
      <alignment horizontal="right" vertical="center"/>
    </xf>
    <xf numFmtId="0" fontId="47" fillId="0" borderId="31" xfId="331" applyFont="1" applyBorder="1" applyAlignment="1">
      <alignment horizontal="center" vertical="center"/>
    </xf>
    <xf numFmtId="0" fontId="47" fillId="0" borderId="0" xfId="331" applyFont="1" applyBorder="1" applyAlignment="1">
      <alignment horizontal="center" vertical="center"/>
    </xf>
    <xf numFmtId="41" fontId="47" fillId="0" borderId="89" xfId="5" applyFont="1" applyFill="1" applyBorder="1" applyAlignment="1">
      <alignment horizontal="right" vertical="center"/>
    </xf>
    <xf numFmtId="242" fontId="47" fillId="0" borderId="89" xfId="5" applyNumberFormat="1" applyFont="1" applyFill="1" applyBorder="1" applyAlignment="1">
      <alignment horizontal="right" vertical="center"/>
    </xf>
    <xf numFmtId="177" fontId="47" fillId="0" borderId="89" xfId="5" applyNumberFormat="1" applyFont="1" applyFill="1" applyBorder="1" applyAlignment="1">
      <alignment horizontal="right" vertical="center"/>
    </xf>
    <xf numFmtId="0" fontId="47" fillId="0" borderId="102" xfId="331" applyFont="1" applyBorder="1" applyAlignment="1">
      <alignment vertical="center"/>
    </xf>
    <xf numFmtId="0" fontId="47" fillId="0" borderId="102" xfId="331" applyFont="1" applyBorder="1" applyAlignment="1">
      <alignment horizontal="center" vertical="center"/>
    </xf>
    <xf numFmtId="41" fontId="47" fillId="0" borderId="103" xfId="5" applyFont="1" applyFill="1" applyBorder="1" applyAlignment="1">
      <alignment horizontal="right" vertical="center"/>
    </xf>
    <xf numFmtId="242" fontId="47" fillId="0" borderId="103" xfId="5" applyNumberFormat="1" applyFont="1" applyFill="1" applyBorder="1" applyAlignment="1">
      <alignment horizontal="right" vertical="center"/>
    </xf>
    <xf numFmtId="177" fontId="47" fillId="0" borderId="103" xfId="5" applyNumberFormat="1" applyFont="1" applyFill="1" applyBorder="1" applyAlignment="1">
      <alignment horizontal="right" vertical="center"/>
    </xf>
    <xf numFmtId="179" fontId="47" fillId="0" borderId="89" xfId="5" applyNumberFormat="1" applyFont="1" applyFill="1" applyBorder="1" applyAlignment="1">
      <alignment horizontal="right" vertical="center"/>
    </xf>
    <xf numFmtId="0" fontId="47" fillId="0" borderId="52" xfId="331" applyFont="1" applyFill="1" applyBorder="1" applyAlignment="1">
      <alignment horizontal="center" vertical="center"/>
    </xf>
    <xf numFmtId="41" fontId="47" fillId="0" borderId="51" xfId="5" applyFont="1" applyFill="1" applyBorder="1" applyAlignment="1">
      <alignment horizontal="right" vertical="center"/>
    </xf>
    <xf numFmtId="177" fontId="47" fillId="0" borderId="20" xfId="331" applyNumberFormat="1" applyFont="1" applyBorder="1" applyAlignment="1">
      <alignment vertical="center"/>
    </xf>
    <xf numFmtId="41" fontId="47" fillId="0" borderId="22" xfId="5" applyFont="1" applyFill="1" applyBorder="1" applyAlignment="1">
      <alignment horizontal="right" vertical="center"/>
    </xf>
    <xf numFmtId="220" fontId="47" fillId="0" borderId="22" xfId="5" applyNumberFormat="1" applyFont="1" applyFill="1" applyBorder="1" applyAlignment="1">
      <alignment horizontal="right" vertical="center"/>
    </xf>
    <xf numFmtId="0" fontId="47" fillId="0" borderId="51" xfId="331" applyFont="1" applyBorder="1" applyAlignment="1">
      <alignment horizontal="center" vertical="center"/>
    </xf>
    <xf numFmtId="0" fontId="93" fillId="5" borderId="10" xfId="2" applyFont="1" applyFill="1" applyBorder="1" applyAlignment="1">
      <alignment horizontal="distributed" vertical="center" indent="1"/>
    </xf>
    <xf numFmtId="0" fontId="90" fillId="34" borderId="10" xfId="2" applyFont="1" applyFill="1" applyBorder="1" applyAlignment="1">
      <alignment horizontal="distributed" vertical="center" indent="1"/>
    </xf>
    <xf numFmtId="41" fontId="90" fillId="34" borderId="2" xfId="5" applyFont="1" applyFill="1" applyBorder="1">
      <alignment vertical="center"/>
    </xf>
    <xf numFmtId="179" fontId="90" fillId="34" borderId="2" xfId="5" applyNumberFormat="1" applyFont="1" applyFill="1" applyBorder="1">
      <alignment vertical="center"/>
    </xf>
    <xf numFmtId="41" fontId="90" fillId="34" borderId="9" xfId="5" applyFont="1" applyFill="1" applyBorder="1">
      <alignment vertical="center"/>
    </xf>
    <xf numFmtId="0" fontId="90" fillId="0" borderId="10" xfId="2" applyFont="1" applyFill="1" applyBorder="1" applyAlignment="1">
      <alignment horizontal="distributed" vertical="center" indent="1"/>
    </xf>
    <xf numFmtId="41" fontId="90" fillId="0" borderId="2" xfId="5" applyFont="1" applyFill="1" applyBorder="1">
      <alignment vertical="center"/>
    </xf>
    <xf numFmtId="179" fontId="90" fillId="0" borderId="2" xfId="5" applyNumberFormat="1" applyFont="1" applyFill="1" applyBorder="1">
      <alignment vertical="center"/>
    </xf>
    <xf numFmtId="41" fontId="90" fillId="0" borderId="9" xfId="5" applyFont="1" applyFill="1" applyBorder="1">
      <alignment vertical="center"/>
    </xf>
    <xf numFmtId="0" fontId="90" fillId="4" borderId="10" xfId="2" applyFont="1" applyFill="1" applyBorder="1" applyAlignment="1">
      <alignment horizontal="distributed" vertical="center" indent="1"/>
    </xf>
    <xf numFmtId="0" fontId="90" fillId="0" borderId="11" xfId="2" applyFont="1" applyFill="1" applyBorder="1" applyAlignment="1">
      <alignment horizontal="distributed" vertical="center" indent="1"/>
    </xf>
    <xf numFmtId="41" fontId="90" fillId="0" borderId="3" xfId="5" applyFont="1" applyFill="1" applyBorder="1">
      <alignment vertical="center"/>
    </xf>
    <xf numFmtId="179" fontId="90" fillId="0" borderId="3" xfId="5" applyNumberFormat="1" applyFont="1" applyFill="1" applyBorder="1">
      <alignment vertical="center"/>
    </xf>
    <xf numFmtId="41" fontId="90" fillId="0" borderId="12" xfId="5" applyFont="1" applyFill="1" applyBorder="1">
      <alignment vertical="center"/>
    </xf>
    <xf numFmtId="0" fontId="127" fillId="0" borderId="0" xfId="329" applyAlignment="1">
      <alignment horizontal="left"/>
    </xf>
    <xf numFmtId="0" fontId="127" fillId="37" borderId="103" xfId="329" applyFill="1" applyBorder="1" applyAlignment="1"/>
    <xf numFmtId="0" fontId="127" fillId="37" borderId="111" xfId="329" applyFill="1" applyBorder="1" applyAlignment="1"/>
    <xf numFmtId="0" fontId="141" fillId="0" borderId="0" xfId="329" applyFont="1" applyAlignment="1">
      <alignment horizontal="left"/>
    </xf>
    <xf numFmtId="0" fontId="127" fillId="40" borderId="90" xfId="329" applyFill="1" applyBorder="1" applyAlignment="1">
      <alignment vertical="center"/>
    </xf>
    <xf numFmtId="0" fontId="127" fillId="36" borderId="90" xfId="329" applyFill="1" applyBorder="1" applyAlignment="1"/>
    <xf numFmtId="3" fontId="127" fillId="0" borderId="90" xfId="329" applyNumberFormat="1" applyBorder="1" applyAlignment="1">
      <alignment horizontal="right"/>
    </xf>
    <xf numFmtId="235" fontId="127" fillId="0" borderId="90" xfId="329" applyNumberFormat="1" applyBorder="1" applyAlignment="1">
      <alignment horizontal="right"/>
    </xf>
    <xf numFmtId="0" fontId="127" fillId="41" borderId="91" xfId="329" applyFill="1" applyBorder="1" applyAlignment="1"/>
    <xf numFmtId="0" fontId="127" fillId="41" borderId="90" xfId="329" applyFill="1" applyBorder="1" applyAlignment="1"/>
    <xf numFmtId="0" fontId="91" fillId="0" borderId="90" xfId="0" applyFont="1" applyBorder="1" applyAlignment="1"/>
    <xf numFmtId="0" fontId="127" fillId="0" borderId="0" xfId="329">
      <alignment vertical="center"/>
    </xf>
    <xf numFmtId="0" fontId="127" fillId="0" borderId="0" xfId="329" applyAlignment="1">
      <alignment horizontal="left"/>
    </xf>
    <xf numFmtId="229" fontId="91" fillId="0" borderId="90" xfId="0" applyNumberFormat="1" applyFont="1" applyBorder="1" applyAlignment="1"/>
    <xf numFmtId="179" fontId="91" fillId="3" borderId="61" xfId="0" applyNumberFormat="1" applyFont="1" applyFill="1" applyBorder="1" applyAlignment="1">
      <alignment horizontal="center" vertical="center"/>
    </xf>
    <xf numFmtId="179" fontId="91" fillId="3" borderId="60" xfId="0" applyNumberFormat="1" applyFont="1" applyFill="1" applyBorder="1" applyAlignment="1">
      <alignment horizontal="center" vertical="center"/>
    </xf>
    <xf numFmtId="236" fontId="143" fillId="0" borderId="90" xfId="329" applyNumberFormat="1" applyFont="1" applyBorder="1" applyAlignment="1">
      <alignment horizontal="right"/>
    </xf>
    <xf numFmtId="3" fontId="143" fillId="0" borderId="90" xfId="329" applyNumberFormat="1" applyFont="1" applyBorder="1" applyAlignment="1">
      <alignment horizontal="right"/>
    </xf>
    <xf numFmtId="235" fontId="143" fillId="0" borderId="90" xfId="329" applyNumberFormat="1" applyFont="1" applyBorder="1" applyAlignment="1">
      <alignment horizontal="right"/>
    </xf>
    <xf numFmtId="0" fontId="144" fillId="0" borderId="0" xfId="284" applyFont="1" applyFill="1"/>
    <xf numFmtId="0" fontId="143" fillId="0" borderId="0" xfId="329" applyFont="1" applyAlignment="1">
      <alignment horizontal="left"/>
    </xf>
    <xf numFmtId="236" fontId="136" fillId="0" borderId="111" xfId="329" applyNumberFormat="1" applyFont="1" applyBorder="1" applyAlignment="1">
      <alignment horizontal="right"/>
    </xf>
    <xf numFmtId="3" fontId="136" fillId="0" borderId="111" xfId="329" applyNumberFormat="1" applyFont="1" applyBorder="1" applyAlignment="1">
      <alignment horizontal="right"/>
    </xf>
    <xf numFmtId="235" fontId="136" fillId="0" borderId="111" xfId="329" applyNumberFormat="1" applyFont="1" applyBorder="1" applyAlignment="1">
      <alignment horizontal="right"/>
    </xf>
    <xf numFmtId="236" fontId="136" fillId="0" borderId="22" xfId="329" applyNumberFormat="1" applyFont="1" applyBorder="1" applyAlignment="1">
      <alignment horizontal="right"/>
    </xf>
    <xf numFmtId="3" fontId="136" fillId="0" borderId="22" xfId="329" applyNumberFormat="1" applyFont="1" applyBorder="1" applyAlignment="1">
      <alignment horizontal="right"/>
    </xf>
    <xf numFmtId="235" fontId="136" fillId="0" borderId="22" xfId="329" applyNumberFormat="1" applyFont="1" applyBorder="1" applyAlignment="1">
      <alignment horizontal="right"/>
    </xf>
    <xf numFmtId="0" fontId="93" fillId="0" borderId="0" xfId="0" applyFont="1">
      <alignment vertical="center"/>
    </xf>
    <xf numFmtId="41" fontId="13" fillId="0" borderId="4" xfId="0" applyNumberFormat="1" applyFont="1" applyFill="1" applyBorder="1">
      <alignment vertical="center"/>
    </xf>
    <xf numFmtId="0" fontId="13" fillId="39" borderId="3" xfId="0" applyFont="1" applyFill="1" applyBorder="1" applyAlignment="1">
      <alignment horizontal="center" vertical="center"/>
    </xf>
    <xf numFmtId="0" fontId="13" fillId="39" borderId="12" xfId="0" applyFont="1" applyFill="1" applyBorder="1" applyAlignment="1">
      <alignment horizontal="center" vertical="center"/>
    </xf>
    <xf numFmtId="0" fontId="145" fillId="0" borderId="7" xfId="329" applyFont="1" applyFill="1" applyBorder="1" applyAlignment="1">
      <alignment horizontal="center"/>
    </xf>
    <xf numFmtId="0" fontId="145" fillId="0" borderId="10" xfId="329" applyFont="1" applyFill="1" applyBorder="1" applyAlignment="1">
      <alignment horizontal="center"/>
    </xf>
    <xf numFmtId="0" fontId="128" fillId="0" borderId="20" xfId="331" applyFont="1" applyFill="1" applyBorder="1" applyAlignment="1">
      <alignment vertical="center"/>
    </xf>
    <xf numFmtId="0" fontId="127" fillId="41" borderId="90" xfId="329" applyFill="1" applyBorder="1" applyAlignment="1">
      <alignment horizontal="center"/>
    </xf>
    <xf numFmtId="0" fontId="146" fillId="0" borderId="11" xfId="0" applyFont="1" applyFill="1" applyBorder="1" applyAlignment="1">
      <alignment horizontal="center" vertical="center"/>
    </xf>
    <xf numFmtId="41" fontId="146" fillId="0" borderId="3" xfId="0" applyNumberFormat="1" applyFont="1" applyFill="1" applyBorder="1">
      <alignment vertical="center"/>
    </xf>
    <xf numFmtId="0" fontId="127" fillId="36" borderId="0" xfId="329" applyFill="1" applyBorder="1" applyAlignment="1">
      <alignment horizontal="center"/>
    </xf>
    <xf numFmtId="3" fontId="127" fillId="0" borderId="0" xfId="329" applyNumberFormat="1" applyBorder="1" applyAlignment="1">
      <alignment horizontal="center"/>
    </xf>
    <xf numFmtId="0" fontId="90" fillId="0" borderId="0" xfId="0" applyFont="1" applyBorder="1">
      <alignment vertical="center"/>
    </xf>
    <xf numFmtId="0" fontId="127" fillId="36" borderId="119" xfId="329" applyFill="1" applyBorder="1" applyAlignment="1">
      <alignment horizontal="center"/>
    </xf>
    <xf numFmtId="3" fontId="127" fillId="0" borderId="119" xfId="329" applyNumberFormat="1" applyBorder="1" applyAlignment="1">
      <alignment horizontal="center"/>
    </xf>
    <xf numFmtId="0" fontId="127" fillId="0" borderId="0" xfId="329">
      <alignment vertical="center"/>
    </xf>
    <xf numFmtId="0" fontId="127" fillId="0" borderId="0" xfId="329" applyAlignment="1">
      <alignment horizontal="left"/>
    </xf>
    <xf numFmtId="0" fontId="127" fillId="36" borderId="0" xfId="329" applyFill="1" applyBorder="1" applyAlignment="1">
      <alignment horizontal="center"/>
    </xf>
    <xf numFmtId="0" fontId="127" fillId="41" borderId="90" xfId="329" applyFill="1" applyBorder="1" applyAlignment="1">
      <alignment horizontal="center"/>
    </xf>
    <xf numFmtId="0" fontId="5" fillId="0" borderId="119" xfId="369" applyBorder="1">
      <alignment vertical="center"/>
    </xf>
    <xf numFmtId="0" fontId="47" fillId="0" borderId="0" xfId="0" applyFont="1">
      <alignment vertical="center"/>
    </xf>
    <xf numFmtId="3" fontId="135" fillId="3" borderId="119" xfId="369" applyNumberFormat="1" applyFont="1" applyFill="1" applyBorder="1" applyAlignment="1">
      <alignment horizontal="center" vertical="center"/>
    </xf>
    <xf numFmtId="41" fontId="95" fillId="0" borderId="12" xfId="0" applyNumberFormat="1" applyFont="1" applyFill="1" applyBorder="1" applyAlignment="1">
      <alignment horizontal="center" vertical="center"/>
    </xf>
    <xf numFmtId="3" fontId="109" fillId="0" borderId="9" xfId="329" applyNumberFormat="1" applyFont="1" applyBorder="1" applyAlignment="1">
      <alignment horizontal="center" vertical="center"/>
    </xf>
    <xf numFmtId="3" fontId="109" fillId="0" borderId="2" xfId="329" applyNumberFormat="1" applyFont="1" applyBorder="1" applyAlignment="1">
      <alignment horizontal="center" vertical="center"/>
    </xf>
    <xf numFmtId="3" fontId="109" fillId="0" borderId="25" xfId="329" applyNumberFormat="1" applyFont="1" applyBorder="1" applyAlignment="1">
      <alignment horizontal="center" vertical="center"/>
    </xf>
    <xf numFmtId="3" fontId="109" fillId="0" borderId="24" xfId="329" applyNumberFormat="1" applyFont="1" applyBorder="1" applyAlignment="1">
      <alignment horizontal="center" vertical="center"/>
    </xf>
    <xf numFmtId="0" fontId="145" fillId="0" borderId="23" xfId="329" applyFont="1" applyFill="1" applyBorder="1" applyAlignment="1">
      <alignment horizontal="center"/>
    </xf>
    <xf numFmtId="0" fontId="0" fillId="0" borderId="119" xfId="0" applyBorder="1">
      <alignment vertical="center"/>
    </xf>
    <xf numFmtId="3" fontId="5" fillId="0" borderId="119" xfId="369" applyNumberFormat="1" applyBorder="1">
      <alignment vertical="center"/>
    </xf>
    <xf numFmtId="3" fontId="5" fillId="0" borderId="119" xfId="369" applyNumberFormat="1" applyFont="1" applyBorder="1">
      <alignment vertical="center"/>
    </xf>
    <xf numFmtId="41" fontId="135" fillId="42" borderId="119" xfId="354" applyFont="1" applyFill="1" applyBorder="1" applyAlignment="1">
      <alignment horizontal="center" vertical="center"/>
    </xf>
    <xf numFmtId="3" fontId="135" fillId="42" borderId="119" xfId="369" applyNumberFormat="1" applyFont="1" applyFill="1" applyBorder="1" applyAlignment="1">
      <alignment horizontal="center" vertical="center"/>
    </xf>
    <xf numFmtId="0" fontId="5" fillId="0" borderId="0" xfId="369">
      <alignment vertical="center"/>
    </xf>
    <xf numFmtId="41" fontId="5" fillId="0" borderId="119" xfId="354" applyFont="1" applyBorder="1">
      <alignment vertical="center"/>
    </xf>
    <xf numFmtId="3" fontId="5" fillId="0" borderId="0" xfId="369" applyNumberFormat="1" applyFont="1">
      <alignment vertical="center"/>
    </xf>
    <xf numFmtId="3" fontId="5" fillId="42" borderId="119" xfId="369" applyNumberFormat="1" applyFill="1" applyBorder="1" applyAlignment="1">
      <alignment horizontal="center" vertical="center"/>
    </xf>
    <xf numFmtId="3" fontId="5" fillId="3" borderId="119" xfId="369" applyNumberFormat="1" applyFill="1" applyBorder="1" applyAlignment="1">
      <alignment horizontal="center" vertical="center"/>
    </xf>
    <xf numFmtId="3" fontId="135" fillId="0" borderId="119" xfId="369" applyNumberFormat="1" applyFont="1" applyFill="1" applyBorder="1" applyAlignment="1">
      <alignment horizontal="center" vertical="center"/>
    </xf>
    <xf numFmtId="41" fontId="95" fillId="0" borderId="3" xfId="0" applyNumberFormat="1" applyFont="1" applyFill="1" applyBorder="1" applyAlignment="1">
      <alignment horizontal="center" vertical="center"/>
    </xf>
    <xf numFmtId="41" fontId="95" fillId="0" borderId="2" xfId="0" applyNumberFormat="1" applyFont="1" applyBorder="1" applyAlignment="1">
      <alignment horizontal="center" vertical="center"/>
    </xf>
    <xf numFmtId="41" fontId="95" fillId="0" borderId="24" xfId="0" applyNumberFormat="1" applyFont="1" applyBorder="1" applyAlignment="1">
      <alignment horizontal="center" vertical="center"/>
    </xf>
    <xf numFmtId="3" fontId="5" fillId="0" borderId="0" xfId="369" applyNumberFormat="1" applyFill="1">
      <alignment vertical="center"/>
    </xf>
    <xf numFmtId="3" fontId="5" fillId="0" borderId="0" xfId="369" applyNumberFormat="1" applyBorder="1">
      <alignment vertical="center"/>
    </xf>
    <xf numFmtId="3" fontId="5" fillId="0" borderId="119" xfId="369" applyNumberFormat="1" applyBorder="1" applyAlignment="1">
      <alignment horizontal="center" vertical="center"/>
    </xf>
    <xf numFmtId="41" fontId="5" fillId="0" borderId="119" xfId="354" applyFont="1" applyBorder="1" applyAlignment="1">
      <alignment horizontal="center" vertical="center"/>
    </xf>
    <xf numFmtId="0" fontId="111" fillId="0" borderId="0" xfId="3" applyFont="1" applyAlignment="1">
      <alignment horizontal="left" vertical="center"/>
    </xf>
    <xf numFmtId="49" fontId="5" fillId="0" borderId="119" xfId="369" applyNumberFormat="1" applyBorder="1" applyAlignment="1">
      <alignment horizontal="center" vertical="center"/>
    </xf>
    <xf numFmtId="251" fontId="135" fillId="0" borderId="119" xfId="36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90" fillId="0" borderId="0" xfId="0" applyFont="1">
      <alignment vertical="center"/>
    </xf>
    <xf numFmtId="0" fontId="95" fillId="0" borderId="0" xfId="0" applyFont="1" applyBorder="1" applyAlignment="1">
      <alignment horizontal="center" vertical="center"/>
    </xf>
    <xf numFmtId="228" fontId="90" fillId="0" borderId="0" xfId="0" applyNumberFormat="1" applyFont="1" applyFill="1" applyBorder="1" applyAlignment="1" applyProtection="1">
      <alignment horizontal="right" vertical="center"/>
      <protection locked="0"/>
    </xf>
    <xf numFmtId="0" fontId="47" fillId="0" borderId="0" xfId="331" applyFont="1" applyAlignment="1">
      <alignment vertical="center"/>
    </xf>
    <xf numFmtId="0" fontId="47" fillId="0" borderId="0" xfId="331" applyFont="1" applyBorder="1" applyAlignment="1">
      <alignment vertical="center"/>
    </xf>
    <xf numFmtId="0" fontId="127" fillId="0" borderId="0" xfId="329" applyBorder="1" applyAlignment="1">
      <alignment horizontal="left"/>
    </xf>
    <xf numFmtId="0" fontId="90" fillId="0" borderId="0" xfId="0" applyFont="1" applyBorder="1">
      <alignment vertical="center"/>
    </xf>
    <xf numFmtId="228" fontId="95" fillId="0" borderId="0" xfId="0" applyNumberFormat="1" applyFont="1" applyFill="1" applyBorder="1" applyAlignment="1" applyProtection="1">
      <alignment horizontal="left" vertical="center"/>
      <protection locked="0"/>
    </xf>
    <xf numFmtId="228" fontId="90" fillId="0" borderId="0" xfId="0" applyNumberFormat="1" applyFont="1" applyFill="1" applyBorder="1" applyAlignment="1" applyProtection="1">
      <alignment horizontal="center" vertical="center"/>
      <protection locked="0"/>
    </xf>
    <xf numFmtId="228" fontId="90" fillId="0" borderId="0" xfId="0" applyNumberFormat="1" applyFont="1" applyBorder="1" applyAlignment="1" applyProtection="1">
      <alignment horizontal="center" vertical="center"/>
      <protection locked="0"/>
    </xf>
    <xf numFmtId="3" fontId="90" fillId="0" borderId="0" xfId="0" applyNumberFormat="1" applyFont="1" applyBorder="1" applyAlignment="1"/>
    <xf numFmtId="228" fontId="92" fillId="32" borderId="0" xfId="0" applyNumberFormat="1" applyFont="1" applyFill="1" applyBorder="1" applyAlignment="1" applyProtection="1">
      <alignment horizontal="right" vertical="center"/>
      <protection locked="0"/>
    </xf>
    <xf numFmtId="228" fontId="90" fillId="32" borderId="0" xfId="0" applyNumberFormat="1" applyFont="1" applyFill="1" applyBorder="1" applyAlignment="1" applyProtection="1">
      <alignment horizontal="right" vertical="center"/>
      <protection locked="0"/>
    </xf>
    <xf numFmtId="228" fontId="91" fillId="0" borderId="0" xfId="0" applyNumberFormat="1" applyFont="1" applyFill="1" applyBorder="1" applyAlignment="1" applyProtection="1">
      <alignment horizontal="right" vertical="center"/>
      <protection locked="0"/>
    </xf>
    <xf numFmtId="0" fontId="127" fillId="0" borderId="0" xfId="329" applyBorder="1">
      <alignment vertical="center"/>
    </xf>
    <xf numFmtId="0" fontId="90" fillId="0" borderId="0" xfId="0" applyFont="1" applyBorder="1" applyAlignment="1"/>
    <xf numFmtId="228" fontId="90" fillId="0" borderId="0" xfId="0" applyNumberFormat="1" applyFont="1" applyBorder="1">
      <alignment vertical="center"/>
    </xf>
    <xf numFmtId="0" fontId="137" fillId="0" borderId="0" xfId="0" applyFont="1" applyBorder="1">
      <alignment vertical="center"/>
    </xf>
    <xf numFmtId="0" fontId="131" fillId="0" borderId="119" xfId="0" applyFont="1" applyFill="1" applyBorder="1" applyAlignment="1">
      <alignment horizontal="center" vertical="center"/>
    </xf>
    <xf numFmtId="0" fontId="131" fillId="0" borderId="0" xfId="0" applyFont="1" applyBorder="1">
      <alignment vertical="center"/>
    </xf>
    <xf numFmtId="0" fontId="131" fillId="0" borderId="0" xfId="0" applyFont="1" applyBorder="1" applyAlignment="1">
      <alignment horizontal="center" vertical="center"/>
    </xf>
    <xf numFmtId="0" fontId="128" fillId="0" borderId="20" xfId="331" applyFont="1" applyFill="1" applyBorder="1" applyAlignment="1">
      <alignment horizontal="left" vertical="center"/>
    </xf>
    <xf numFmtId="0" fontId="151" fillId="0" borderId="0" xfId="394" applyFont="1">
      <alignment vertical="center"/>
    </xf>
    <xf numFmtId="0" fontId="133" fillId="0" borderId="0" xfId="0" applyFont="1">
      <alignment vertical="center"/>
    </xf>
    <xf numFmtId="0" fontId="131" fillId="0" borderId="125" xfId="394" applyFont="1" applyBorder="1" applyAlignment="1">
      <alignment horizontal="center" vertical="center"/>
    </xf>
    <xf numFmtId="219" fontId="131" fillId="0" borderId="125" xfId="394" applyNumberFormat="1" applyFont="1" applyBorder="1" applyAlignment="1">
      <alignment horizontal="center" vertical="center"/>
    </xf>
    <xf numFmtId="0" fontId="47" fillId="39" borderId="125" xfId="394" applyFont="1" applyFill="1" applyBorder="1" applyAlignment="1">
      <alignment horizontal="center" vertical="center" wrapText="1"/>
    </xf>
    <xf numFmtId="0" fontId="47" fillId="34" borderId="125" xfId="394" applyFont="1" applyFill="1" applyBorder="1" applyAlignment="1">
      <alignment horizontal="center" vertical="center" wrapText="1"/>
    </xf>
    <xf numFmtId="0" fontId="47" fillId="38" borderId="125" xfId="394" applyFont="1" applyFill="1" applyBorder="1" applyAlignment="1">
      <alignment horizontal="center" vertical="center" wrapText="1"/>
    </xf>
    <xf numFmtId="0" fontId="47" fillId="0" borderId="0" xfId="394" applyFont="1" applyFill="1" applyBorder="1" applyAlignment="1">
      <alignment horizontal="left" vertical="center"/>
    </xf>
    <xf numFmtId="0" fontId="131" fillId="39" borderId="125" xfId="394" applyFont="1" applyFill="1" applyBorder="1" applyAlignment="1">
      <alignment horizontal="center" vertical="center"/>
    </xf>
    <xf numFmtId="0" fontId="47" fillId="0" borderId="125" xfId="394" applyFont="1" applyBorder="1" applyAlignment="1">
      <alignment horizontal="center" vertical="center" wrapText="1"/>
    </xf>
    <xf numFmtId="0" fontId="47" fillId="0" borderId="125" xfId="394" applyFont="1" applyFill="1" applyBorder="1" applyAlignment="1">
      <alignment horizontal="center" vertical="center" wrapText="1"/>
    </xf>
    <xf numFmtId="0" fontId="131" fillId="0" borderId="0" xfId="394" applyFont="1">
      <alignment vertical="center"/>
    </xf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250" fontId="153" fillId="0" borderId="125" xfId="0" applyNumberFormat="1" applyFont="1" applyFill="1" applyBorder="1">
      <alignment vertical="center"/>
    </xf>
    <xf numFmtId="250" fontId="138" fillId="0" borderId="125" xfId="0" applyNumberFormat="1" applyFont="1" applyFill="1" applyBorder="1">
      <alignment vertical="center"/>
    </xf>
    <xf numFmtId="250" fontId="138" fillId="0" borderId="0" xfId="0" applyNumberFormat="1" applyFont="1" applyFill="1" applyBorder="1">
      <alignment vertical="center"/>
    </xf>
    <xf numFmtId="224" fontId="47" fillId="38" borderId="125" xfId="0" applyNumberFormat="1" applyFont="1" applyFill="1" applyBorder="1" applyAlignment="1">
      <alignment horizontal="center" vertical="center"/>
    </xf>
    <xf numFmtId="0" fontId="47" fillId="0" borderId="35" xfId="331" applyFont="1" applyBorder="1" applyAlignment="1">
      <alignment horizontal="center" vertical="center"/>
    </xf>
    <xf numFmtId="178" fontId="66" fillId="0" borderId="90" xfId="5" applyNumberFormat="1" applyFont="1" applyBorder="1" applyAlignment="1">
      <alignment vertical="center"/>
    </xf>
    <xf numFmtId="0" fontId="156" fillId="0" borderId="0" xfId="0" applyFont="1" applyFill="1" applyAlignment="1">
      <alignment horizontal="left" vertical="center"/>
    </xf>
    <xf numFmtId="0" fontId="157" fillId="38" borderId="125" xfId="1" applyNumberFormat="1" applyFont="1" applyFill="1" applyBorder="1" applyAlignment="1">
      <alignment horizontal="center" vertical="center"/>
    </xf>
    <xf numFmtId="0" fontId="47" fillId="38" borderId="134" xfId="0" applyFont="1" applyFill="1" applyBorder="1" applyAlignment="1">
      <alignment horizontal="center" vertical="center"/>
    </xf>
    <xf numFmtId="0" fontId="93" fillId="39" borderId="2" xfId="2" applyFont="1" applyFill="1" applyBorder="1" applyAlignment="1">
      <alignment horizontal="center" vertical="center"/>
    </xf>
    <xf numFmtId="0" fontId="158" fillId="44" borderId="136" xfId="0" applyFont="1" applyFill="1" applyBorder="1" applyAlignment="1">
      <alignment horizontal="center" vertical="center" wrapText="1"/>
    </xf>
    <xf numFmtId="0" fontId="159" fillId="44" borderId="137" xfId="0" applyFont="1" applyFill="1" applyBorder="1" applyAlignment="1">
      <alignment horizontal="center" vertical="center" wrapText="1"/>
    </xf>
    <xf numFmtId="0" fontId="158" fillId="44" borderId="141" xfId="0" applyFont="1" applyFill="1" applyBorder="1" applyAlignment="1">
      <alignment horizontal="center" vertical="center" wrapText="1"/>
    </xf>
    <xf numFmtId="3" fontId="160" fillId="0" borderId="135" xfId="0" applyNumberFormat="1" applyFont="1" applyBorder="1" applyAlignment="1">
      <alignment horizontal="right" vertical="center" wrapText="1"/>
    </xf>
    <xf numFmtId="0" fontId="160" fillId="0" borderId="135" xfId="0" applyFont="1" applyBorder="1" applyAlignment="1">
      <alignment horizontal="right" vertical="center" wrapText="1"/>
    </xf>
    <xf numFmtId="0" fontId="158" fillId="44" borderId="143" xfId="0" applyFont="1" applyFill="1" applyBorder="1" applyAlignment="1">
      <alignment horizontal="center" vertical="center" wrapText="1"/>
    </xf>
    <xf numFmtId="0" fontId="159" fillId="44" borderId="145" xfId="0" applyFont="1" applyFill="1" applyBorder="1" applyAlignment="1">
      <alignment horizontal="center" vertical="center" wrapText="1"/>
    </xf>
    <xf numFmtId="0" fontId="159" fillId="45" borderId="146" xfId="0" applyFont="1" applyFill="1" applyBorder="1" applyAlignment="1">
      <alignment horizontal="center" vertical="center" wrapText="1"/>
    </xf>
    <xf numFmtId="0" fontId="160" fillId="0" borderId="147" xfId="0" applyFont="1" applyBorder="1" applyAlignment="1">
      <alignment horizontal="right" vertical="center" wrapText="1"/>
    </xf>
    <xf numFmtId="0" fontId="159" fillId="45" borderId="148" xfId="0" applyFont="1" applyFill="1" applyBorder="1" applyAlignment="1">
      <alignment horizontal="center" vertical="center" wrapText="1"/>
    </xf>
    <xf numFmtId="3" fontId="160" fillId="0" borderId="149" xfId="0" applyNumberFormat="1" applyFont="1" applyBorder="1" applyAlignment="1">
      <alignment horizontal="right" vertical="center" wrapText="1"/>
    </xf>
    <xf numFmtId="0" fontId="160" fillId="0" borderId="149" xfId="0" applyFont="1" applyBorder="1" applyAlignment="1">
      <alignment horizontal="right" vertical="center" wrapText="1"/>
    </xf>
    <xf numFmtId="0" fontId="160" fillId="0" borderId="150" xfId="0" applyFont="1" applyBorder="1" applyAlignment="1">
      <alignment horizontal="right" vertical="center" wrapText="1"/>
    </xf>
    <xf numFmtId="176" fontId="47" fillId="0" borderId="0" xfId="5" applyNumberFormat="1" applyFont="1" applyAlignment="1">
      <alignment vertical="center"/>
    </xf>
    <xf numFmtId="3" fontId="161" fillId="0" borderId="135" xfId="0" applyNumberFormat="1" applyFont="1" applyBorder="1" applyAlignment="1">
      <alignment horizontal="right" vertical="center" wrapText="1"/>
    </xf>
    <xf numFmtId="3" fontId="161" fillId="0" borderId="149" xfId="0" applyNumberFormat="1" applyFont="1" applyBorder="1" applyAlignment="1">
      <alignment horizontal="right" vertical="center" wrapText="1"/>
    </xf>
    <xf numFmtId="3" fontId="162" fillId="0" borderId="119" xfId="329" applyNumberFormat="1" applyFont="1" applyBorder="1" applyAlignment="1">
      <alignment horizontal="center" vertical="center"/>
    </xf>
    <xf numFmtId="0" fontId="162" fillId="41" borderId="119" xfId="329" applyFont="1" applyFill="1" applyBorder="1" applyAlignment="1">
      <alignment horizontal="center" vertical="center"/>
    </xf>
    <xf numFmtId="41" fontId="47" fillId="38" borderId="125" xfId="1" applyFont="1" applyFill="1" applyBorder="1" applyAlignment="1">
      <alignment horizontal="center" vertical="center"/>
    </xf>
    <xf numFmtId="0" fontId="131" fillId="0" borderId="0" xfId="0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41" fontId="47" fillId="34" borderId="125" xfId="1" applyFont="1" applyFill="1" applyBorder="1" applyAlignment="1">
      <alignment horizontal="center" vertical="center"/>
    </xf>
    <xf numFmtId="0" fontId="162" fillId="41" borderId="124" xfId="329" applyFont="1" applyFill="1" applyBorder="1" applyAlignment="1">
      <alignment horizontal="center" vertical="center"/>
    </xf>
    <xf numFmtId="0" fontId="162" fillId="36" borderId="119" xfId="329" applyFont="1" applyFill="1" applyBorder="1" applyAlignment="1">
      <alignment horizontal="center" vertical="center"/>
    </xf>
    <xf numFmtId="0" fontId="47" fillId="34" borderId="125" xfId="394" applyFont="1" applyFill="1" applyBorder="1" applyAlignment="1">
      <alignment horizontal="center" vertical="center"/>
    </xf>
    <xf numFmtId="0" fontId="131" fillId="38" borderId="125" xfId="394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151" fillId="0" borderId="0" xfId="0" applyFont="1" applyFill="1" applyBorder="1" applyAlignment="1">
      <alignment horizontal="center" vertical="center"/>
    </xf>
    <xf numFmtId="0" fontId="131" fillId="0" borderId="0" xfId="0" applyFont="1" applyFill="1" applyBorder="1" applyAlignment="1">
      <alignment horizontal="center" vertical="center"/>
    </xf>
    <xf numFmtId="0" fontId="163" fillId="0" borderId="0" xfId="0" applyFont="1" applyBorder="1">
      <alignment vertical="center"/>
    </xf>
    <xf numFmtId="0" fontId="54" fillId="0" borderId="0" xfId="0" applyFont="1" applyBorder="1">
      <alignment vertical="center"/>
    </xf>
    <xf numFmtId="0" fontId="54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33" fillId="0" borderId="0" xfId="0" applyFont="1" applyBorder="1" applyAlignment="1">
      <alignment horizontal="center" vertical="center"/>
    </xf>
    <xf numFmtId="41" fontId="133" fillId="0" borderId="0" xfId="0" applyNumberFormat="1" applyFont="1" applyBorder="1" applyAlignment="1">
      <alignment horizontal="center" vertical="center"/>
    </xf>
    <xf numFmtId="250" fontId="0" fillId="0" borderId="0" xfId="0" applyNumberFormat="1" applyFont="1">
      <alignment vertical="center"/>
    </xf>
    <xf numFmtId="0" fontId="167" fillId="0" borderId="0" xfId="0" applyFont="1" applyBorder="1">
      <alignment vertical="center"/>
    </xf>
    <xf numFmtId="0" fontId="167" fillId="0" borderId="0" xfId="0" applyFont="1" applyAlignment="1">
      <alignment horizontal="left" vertical="center"/>
    </xf>
    <xf numFmtId="49" fontId="154" fillId="39" borderId="24" xfId="0" applyNumberFormat="1" applyFont="1" applyFill="1" applyBorder="1" applyAlignment="1">
      <alignment horizontal="center" vertical="center" wrapText="1"/>
    </xf>
    <xf numFmtId="0" fontId="133" fillId="0" borderId="0" xfId="0" applyFont="1" applyAlignment="1">
      <alignment horizontal="center" vertical="center"/>
    </xf>
    <xf numFmtId="49" fontId="154" fillId="39" borderId="2" xfId="0" applyNumberFormat="1" applyFont="1" applyFill="1" applyBorder="1" applyAlignment="1">
      <alignment horizontal="center" vertical="center" wrapText="1"/>
    </xf>
    <xf numFmtId="0" fontId="133" fillId="0" borderId="1" xfId="0" applyFont="1" applyBorder="1" applyAlignment="1">
      <alignment horizontal="center" vertical="center"/>
    </xf>
    <xf numFmtId="41" fontId="155" fillId="0" borderId="10" xfId="1" applyFont="1" applyFill="1" applyBorder="1" applyAlignment="1">
      <alignment horizontal="center" vertical="center" wrapText="1"/>
    </xf>
    <xf numFmtId="228" fontId="0" fillId="0" borderId="2" xfId="286" applyNumberFormat="1" applyFont="1" applyFill="1" applyBorder="1" applyAlignment="1">
      <alignment horizontal="right" vertical="center"/>
    </xf>
    <xf numFmtId="228" fontId="0" fillId="0" borderId="2" xfId="286" quotePrefix="1" applyNumberFormat="1" applyFont="1" applyFill="1" applyBorder="1" applyAlignment="1">
      <alignment horizontal="right" vertical="center"/>
    </xf>
    <xf numFmtId="216" fontId="0" fillId="0" borderId="2" xfId="286" applyNumberFormat="1" applyFont="1" applyFill="1" applyBorder="1" applyAlignment="1">
      <alignment horizontal="right" vertical="center"/>
    </xf>
    <xf numFmtId="233" fontId="0" fillId="0" borderId="2" xfId="286" applyNumberFormat="1" applyFont="1" applyFill="1" applyBorder="1" applyAlignment="1">
      <alignment horizontal="right" vertical="center"/>
    </xf>
    <xf numFmtId="234" fontId="0" fillId="0" borderId="9" xfId="317" applyNumberFormat="1" applyFont="1" applyFill="1" applyBorder="1" applyAlignment="1">
      <alignment horizontal="right" vertical="center"/>
    </xf>
    <xf numFmtId="41" fontId="133" fillId="0" borderId="0" xfId="1" applyFont="1">
      <alignment vertical="center"/>
    </xf>
    <xf numFmtId="41" fontId="154" fillId="0" borderId="11" xfId="1" applyFont="1" applyFill="1" applyBorder="1" applyAlignment="1">
      <alignment horizontal="center" vertical="center" wrapText="1"/>
    </xf>
    <xf numFmtId="228" fontId="152" fillId="0" borderId="3" xfId="286" applyNumberFormat="1" applyFont="1" applyFill="1" applyBorder="1" applyAlignment="1">
      <alignment horizontal="right" vertical="center"/>
    </xf>
    <xf numFmtId="216" fontId="152" fillId="0" borderId="3" xfId="286" applyNumberFormat="1" applyFont="1" applyFill="1" applyBorder="1" applyAlignment="1">
      <alignment horizontal="right" vertical="center"/>
    </xf>
    <xf numFmtId="216" fontId="0" fillId="0" borderId="3" xfId="286" applyNumberFormat="1" applyFont="1" applyFill="1" applyBorder="1" applyAlignment="1">
      <alignment horizontal="right" vertical="center"/>
    </xf>
    <xf numFmtId="233" fontId="0" fillId="0" borderId="3" xfId="286" applyNumberFormat="1" applyFont="1" applyFill="1" applyBorder="1" applyAlignment="1">
      <alignment horizontal="right" vertical="center"/>
    </xf>
    <xf numFmtId="233" fontId="152" fillId="0" borderId="3" xfId="286" applyNumberFormat="1" applyFont="1" applyFill="1" applyBorder="1" applyAlignment="1">
      <alignment horizontal="right" vertical="center"/>
    </xf>
    <xf numFmtId="234" fontId="152" fillId="0" borderId="12" xfId="317" applyNumberFormat="1" applyFont="1" applyFill="1" applyBorder="1" applyAlignment="1">
      <alignment horizontal="right" vertical="center"/>
    </xf>
    <xf numFmtId="49" fontId="154" fillId="39" borderId="119" xfId="0" applyNumberFormat="1" applyFont="1" applyFill="1" applyBorder="1" applyAlignment="1">
      <alignment horizontal="center" vertical="center" wrapText="1"/>
    </xf>
    <xf numFmtId="41" fontId="155" fillId="0" borderId="119" xfId="1" applyFont="1" applyFill="1" applyBorder="1" applyAlignment="1">
      <alignment horizontal="center" vertical="center" wrapText="1"/>
    </xf>
    <xf numFmtId="228" fontId="0" fillId="0" borderId="119" xfId="286" applyNumberFormat="1" applyFont="1" applyFill="1" applyBorder="1" applyAlignment="1">
      <alignment horizontal="right" vertical="center"/>
    </xf>
    <xf numFmtId="228" fontId="0" fillId="0" borderId="119" xfId="286" quotePrefix="1" applyNumberFormat="1" applyFont="1" applyFill="1" applyBorder="1" applyAlignment="1">
      <alignment horizontal="right" vertical="center"/>
    </xf>
    <xf numFmtId="216" fontId="0" fillId="0" borderId="119" xfId="286" applyNumberFormat="1" applyFont="1" applyFill="1" applyBorder="1" applyAlignment="1">
      <alignment horizontal="right" vertical="center"/>
    </xf>
    <xf numFmtId="233" fontId="0" fillId="0" borderId="119" xfId="286" applyNumberFormat="1" applyFont="1" applyFill="1" applyBorder="1" applyAlignment="1">
      <alignment horizontal="right" vertical="center"/>
    </xf>
    <xf numFmtId="234" fontId="0" fillId="0" borderId="119" xfId="317" applyNumberFormat="1" applyFont="1" applyFill="1" applyBorder="1" applyAlignment="1">
      <alignment horizontal="right" vertical="center"/>
    </xf>
    <xf numFmtId="258" fontId="152" fillId="0" borderId="119" xfId="286" applyNumberFormat="1" applyFont="1" applyFill="1" applyBorder="1" applyAlignment="1">
      <alignment horizontal="right" vertical="center"/>
    </xf>
    <xf numFmtId="41" fontId="154" fillId="0" borderId="119" xfId="1" applyFont="1" applyFill="1" applyBorder="1" applyAlignment="1">
      <alignment horizontal="center" vertical="center" wrapText="1"/>
    </xf>
    <xf numFmtId="228" fontId="152" fillId="0" borderId="119" xfId="286" applyNumberFormat="1" applyFont="1" applyFill="1" applyBorder="1" applyAlignment="1">
      <alignment horizontal="right" vertical="center"/>
    </xf>
    <xf numFmtId="216" fontId="152" fillId="0" borderId="119" xfId="286" applyNumberFormat="1" applyFont="1" applyFill="1" applyBorder="1" applyAlignment="1">
      <alignment horizontal="right" vertical="center"/>
    </xf>
    <xf numFmtId="233" fontId="152" fillId="0" borderId="119" xfId="286" applyNumberFormat="1" applyFont="1" applyFill="1" applyBorder="1" applyAlignment="1">
      <alignment horizontal="right" vertical="center"/>
    </xf>
    <xf numFmtId="234" fontId="152" fillId="0" borderId="119" xfId="317" applyNumberFormat="1" applyFont="1" applyFill="1" applyBorder="1" applyAlignment="1">
      <alignment horizontal="right" vertical="center"/>
    </xf>
    <xf numFmtId="41" fontId="157" fillId="38" borderId="125" xfId="1" applyFont="1" applyFill="1" applyBorder="1" applyAlignment="1">
      <alignment horizontal="center" vertical="center"/>
    </xf>
    <xf numFmtId="0" fontId="0" fillId="0" borderId="125" xfId="0" applyNumberFormat="1" applyFont="1" applyBorder="1" applyAlignment="1">
      <alignment horizontal="center" vertical="center"/>
    </xf>
    <xf numFmtId="41" fontId="157" fillId="0" borderId="125" xfId="1" applyFont="1" applyFill="1" applyBorder="1" applyAlignment="1">
      <alignment horizontal="center" vertical="center"/>
    </xf>
    <xf numFmtId="10" fontId="157" fillId="0" borderId="125" xfId="577" applyNumberFormat="1" applyFont="1" applyFill="1" applyBorder="1" applyAlignment="1">
      <alignment horizontal="right" vertical="center"/>
    </xf>
    <xf numFmtId="0" fontId="157" fillId="0" borderId="125" xfId="1" applyNumberFormat="1" applyFont="1" applyFill="1" applyBorder="1" applyAlignment="1">
      <alignment horizontal="center" vertical="center"/>
    </xf>
    <xf numFmtId="0" fontId="0" fillId="0" borderId="125" xfId="0" applyFont="1" applyBorder="1">
      <alignment vertical="center"/>
    </xf>
    <xf numFmtId="41" fontId="20" fillId="0" borderId="125" xfId="1" applyFont="1" applyFill="1" applyBorder="1" applyAlignment="1">
      <alignment horizontal="center" vertical="center"/>
    </xf>
    <xf numFmtId="10" fontId="20" fillId="0" borderId="125" xfId="577" applyNumberFormat="1" applyFont="1" applyFill="1" applyBorder="1" applyAlignment="1">
      <alignment horizontal="right" vertical="center"/>
    </xf>
    <xf numFmtId="41" fontId="0" fillId="0" borderId="125" xfId="0" applyNumberFormat="1" applyFont="1" applyBorder="1">
      <alignment vertical="center"/>
    </xf>
    <xf numFmtId="228" fontId="0" fillId="0" borderId="0" xfId="0" applyNumberFormat="1" applyFont="1">
      <alignment vertical="center"/>
    </xf>
    <xf numFmtId="0" fontId="20" fillId="0" borderId="125" xfId="1" applyNumberFormat="1" applyFont="1" applyFill="1" applyBorder="1" applyAlignment="1">
      <alignment horizontal="center" vertical="center"/>
    </xf>
    <xf numFmtId="228" fontId="152" fillId="0" borderId="125" xfId="286" applyNumberFormat="1" applyFont="1" applyFill="1" applyBorder="1" applyAlignment="1">
      <alignment horizontal="right" vertical="center"/>
    </xf>
    <xf numFmtId="10" fontId="0" fillId="0" borderId="125" xfId="0" applyNumberFormat="1" applyFont="1" applyBorder="1">
      <alignment vertical="center"/>
    </xf>
    <xf numFmtId="0" fontId="0" fillId="0" borderId="0" xfId="188" applyFont="1" applyAlignment="1">
      <alignment vertical="center"/>
    </xf>
    <xf numFmtId="0" fontId="0" fillId="0" borderId="0" xfId="2" applyFont="1" applyAlignment="1">
      <alignment horizontal="right" vertical="center"/>
    </xf>
    <xf numFmtId="41" fontId="168" fillId="0" borderId="0" xfId="7" applyFont="1" applyAlignment="1">
      <alignment vertical="center"/>
    </xf>
    <xf numFmtId="0" fontId="0" fillId="0" borderId="0" xfId="2" applyFont="1">
      <alignment vertical="center"/>
    </xf>
    <xf numFmtId="0" fontId="152" fillId="0" borderId="0" xfId="2" applyFont="1" applyAlignment="1">
      <alignment horizontal="right" vertical="center"/>
    </xf>
    <xf numFmtId="0" fontId="152" fillId="0" borderId="0" xfId="2" applyFont="1">
      <alignment vertical="center"/>
    </xf>
    <xf numFmtId="0" fontId="0" fillId="34" borderId="10" xfId="2" applyFont="1" applyFill="1" applyBorder="1" applyAlignment="1">
      <alignment horizontal="distributed" vertical="center" indent="1"/>
    </xf>
    <xf numFmtId="250" fontId="166" fillId="0" borderId="2" xfId="0" applyNumberFormat="1" applyFont="1" applyBorder="1">
      <alignment vertical="center"/>
    </xf>
    <xf numFmtId="41" fontId="0" fillId="34" borderId="9" xfId="5" applyFont="1" applyFill="1" applyBorder="1">
      <alignment vertical="center"/>
    </xf>
    <xf numFmtId="0" fontId="0" fillId="0" borderId="10" xfId="2" applyFont="1" applyFill="1" applyBorder="1" applyAlignment="1">
      <alignment horizontal="distributed" vertical="center" indent="1"/>
    </xf>
    <xf numFmtId="41" fontId="0" fillId="0" borderId="9" xfId="5" applyFont="1" applyFill="1" applyBorder="1">
      <alignment vertical="center"/>
    </xf>
    <xf numFmtId="0" fontId="0" fillId="4" borderId="10" xfId="2" applyFont="1" applyFill="1" applyBorder="1" applyAlignment="1">
      <alignment horizontal="distributed" vertical="center" indent="1"/>
    </xf>
    <xf numFmtId="0" fontId="0" fillId="0" borderId="11" xfId="2" applyFont="1" applyFill="1" applyBorder="1" applyAlignment="1">
      <alignment horizontal="distributed" vertical="center" indent="1"/>
    </xf>
    <xf numFmtId="250" fontId="166" fillId="0" borderId="3" xfId="0" applyNumberFormat="1" applyFont="1" applyBorder="1">
      <alignment vertical="center"/>
    </xf>
    <xf numFmtId="41" fontId="0" fillId="0" borderId="12" xfId="5" applyFont="1" applyFill="1" applyBorder="1">
      <alignment vertical="center"/>
    </xf>
    <xf numFmtId="0" fontId="10" fillId="0" borderId="17" xfId="2" applyFont="1" applyFill="1" applyBorder="1" applyAlignment="1">
      <alignment horizontal="distributed" vertical="center" indent="1"/>
    </xf>
    <xf numFmtId="41" fontId="10" fillId="0" borderId="109" xfId="5" applyFont="1" applyFill="1" applyBorder="1">
      <alignment vertical="center"/>
    </xf>
    <xf numFmtId="41" fontId="10" fillId="0" borderId="4" xfId="5" applyFont="1" applyFill="1" applyBorder="1">
      <alignment vertical="center"/>
    </xf>
    <xf numFmtId="41" fontId="10" fillId="0" borderId="88" xfId="5" applyFont="1" applyFill="1" applyBorder="1">
      <alignment vertical="center"/>
    </xf>
    <xf numFmtId="41" fontId="10" fillId="0" borderId="110" xfId="5" applyFont="1" applyFill="1" applyBorder="1">
      <alignment vertical="center"/>
    </xf>
    <xf numFmtId="179" fontId="10" fillId="0" borderId="17" xfId="5" applyNumberFormat="1" applyFont="1" applyFill="1" applyBorder="1">
      <alignment vertical="center"/>
    </xf>
    <xf numFmtId="179" fontId="10" fillId="0" borderId="8" xfId="5" applyNumberFormat="1" applyFont="1" applyFill="1" applyBorder="1">
      <alignment vertical="center"/>
    </xf>
    <xf numFmtId="41" fontId="10" fillId="0" borderId="8" xfId="5" applyFont="1" applyFill="1" applyBorder="1">
      <alignment vertical="center"/>
    </xf>
    <xf numFmtId="0" fontId="0" fillId="0" borderId="0" xfId="2" applyFont="1" applyFill="1" applyAlignment="1">
      <alignment horizontal="right" vertical="center"/>
    </xf>
    <xf numFmtId="0" fontId="0" fillId="0" borderId="0" xfId="2" applyFont="1" applyFill="1">
      <alignment vertical="center"/>
    </xf>
    <xf numFmtId="0" fontId="10" fillId="0" borderId="18" xfId="2" applyFont="1" applyFill="1" applyBorder="1" applyAlignment="1">
      <alignment horizontal="distributed" vertical="center" indent="1"/>
    </xf>
    <xf numFmtId="41" fontId="10" fillId="0" borderId="5" xfId="5" applyFont="1" applyFill="1" applyBorder="1">
      <alignment vertical="center"/>
    </xf>
    <xf numFmtId="41" fontId="10" fillId="0" borderId="2" xfId="5" applyFont="1" applyFill="1" applyBorder="1">
      <alignment vertical="center"/>
    </xf>
    <xf numFmtId="43" fontId="10" fillId="0" borderId="2" xfId="5" applyNumberFormat="1" applyFont="1" applyFill="1" applyBorder="1">
      <alignment vertical="center"/>
    </xf>
    <xf numFmtId="179" fontId="10" fillId="0" borderId="18" xfId="5" applyNumberFormat="1" applyFont="1" applyFill="1" applyBorder="1">
      <alignment vertical="center"/>
    </xf>
    <xf numFmtId="179" fontId="10" fillId="0" borderId="9" xfId="5" applyNumberFormat="1" applyFont="1" applyFill="1" applyBorder="1">
      <alignment vertical="center"/>
    </xf>
    <xf numFmtId="41" fontId="10" fillId="0" borderId="9" xfId="5" applyFont="1" applyFill="1" applyBorder="1">
      <alignment vertical="center"/>
    </xf>
    <xf numFmtId="0" fontId="10" fillId="0" borderId="19" xfId="2" applyFont="1" applyFill="1" applyBorder="1" applyAlignment="1">
      <alignment horizontal="distributed" vertical="center" indent="1"/>
    </xf>
    <xf numFmtId="41" fontId="10" fillId="0" borderId="6" xfId="5" applyFont="1" applyFill="1" applyBorder="1">
      <alignment vertical="center"/>
    </xf>
    <xf numFmtId="41" fontId="10" fillId="0" borderId="3" xfId="5" applyFont="1" applyFill="1" applyBorder="1">
      <alignment vertical="center"/>
    </xf>
    <xf numFmtId="41" fontId="10" fillId="0" borderId="12" xfId="5" applyFont="1" applyFill="1" applyBorder="1">
      <alignment vertical="center"/>
    </xf>
    <xf numFmtId="0" fontId="169" fillId="5" borderId="17" xfId="2" applyFont="1" applyFill="1" applyBorder="1" applyAlignment="1">
      <alignment horizontal="center" vertical="center"/>
    </xf>
    <xf numFmtId="0" fontId="169" fillId="0" borderId="18" xfId="2" applyFont="1" applyFill="1" applyBorder="1" applyAlignment="1">
      <alignment horizontal="center" vertical="center"/>
    </xf>
    <xf numFmtId="0" fontId="169" fillId="4" borderId="18" xfId="2" applyFont="1" applyFill="1" applyBorder="1" applyAlignment="1">
      <alignment horizontal="center" vertical="center"/>
    </xf>
    <xf numFmtId="0" fontId="169" fillId="4" borderId="19" xfId="2" applyFont="1" applyFill="1" applyBorder="1" applyAlignment="1">
      <alignment horizontal="center" vertical="center"/>
    </xf>
    <xf numFmtId="41" fontId="0" fillId="0" borderId="0" xfId="2" applyNumberFormat="1" applyFont="1" applyFill="1">
      <alignment vertical="center"/>
    </xf>
    <xf numFmtId="41" fontId="168" fillId="0" borderId="0" xfId="7" applyFont="1" applyBorder="1" applyAlignment="1">
      <alignment vertical="center"/>
    </xf>
    <xf numFmtId="0" fontId="152" fillId="0" borderId="0" xfId="188" applyFont="1" applyBorder="1" applyAlignment="1">
      <alignment horizontal="centerContinuous" vertical="center"/>
    </xf>
    <xf numFmtId="0" fontId="54" fillId="0" borderId="0" xfId="188" applyFont="1" applyAlignment="1">
      <alignment horizontal="centerContinuous" vertical="center"/>
    </xf>
    <xf numFmtId="0" fontId="54" fillId="0" borderId="0" xfId="188" applyFont="1" applyBorder="1" applyAlignment="1">
      <alignment horizontal="centerContinuous" vertical="center"/>
    </xf>
    <xf numFmtId="0" fontId="54" fillId="0" borderId="0" xfId="188" applyFont="1" applyAlignment="1">
      <alignment horizontal="center" vertical="center"/>
    </xf>
    <xf numFmtId="41" fontId="10" fillId="0" borderId="0" xfId="7" applyFont="1" applyAlignment="1">
      <alignment vertical="center"/>
    </xf>
    <xf numFmtId="0" fontId="54" fillId="0" borderId="0" xfId="188" applyFont="1" applyAlignment="1">
      <alignment vertical="center"/>
    </xf>
    <xf numFmtId="0" fontId="133" fillId="39" borderId="24" xfId="188" applyFont="1" applyFill="1" applyBorder="1" applyAlignment="1">
      <alignment horizontal="centerContinuous" vertical="center"/>
    </xf>
    <xf numFmtId="0" fontId="133" fillId="39" borderId="2" xfId="188" applyFont="1" applyFill="1" applyBorder="1" applyAlignment="1">
      <alignment horizontal="center" vertical="center"/>
    </xf>
    <xf numFmtId="217" fontId="133" fillId="0" borderId="10" xfId="188" applyNumberFormat="1" applyFont="1" applyBorder="1" applyAlignment="1">
      <alignment horizontal="center" vertical="center"/>
    </xf>
    <xf numFmtId="215" fontId="133" fillId="0" borderId="2" xfId="7" applyNumberFormat="1" applyFont="1" applyBorder="1" applyAlignment="1">
      <alignment vertical="center"/>
    </xf>
    <xf numFmtId="215" fontId="133" fillId="0" borderId="2" xfId="7" applyNumberFormat="1" applyFont="1" applyFill="1" applyBorder="1" applyAlignment="1">
      <alignment vertical="center"/>
    </xf>
    <xf numFmtId="41" fontId="133" fillId="0" borderId="2" xfId="7" applyNumberFormat="1" applyFont="1" applyBorder="1" applyAlignment="1">
      <alignment vertical="center"/>
    </xf>
    <xf numFmtId="177" fontId="133" fillId="0" borderId="2" xfId="7" applyNumberFormat="1" applyFont="1" applyBorder="1" applyAlignment="1">
      <alignment vertical="center"/>
    </xf>
    <xf numFmtId="41" fontId="133" fillId="0" borderId="2" xfId="7" applyFont="1" applyBorder="1" applyAlignment="1">
      <alignment vertical="center"/>
    </xf>
    <xf numFmtId="216" fontId="133" fillId="0" borderId="9" xfId="188" applyNumberFormat="1" applyFont="1" applyBorder="1" applyAlignment="1">
      <alignment horizontal="right" vertical="center"/>
    </xf>
    <xf numFmtId="41" fontId="54" fillId="0" borderId="0" xfId="188" applyNumberFormat="1" applyFont="1" applyAlignment="1">
      <alignment vertical="center"/>
    </xf>
    <xf numFmtId="215" fontId="54" fillId="0" borderId="0" xfId="188" applyNumberFormat="1" applyFont="1" applyAlignment="1">
      <alignment vertical="center"/>
    </xf>
    <xf numFmtId="41" fontId="133" fillId="0" borderId="2" xfId="7" applyFont="1" applyFill="1" applyBorder="1" applyAlignment="1">
      <alignment vertical="center"/>
    </xf>
    <xf numFmtId="216" fontId="133" fillId="0" borderId="9" xfId="188" applyNumberFormat="1" applyFont="1" applyBorder="1" applyAlignment="1">
      <alignment horizontal="center" vertical="center"/>
    </xf>
    <xf numFmtId="214" fontId="133" fillId="0" borderId="2" xfId="7" applyNumberFormat="1" applyFont="1" applyBorder="1" applyAlignment="1">
      <alignment vertical="center"/>
    </xf>
    <xf numFmtId="215" fontId="133" fillId="0" borderId="9" xfId="7" applyNumberFormat="1" applyFont="1" applyBorder="1" applyAlignment="1">
      <alignment vertical="center"/>
    </xf>
    <xf numFmtId="214" fontId="133" fillId="0" borderId="3" xfId="7" applyNumberFormat="1" applyFont="1" applyBorder="1" applyAlignment="1">
      <alignment vertical="center"/>
    </xf>
    <xf numFmtId="213" fontId="133" fillId="0" borderId="12" xfId="7" applyNumberFormat="1" applyFont="1" applyBorder="1" applyAlignment="1">
      <alignment vertical="center"/>
    </xf>
    <xf numFmtId="0" fontId="133" fillId="0" borderId="0" xfId="188" applyFont="1" applyAlignment="1">
      <alignment horizontal="left" vertical="center"/>
    </xf>
    <xf numFmtId="0" fontId="128" fillId="0" borderId="0" xfId="0" applyFont="1" applyAlignment="1">
      <alignment horizontal="left" vertical="center"/>
    </xf>
    <xf numFmtId="0" fontId="129" fillId="39" borderId="151" xfId="2" applyFont="1" applyFill="1" applyBorder="1" applyAlignment="1">
      <alignment horizontal="center" vertical="center"/>
    </xf>
    <xf numFmtId="0" fontId="129" fillId="39" borderId="152" xfId="2" applyFont="1" applyFill="1" applyBorder="1" applyAlignment="1">
      <alignment horizontal="center" vertical="center"/>
    </xf>
    <xf numFmtId="0" fontId="129" fillId="39" borderId="152" xfId="2" applyFont="1" applyFill="1" applyBorder="1" applyAlignment="1">
      <alignment horizontal="center" vertical="center" wrapText="1"/>
    </xf>
    <xf numFmtId="41" fontId="170" fillId="0" borderId="31" xfId="5" applyNumberFormat="1" applyFont="1" applyFill="1" applyBorder="1" applyAlignment="1">
      <alignment horizontal="center" vertical="center"/>
    </xf>
    <xf numFmtId="41" fontId="47" fillId="0" borderId="31" xfId="2" applyNumberFormat="1" applyFont="1" applyFill="1" applyBorder="1" applyAlignment="1">
      <alignment vertical="center"/>
    </xf>
    <xf numFmtId="41" fontId="47" fillId="0" borderId="31" xfId="2" applyNumberFormat="1" applyFont="1" applyBorder="1" applyAlignment="1">
      <alignment horizontal="center" vertical="center"/>
    </xf>
    <xf numFmtId="41" fontId="47" fillId="0" borderId="31" xfId="2" applyNumberFormat="1" applyFont="1" applyBorder="1" applyAlignment="1">
      <alignment vertical="center"/>
    </xf>
    <xf numFmtId="0" fontId="131" fillId="0" borderId="0" xfId="2" applyFont="1" applyAlignment="1">
      <alignment vertical="center"/>
    </xf>
    <xf numFmtId="41" fontId="170" fillId="0" borderId="35" xfId="5" applyNumberFormat="1" applyFont="1" applyFill="1" applyBorder="1" applyAlignment="1">
      <alignment horizontal="center" vertical="center"/>
    </xf>
    <xf numFmtId="41" fontId="47" fillId="0" borderId="35" xfId="2" applyNumberFormat="1" applyFont="1" applyFill="1" applyBorder="1" applyAlignment="1">
      <alignment vertical="center"/>
    </xf>
    <xf numFmtId="41" fontId="47" fillId="0" borderId="35" xfId="2" applyNumberFormat="1" applyFont="1" applyBorder="1" applyAlignment="1">
      <alignment horizontal="center" vertical="center"/>
    </xf>
    <xf numFmtId="41" fontId="47" fillId="0" borderId="35" xfId="2" applyNumberFormat="1" applyFont="1" applyBorder="1" applyAlignment="1">
      <alignment vertical="center"/>
    </xf>
    <xf numFmtId="41" fontId="47" fillId="0" borderId="102" xfId="5" applyFont="1" applyBorder="1" applyAlignment="1">
      <alignment vertical="center"/>
    </xf>
    <xf numFmtId="0" fontId="47" fillId="0" borderId="32" xfId="2" applyFont="1" applyFill="1" applyBorder="1" applyAlignment="1">
      <alignment horizontal="center" vertical="center"/>
    </xf>
    <xf numFmtId="177" fontId="170" fillId="0" borderId="31" xfId="5" applyNumberFormat="1" applyFont="1" applyFill="1" applyBorder="1" applyAlignment="1">
      <alignment horizontal="center" vertical="center"/>
    </xf>
    <xf numFmtId="0" fontId="47" fillId="0" borderId="28" xfId="2" applyFont="1" applyBorder="1" applyAlignment="1">
      <alignment vertical="center"/>
    </xf>
    <xf numFmtId="41" fontId="47" fillId="0" borderId="31" xfId="2" applyNumberFormat="1" applyFont="1" applyFill="1" applyBorder="1" applyAlignment="1">
      <alignment horizontal="center" vertical="center"/>
    </xf>
    <xf numFmtId="41" fontId="47" fillId="0" borderId="30" xfId="5" applyFont="1" applyFill="1" applyBorder="1" applyAlignment="1">
      <alignment vertical="center"/>
    </xf>
    <xf numFmtId="0" fontId="47" fillId="0" borderId="28" xfId="2" applyFont="1" applyFill="1" applyBorder="1" applyAlignment="1">
      <alignment vertical="center"/>
    </xf>
    <xf numFmtId="41" fontId="47" fillId="0" borderId="30" xfId="2" applyNumberFormat="1" applyFont="1" applyFill="1" applyBorder="1" applyAlignment="1">
      <alignment vertical="center"/>
    </xf>
    <xf numFmtId="0" fontId="47" fillId="3" borderId="32" xfId="2" applyFont="1" applyFill="1" applyBorder="1" applyAlignment="1">
      <alignment horizontal="center" vertical="center"/>
    </xf>
    <xf numFmtId="177" fontId="170" fillId="3" borderId="31" xfId="5" applyNumberFormat="1" applyFont="1" applyFill="1" applyBorder="1" applyAlignment="1">
      <alignment horizontal="center" vertical="center"/>
    </xf>
    <xf numFmtId="41" fontId="47" fillId="3" borderId="31" xfId="2" applyNumberFormat="1" applyFont="1" applyFill="1" applyBorder="1" applyAlignment="1">
      <alignment vertical="center"/>
    </xf>
    <xf numFmtId="41" fontId="47" fillId="3" borderId="31" xfId="2" applyNumberFormat="1" applyFont="1" applyFill="1" applyBorder="1" applyAlignment="1">
      <alignment horizontal="center" vertical="center"/>
    </xf>
    <xf numFmtId="41" fontId="47" fillId="3" borderId="30" xfId="2" applyNumberFormat="1" applyFont="1" applyFill="1" applyBorder="1" applyAlignment="1">
      <alignment vertical="center"/>
    </xf>
    <xf numFmtId="41" fontId="47" fillId="3" borderId="30" xfId="5" applyFont="1" applyFill="1" applyBorder="1" applyAlignment="1">
      <alignment vertical="center"/>
    </xf>
    <xf numFmtId="0" fontId="47" fillId="3" borderId="28" xfId="2" applyFont="1" applyFill="1" applyBorder="1" applyAlignment="1">
      <alignment vertical="center"/>
    </xf>
    <xf numFmtId="0" fontId="47" fillId="0" borderId="29" xfId="2" applyFont="1" applyFill="1" applyBorder="1" applyAlignment="1">
      <alignment horizontal="center" vertical="center"/>
    </xf>
    <xf numFmtId="0" fontId="47" fillId="3" borderId="29" xfId="2" applyFont="1" applyFill="1" applyBorder="1" applyAlignment="1">
      <alignment horizontal="center" vertical="center"/>
    </xf>
    <xf numFmtId="0" fontId="47" fillId="0" borderId="11" xfId="2" applyFont="1" applyFill="1" applyBorder="1" applyAlignment="1">
      <alignment horizontal="center" vertical="center"/>
    </xf>
    <xf numFmtId="0" fontId="47" fillId="0" borderId="6" xfId="2" applyFont="1" applyFill="1" applyBorder="1" applyAlignment="1">
      <alignment horizontal="center" vertical="center"/>
    </xf>
    <xf numFmtId="0" fontId="47" fillId="0" borderId="3" xfId="2" applyFont="1" applyFill="1" applyBorder="1" applyAlignment="1">
      <alignment horizontal="center" vertical="center"/>
    </xf>
    <xf numFmtId="0" fontId="47" fillId="0" borderId="14" xfId="2" applyFont="1" applyFill="1" applyBorder="1" applyAlignment="1">
      <alignment vertical="center"/>
    </xf>
    <xf numFmtId="0" fontId="47" fillId="0" borderId="98" xfId="2" applyFont="1" applyFill="1" applyBorder="1" applyAlignment="1">
      <alignment horizontal="center" vertical="center"/>
    </xf>
    <xf numFmtId="0" fontId="47" fillId="0" borderId="102" xfId="331" quotePrefix="1" applyFont="1" applyBorder="1" applyAlignment="1">
      <alignment vertical="center"/>
    </xf>
    <xf numFmtId="0" fontId="47" fillId="0" borderId="0" xfId="7" applyNumberFormat="1" applyFont="1" applyFill="1" applyBorder="1" applyAlignment="1">
      <alignment horizontal="center" vertical="center"/>
    </xf>
    <xf numFmtId="41" fontId="47" fillId="0" borderId="0" xfId="7" applyFont="1" applyBorder="1" applyAlignment="1">
      <alignment vertical="center"/>
    </xf>
    <xf numFmtId="219" fontId="47" fillId="0" borderId="0" xfId="7" applyNumberFormat="1" applyFont="1" applyAlignment="1">
      <alignment vertical="center"/>
    </xf>
    <xf numFmtId="41" fontId="47" fillId="0" borderId="0" xfId="7" applyFont="1" applyAlignment="1">
      <alignment vertical="center"/>
    </xf>
    <xf numFmtId="0" fontId="128" fillId="0" borderId="0" xfId="7" applyNumberFormat="1" applyFont="1" applyFill="1" applyBorder="1" applyAlignment="1">
      <alignment horizontal="left" vertical="center"/>
    </xf>
    <xf numFmtId="41" fontId="171" fillId="0" borderId="0" xfId="7" applyFont="1" applyBorder="1" applyAlignment="1">
      <alignment vertical="center"/>
    </xf>
    <xf numFmtId="41" fontId="171" fillId="0" borderId="0" xfId="7" applyFont="1" applyAlignment="1">
      <alignment vertical="center"/>
    </xf>
    <xf numFmtId="41" fontId="66" fillId="0" borderId="0" xfId="7" applyFont="1" applyAlignment="1">
      <alignment vertical="center"/>
    </xf>
    <xf numFmtId="0" fontId="129" fillId="39" borderId="3" xfId="189" applyNumberFormat="1" applyFont="1" applyFill="1" applyBorder="1" applyAlignment="1">
      <alignment horizontal="center" vertical="center" wrapText="1"/>
    </xf>
    <xf numFmtId="41" fontId="47" fillId="0" borderId="2" xfId="7" applyFont="1" applyBorder="1" applyAlignment="1">
      <alignment vertical="center"/>
    </xf>
    <xf numFmtId="41" fontId="47" fillId="0" borderId="3" xfId="7" applyFont="1" applyBorder="1" applyAlignment="1">
      <alignment vertical="center"/>
    </xf>
    <xf numFmtId="0" fontId="66" fillId="0" borderId="28" xfId="7" applyNumberFormat="1" applyFont="1" applyFill="1" applyBorder="1" applyAlignment="1">
      <alignment horizontal="center" vertical="center"/>
    </xf>
    <xf numFmtId="0" fontId="47" fillId="0" borderId="28" xfId="7" applyNumberFormat="1" applyFont="1" applyFill="1" applyBorder="1" applyAlignment="1">
      <alignment horizontal="center" vertical="center"/>
    </xf>
    <xf numFmtId="0" fontId="172" fillId="0" borderId="0" xfId="0" applyFont="1">
      <alignment vertical="center"/>
    </xf>
    <xf numFmtId="0" fontId="131" fillId="0" borderId="0" xfId="0" applyFont="1">
      <alignment vertical="center"/>
    </xf>
    <xf numFmtId="0" fontId="66" fillId="0" borderId="0" xfId="0" applyFont="1" applyAlignment="1">
      <alignment horizontal="right" vertical="center"/>
    </xf>
    <xf numFmtId="0" fontId="66" fillId="0" borderId="0" xfId="0" applyFont="1">
      <alignment vertical="center"/>
    </xf>
    <xf numFmtId="0" fontId="66" fillId="30" borderId="3" xfId="0" applyFont="1" applyFill="1" applyBorder="1" applyAlignment="1">
      <alignment horizontal="center" vertical="center"/>
    </xf>
    <xf numFmtId="0" fontId="66" fillId="30" borderId="14" xfId="0" applyFont="1" applyFill="1" applyBorder="1" applyAlignment="1">
      <alignment horizontal="center" vertical="center"/>
    </xf>
    <xf numFmtId="0" fontId="66" fillId="30" borderId="11" xfId="0" applyFont="1" applyFill="1" applyBorder="1" applyAlignment="1">
      <alignment horizontal="center" vertical="center"/>
    </xf>
    <xf numFmtId="0" fontId="66" fillId="30" borderId="12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7" xfId="0" applyFont="1" applyBorder="1" applyAlignment="1">
      <alignment horizontal="center" vertical="center"/>
    </xf>
    <xf numFmtId="41" fontId="66" fillId="0" borderId="4" xfId="0" applyNumberFormat="1" applyFont="1" applyBorder="1">
      <alignment vertical="center"/>
    </xf>
    <xf numFmtId="179" fontId="66" fillId="0" borderId="4" xfId="0" applyNumberFormat="1" applyFont="1" applyBorder="1">
      <alignment vertical="center"/>
    </xf>
    <xf numFmtId="0" fontId="66" fillId="0" borderId="4" xfId="0" applyFont="1" applyBorder="1">
      <alignment vertical="center"/>
    </xf>
    <xf numFmtId="223" fontId="139" fillId="4" borderId="4" xfId="0" applyNumberFormat="1" applyFont="1" applyFill="1" applyBorder="1" applyAlignment="1">
      <alignment horizontal="center" vertical="center" wrapText="1"/>
    </xf>
    <xf numFmtId="223" fontId="139" fillId="4" borderId="88" xfId="0" applyNumberFormat="1" applyFont="1" applyFill="1" applyBorder="1" applyAlignment="1">
      <alignment horizontal="center" vertical="center" wrapText="1"/>
    </xf>
    <xf numFmtId="41" fontId="66" fillId="0" borderId="7" xfId="0" applyNumberFormat="1" applyFont="1" applyBorder="1">
      <alignment vertical="center"/>
    </xf>
    <xf numFmtId="41" fontId="66" fillId="0" borderId="4" xfId="1" applyFont="1" applyBorder="1">
      <alignment vertical="center"/>
    </xf>
    <xf numFmtId="41" fontId="66" fillId="0" borderId="8" xfId="1" applyFont="1" applyBorder="1">
      <alignment vertical="center"/>
    </xf>
    <xf numFmtId="0" fontId="66" fillId="0" borderId="10" xfId="0" applyFont="1" applyBorder="1" applyAlignment="1">
      <alignment horizontal="center" vertical="center"/>
    </xf>
    <xf numFmtId="41" fontId="66" fillId="0" borderId="2" xfId="0" applyNumberFormat="1" applyFont="1" applyBorder="1">
      <alignment vertical="center"/>
    </xf>
    <xf numFmtId="179" fontId="66" fillId="0" borderId="2" xfId="0" applyNumberFormat="1" applyFont="1" applyBorder="1">
      <alignment vertical="center"/>
    </xf>
    <xf numFmtId="0" fontId="66" fillId="0" borderId="2" xfId="0" applyFont="1" applyBorder="1">
      <alignment vertical="center"/>
    </xf>
    <xf numFmtId="41" fontId="66" fillId="0" borderId="2" xfId="1" applyFont="1" applyBorder="1">
      <alignment vertical="center"/>
    </xf>
    <xf numFmtId="41" fontId="66" fillId="0" borderId="9" xfId="1" applyFont="1" applyBorder="1">
      <alignment vertical="center"/>
    </xf>
    <xf numFmtId="0" fontId="131" fillId="0" borderId="2" xfId="0" applyFont="1" applyBorder="1">
      <alignment vertical="center"/>
    </xf>
    <xf numFmtId="177" fontId="66" fillId="0" borderId="2" xfId="0" applyNumberFormat="1" applyFont="1" applyBorder="1">
      <alignment vertical="center"/>
    </xf>
    <xf numFmtId="220" fontId="66" fillId="0" borderId="2" xfId="0" applyNumberFormat="1" applyFont="1" applyBorder="1">
      <alignment vertical="center"/>
    </xf>
    <xf numFmtId="41" fontId="66" fillId="0" borderId="2" xfId="1" applyNumberFormat="1" applyFont="1" applyBorder="1">
      <alignment vertical="center"/>
    </xf>
    <xf numFmtId="176" fontId="66" fillId="0" borderId="2" xfId="0" applyNumberFormat="1" applyFont="1" applyBorder="1">
      <alignment vertical="center"/>
    </xf>
    <xf numFmtId="0" fontId="66" fillId="0" borderId="32" xfId="0" applyFont="1" applyBorder="1" applyAlignment="1">
      <alignment horizontal="center" vertical="center"/>
    </xf>
    <xf numFmtId="41" fontId="66" fillId="0" borderId="31" xfId="0" applyNumberFormat="1" applyFont="1" applyBorder="1">
      <alignment vertical="center"/>
    </xf>
    <xf numFmtId="0" fontId="66" fillId="0" borderId="31" xfId="0" applyFont="1" applyBorder="1">
      <alignment vertical="center"/>
    </xf>
    <xf numFmtId="0" fontId="66" fillId="0" borderId="53" xfId="0" applyFont="1" applyBorder="1" applyAlignment="1">
      <alignment horizontal="center" vertical="center"/>
    </xf>
    <xf numFmtId="41" fontId="66" fillId="31" borderId="55" xfId="0" applyNumberFormat="1" applyFont="1" applyFill="1" applyBorder="1">
      <alignment vertical="center"/>
    </xf>
    <xf numFmtId="41" fontId="66" fillId="0" borderId="55" xfId="0" applyNumberFormat="1" applyFont="1" applyBorder="1">
      <alignment vertical="center"/>
    </xf>
    <xf numFmtId="0" fontId="66" fillId="0" borderId="55" xfId="0" applyFont="1" applyBorder="1">
      <alignment vertical="center"/>
    </xf>
    <xf numFmtId="0" fontId="66" fillId="0" borderId="54" xfId="0" applyFont="1" applyBorder="1">
      <alignment vertical="center"/>
    </xf>
    <xf numFmtId="41" fontId="173" fillId="3" borderId="53" xfId="0" applyNumberFormat="1" applyFont="1" applyFill="1" applyBorder="1">
      <alignment vertical="center"/>
    </xf>
    <xf numFmtId="41" fontId="66" fillId="0" borderId="0" xfId="0" applyNumberFormat="1" applyFont="1">
      <alignment vertical="center"/>
    </xf>
    <xf numFmtId="41" fontId="66" fillId="0" borderId="10" xfId="0" applyNumberFormat="1" applyFont="1" applyBorder="1">
      <alignment vertical="center"/>
    </xf>
    <xf numFmtId="223" fontId="139" fillId="4" borderId="2" xfId="0" applyNumberFormat="1" applyFont="1" applyFill="1" applyBorder="1" applyAlignment="1">
      <alignment horizontal="center" vertical="center" wrapText="1"/>
    </xf>
    <xf numFmtId="223" fontId="139" fillId="4" borderId="13" xfId="0" applyNumberFormat="1" applyFont="1" applyFill="1" applyBorder="1" applyAlignment="1">
      <alignment horizontal="center" vertical="center" wrapText="1"/>
    </xf>
    <xf numFmtId="41" fontId="174" fillId="0" borderId="55" xfId="0" applyNumberFormat="1" applyFont="1" applyBorder="1">
      <alignment vertical="center"/>
    </xf>
    <xf numFmtId="3" fontId="131" fillId="0" borderId="119" xfId="329" applyNumberFormat="1" applyFont="1" applyBorder="1" applyAlignment="1">
      <alignment horizontal="center" vertical="center"/>
    </xf>
    <xf numFmtId="0" fontId="111" fillId="0" borderId="0" xfId="329" applyFont="1" applyAlignment="1">
      <alignment horizontal="left" vertical="center"/>
    </xf>
    <xf numFmtId="0" fontId="131" fillId="0" borderId="0" xfId="0" applyFont="1" applyAlignment="1">
      <alignment horizontal="center" vertical="center"/>
    </xf>
    <xf numFmtId="41" fontId="151" fillId="0" borderId="125" xfId="1" applyFont="1" applyBorder="1" applyAlignment="1">
      <alignment horizontal="center" vertical="center"/>
    </xf>
    <xf numFmtId="41" fontId="131" fillId="0" borderId="125" xfId="1" applyFont="1" applyBorder="1" applyAlignment="1">
      <alignment horizontal="center" vertical="center"/>
    </xf>
    <xf numFmtId="0" fontId="131" fillId="0" borderId="125" xfId="0" applyFont="1" applyBorder="1" applyAlignment="1">
      <alignment horizontal="center" vertical="center"/>
    </xf>
    <xf numFmtId="0" fontId="172" fillId="0" borderId="0" xfId="0" applyFont="1" applyAlignment="1">
      <alignment horizontal="left" vertical="center"/>
    </xf>
    <xf numFmtId="0" fontId="151" fillId="0" borderId="0" xfId="0" applyFont="1" applyFill="1" applyAlignment="1">
      <alignment horizontal="left" vertical="center"/>
    </xf>
    <xf numFmtId="0" fontId="131" fillId="38" borderId="119" xfId="0" applyFont="1" applyFill="1" applyBorder="1" applyAlignment="1">
      <alignment horizontal="center" vertical="center"/>
    </xf>
    <xf numFmtId="41" fontId="151" fillId="34" borderId="119" xfId="0" applyNumberFormat="1" applyFont="1" applyFill="1" applyBorder="1" applyAlignment="1">
      <alignment horizontal="center" vertical="center"/>
    </xf>
    <xf numFmtId="0" fontId="131" fillId="0" borderId="119" xfId="7" applyNumberFormat="1" applyFont="1" applyFill="1" applyBorder="1" applyAlignment="1" applyProtection="1">
      <alignment horizontal="center" vertical="center"/>
    </xf>
    <xf numFmtId="219" fontId="131" fillId="0" borderId="119" xfId="0" applyNumberFormat="1" applyFont="1" applyFill="1" applyBorder="1" applyAlignment="1">
      <alignment horizontal="center" vertical="center"/>
    </xf>
    <xf numFmtId="0" fontId="131" fillId="0" borderId="119" xfId="2" applyFont="1" applyFill="1" applyBorder="1" applyAlignment="1">
      <alignment horizontal="center" vertical="center"/>
    </xf>
    <xf numFmtId="0" fontId="131" fillId="4" borderId="119" xfId="2" applyFont="1" applyFill="1" applyBorder="1" applyAlignment="1">
      <alignment horizontal="center" vertical="center"/>
    </xf>
    <xf numFmtId="3" fontId="175" fillId="0" borderId="0" xfId="0" applyNumberFormat="1" applyFont="1" applyBorder="1" applyAlignment="1">
      <alignment horizontal="right" vertical="center" wrapText="1"/>
    </xf>
    <xf numFmtId="3" fontId="176" fillId="0" borderId="0" xfId="0" applyNumberFormat="1" applyFont="1" applyBorder="1" applyAlignment="1">
      <alignment horizontal="right" vertical="center" wrapText="1"/>
    </xf>
    <xf numFmtId="41" fontId="151" fillId="34" borderId="119" xfId="1" applyFont="1" applyFill="1" applyBorder="1" applyAlignment="1">
      <alignment horizontal="center" vertical="center"/>
    </xf>
    <xf numFmtId="41" fontId="131" fillId="0" borderId="119" xfId="1" applyFont="1" applyFill="1" applyBorder="1" applyAlignment="1" applyProtection="1">
      <alignment horizontal="center" vertical="center"/>
    </xf>
    <xf numFmtId="0" fontId="131" fillId="0" borderId="0" xfId="2" applyFont="1" applyFill="1" applyBorder="1" applyAlignment="1">
      <alignment horizontal="center" vertical="center"/>
    </xf>
    <xf numFmtId="41" fontId="131" fillId="0" borderId="0" xfId="1" applyFont="1" applyFill="1" applyBorder="1" applyAlignment="1" applyProtection="1">
      <alignment horizontal="center" vertical="center"/>
    </xf>
    <xf numFmtId="41" fontId="131" fillId="0" borderId="125" xfId="1" applyFont="1" applyFill="1" applyBorder="1" applyAlignment="1">
      <alignment horizontal="right" vertical="center"/>
    </xf>
    <xf numFmtId="0" fontId="151" fillId="0" borderId="0" xfId="0" applyFont="1" applyFill="1" applyBorder="1" applyAlignment="1">
      <alignment horizontal="left" vertical="center"/>
    </xf>
    <xf numFmtId="0" fontId="131" fillId="0" borderId="0" xfId="0" applyFont="1" applyFill="1" applyAlignment="1">
      <alignment horizontal="center" vertical="center"/>
    </xf>
    <xf numFmtId="41" fontId="131" fillId="0" borderId="119" xfId="1" applyFont="1" applyFill="1" applyBorder="1" applyAlignment="1">
      <alignment horizontal="center" vertical="center" wrapText="1"/>
    </xf>
    <xf numFmtId="219" fontId="131" fillId="0" borderId="119" xfId="0" applyNumberFormat="1" applyFont="1" applyFill="1" applyBorder="1" applyAlignment="1">
      <alignment horizontal="center" vertical="center" wrapText="1"/>
    </xf>
    <xf numFmtId="0" fontId="131" fillId="0" borderId="0" xfId="0" applyFont="1" applyFill="1" applyBorder="1" applyAlignment="1">
      <alignment horizontal="left" vertical="center"/>
    </xf>
    <xf numFmtId="219" fontId="131" fillId="0" borderId="0" xfId="0" applyNumberFormat="1" applyFont="1" applyFill="1" applyBorder="1" applyAlignment="1">
      <alignment horizontal="center" vertical="center"/>
    </xf>
    <xf numFmtId="0" fontId="177" fillId="0" borderId="0" xfId="0" applyFont="1" applyAlignment="1">
      <alignment horizontal="center" vertical="center"/>
    </xf>
    <xf numFmtId="0" fontId="151" fillId="0" borderId="0" xfId="0" applyFont="1" applyAlignment="1">
      <alignment horizontal="center" vertical="center"/>
    </xf>
    <xf numFmtId="0" fontId="177" fillId="0" borderId="0" xfId="0" applyFont="1" applyFill="1" applyBorder="1" applyAlignment="1">
      <alignment horizontal="center" vertical="center"/>
    </xf>
    <xf numFmtId="219" fontId="177" fillId="0" borderId="0" xfId="0" applyNumberFormat="1" applyFont="1" applyFill="1" applyBorder="1" applyAlignment="1">
      <alignment horizontal="center" vertical="center"/>
    </xf>
    <xf numFmtId="0" fontId="151" fillId="0" borderId="0" xfId="0" applyFont="1" applyBorder="1">
      <alignment vertical="center"/>
    </xf>
    <xf numFmtId="41" fontId="129" fillId="0" borderId="125" xfId="1" applyFont="1" applyFill="1" applyBorder="1" applyAlignment="1" applyProtection="1">
      <alignment horizontal="center" vertical="center"/>
    </xf>
    <xf numFmtId="0" fontId="47" fillId="4" borderId="0" xfId="2" applyNumberFormat="1" applyFont="1" applyFill="1" applyBorder="1" applyAlignment="1">
      <alignment horizontal="center" vertical="center"/>
    </xf>
    <xf numFmtId="250" fontId="131" fillId="0" borderId="0" xfId="0" applyNumberFormat="1" applyFont="1" applyBorder="1" applyAlignment="1">
      <alignment horizontal="center" vertical="center"/>
    </xf>
    <xf numFmtId="250" fontId="131" fillId="0" borderId="0" xfId="0" applyNumberFormat="1" applyFont="1" applyAlignment="1">
      <alignment horizontal="center" vertical="center"/>
    </xf>
    <xf numFmtId="0" fontId="151" fillId="34" borderId="134" xfId="0" applyFont="1" applyFill="1" applyBorder="1" applyAlignment="1">
      <alignment horizontal="center" vertical="center"/>
    </xf>
    <xf numFmtId="0" fontId="131" fillId="0" borderId="134" xfId="7" applyNumberFormat="1" applyFont="1" applyFill="1" applyBorder="1" applyAlignment="1" applyProtection="1">
      <alignment horizontal="center" vertical="center"/>
    </xf>
    <xf numFmtId="0" fontId="131" fillId="0" borderId="134" xfId="2" applyFont="1" applyFill="1" applyBorder="1" applyAlignment="1">
      <alignment horizontal="center" vertical="center"/>
    </xf>
    <xf numFmtId="0" fontId="131" fillId="4" borderId="134" xfId="2" applyFont="1" applyFill="1" applyBorder="1" applyAlignment="1">
      <alignment horizontal="center" vertical="center"/>
    </xf>
    <xf numFmtId="0" fontId="47" fillId="38" borderId="131" xfId="0" applyFont="1" applyFill="1" applyBorder="1" applyAlignment="1">
      <alignment vertical="center"/>
    </xf>
    <xf numFmtId="0" fontId="47" fillId="38" borderId="0" xfId="0" applyFont="1" applyFill="1" applyBorder="1" applyAlignment="1">
      <alignment vertical="center"/>
    </xf>
    <xf numFmtId="0" fontId="151" fillId="0" borderId="154" xfId="0" applyFont="1" applyFill="1" applyBorder="1" applyAlignment="1">
      <alignment vertical="center"/>
    </xf>
    <xf numFmtId="0" fontId="151" fillId="0" borderId="0" xfId="0" applyFont="1" applyFill="1" applyBorder="1" applyAlignment="1">
      <alignment vertical="center"/>
    </xf>
    <xf numFmtId="0" fontId="131" fillId="0" borderId="154" xfId="0" applyFont="1" applyFill="1" applyBorder="1" applyAlignment="1">
      <alignment vertical="center"/>
    </xf>
    <xf numFmtId="0" fontId="131" fillId="0" borderId="0" xfId="0" applyFont="1" applyFill="1" applyBorder="1" applyAlignment="1">
      <alignment vertical="center"/>
    </xf>
    <xf numFmtId="0" fontId="47" fillId="0" borderId="154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49" fontId="154" fillId="39" borderId="2" xfId="0" applyNumberFormat="1" applyFont="1" applyFill="1" applyBorder="1" applyAlignment="1">
      <alignment horizontal="center" vertical="center" wrapText="1"/>
    </xf>
    <xf numFmtId="250" fontId="166" fillId="0" borderId="0" xfId="0" applyNumberFormat="1" applyFont="1" applyBorder="1">
      <alignment vertical="center"/>
    </xf>
    <xf numFmtId="179" fontId="0" fillId="0" borderId="0" xfId="5" applyNumberFormat="1" applyFont="1" applyFill="1" applyBorder="1">
      <alignment vertical="center"/>
    </xf>
    <xf numFmtId="0" fontId="152" fillId="39" borderId="156" xfId="2" applyFont="1" applyFill="1" applyBorder="1" applyAlignment="1">
      <alignment horizontal="center" vertical="center"/>
    </xf>
    <xf numFmtId="0" fontId="152" fillId="5" borderId="23" xfId="2" applyFont="1" applyFill="1" applyBorder="1" applyAlignment="1">
      <alignment horizontal="distributed" vertical="center" indent="1"/>
    </xf>
    <xf numFmtId="41" fontId="152" fillId="5" borderId="25" xfId="5" applyFont="1" applyFill="1" applyBorder="1">
      <alignment vertical="center"/>
    </xf>
    <xf numFmtId="41" fontId="0" fillId="0" borderId="0" xfId="5" applyFont="1" applyFill="1" applyBorder="1">
      <alignment vertical="center"/>
    </xf>
    <xf numFmtId="0" fontId="0" fillId="0" borderId="0" xfId="2" applyFont="1" applyFill="1" applyBorder="1" applyAlignment="1">
      <alignment horizontal="left" vertical="center" indent="1"/>
    </xf>
    <xf numFmtId="0" fontId="91" fillId="3" borderId="84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215" fontId="129" fillId="2" borderId="23" xfId="189" applyNumberFormat="1" applyFont="1" applyFill="1" applyBorder="1" applyAlignment="1">
      <alignment horizontal="center" vertical="center"/>
    </xf>
    <xf numFmtId="41" fontId="129" fillId="2" borderId="24" xfId="189" applyNumberFormat="1" applyFont="1" applyFill="1" applyBorder="1" applyAlignment="1">
      <alignment horizontal="center" vertical="center" wrapText="1"/>
    </xf>
    <xf numFmtId="218" fontId="129" fillId="2" borderId="25" xfId="189" applyNumberFormat="1" applyFont="1" applyFill="1" applyBorder="1" applyAlignment="1">
      <alignment horizontal="center" vertical="center" wrapText="1"/>
    </xf>
    <xf numFmtId="0" fontId="47" fillId="0" borderId="10" xfId="7" applyNumberFormat="1" applyFont="1" applyFill="1" applyBorder="1" applyAlignment="1" applyProtection="1">
      <alignment horizontal="center" vertical="center"/>
    </xf>
    <xf numFmtId="41" fontId="47" fillId="0" borderId="9" xfId="7" applyFont="1" applyBorder="1" applyAlignment="1">
      <alignment horizontal="center" vertical="center"/>
    </xf>
    <xf numFmtId="0" fontId="47" fillId="0" borderId="10" xfId="2" applyFont="1" applyFill="1" applyBorder="1" applyAlignment="1">
      <alignment horizontal="center" vertical="center"/>
    </xf>
    <xf numFmtId="41" fontId="131" fillId="0" borderId="9" xfId="7" applyFont="1" applyBorder="1" applyAlignment="1">
      <alignment horizontal="center" vertical="center"/>
    </xf>
    <xf numFmtId="0" fontId="47" fillId="4" borderId="10" xfId="2" applyFont="1" applyFill="1" applyBorder="1" applyAlignment="1">
      <alignment horizontal="center" vertical="center"/>
    </xf>
    <xf numFmtId="41" fontId="47" fillId="0" borderId="12" xfId="7" applyFont="1" applyBorder="1" applyAlignment="1">
      <alignment horizontal="center" vertical="center"/>
    </xf>
    <xf numFmtId="0" fontId="133" fillId="0" borderId="2" xfId="0" applyFont="1" applyFill="1" applyBorder="1" applyAlignment="1">
      <alignment horizontal="centerContinuous" vertical="center"/>
    </xf>
    <xf numFmtId="0" fontId="133" fillId="0" borderId="10" xfId="0" applyFont="1" applyFill="1" applyBorder="1" applyAlignment="1">
      <alignment horizontal="centerContinuous" vertical="center"/>
    </xf>
    <xf numFmtId="215" fontId="133" fillId="0" borderId="2" xfId="1" applyNumberFormat="1" applyFont="1" applyFill="1" applyBorder="1" applyAlignment="1">
      <alignment horizontal="right" vertical="center"/>
    </xf>
    <xf numFmtId="0" fontId="54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33" fillId="0" borderId="11" xfId="0" applyFont="1" applyFill="1" applyBorder="1" applyAlignment="1">
      <alignment horizontal="centerContinuous" vertical="center"/>
    </xf>
    <xf numFmtId="0" fontId="133" fillId="0" borderId="3" xfId="0" applyFont="1" applyFill="1" applyBorder="1" applyAlignment="1">
      <alignment horizontal="centerContinuous" vertical="center"/>
    </xf>
    <xf numFmtId="215" fontId="133" fillId="0" borderId="3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 wrapText="1"/>
    </xf>
    <xf numFmtId="0" fontId="133" fillId="0" borderId="4" xfId="0" applyFont="1" applyFill="1" applyBorder="1" applyAlignment="1">
      <alignment horizontal="centerContinuous" vertical="center"/>
    </xf>
    <xf numFmtId="215" fontId="133" fillId="0" borderId="4" xfId="0" applyNumberFormat="1" applyFont="1" applyFill="1" applyBorder="1" applyAlignment="1">
      <alignment horizontal="right" vertical="center"/>
    </xf>
    <xf numFmtId="0" fontId="133" fillId="0" borderId="8" xfId="0" applyFont="1" applyFill="1" applyBorder="1" applyAlignment="1">
      <alignment horizontal="center" vertical="center"/>
    </xf>
    <xf numFmtId="0" fontId="133" fillId="38" borderId="159" xfId="0" applyFont="1" applyFill="1" applyBorder="1" applyAlignment="1">
      <alignment horizontal="centerContinuous" vertical="center"/>
    </xf>
    <xf numFmtId="0" fontId="133" fillId="38" borderId="160" xfId="0" applyFont="1" applyFill="1" applyBorder="1" applyAlignment="1">
      <alignment horizontal="centerContinuous" vertical="center"/>
    </xf>
    <xf numFmtId="224" fontId="133" fillId="38" borderId="160" xfId="0" applyNumberFormat="1" applyFont="1" applyFill="1" applyBorder="1" applyAlignment="1">
      <alignment horizontal="center" vertical="center"/>
    </xf>
    <xf numFmtId="0" fontId="133" fillId="38" borderId="161" xfId="0" applyFont="1" applyFill="1" applyBorder="1" applyAlignment="1">
      <alignment horizontal="center" vertical="center"/>
    </xf>
    <xf numFmtId="0" fontId="133" fillId="0" borderId="7" xfId="0" applyFont="1" applyFill="1" applyBorder="1" applyAlignment="1">
      <alignment horizontal="centerContinuous" vertical="center" wrapText="1"/>
    </xf>
    <xf numFmtId="215" fontId="133" fillId="0" borderId="2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133" fillId="0" borderId="12" xfId="0" applyFont="1" applyBorder="1" applyAlignment="1">
      <alignment horizontal="center" vertical="center"/>
    </xf>
    <xf numFmtId="0" fontId="133" fillId="34" borderId="7" xfId="0" applyFont="1" applyFill="1" applyBorder="1" applyAlignment="1">
      <alignment horizontal="centerContinuous" vertical="center"/>
    </xf>
    <xf numFmtId="0" fontId="164" fillId="34" borderId="4" xfId="0" applyFont="1" applyFill="1" applyBorder="1" applyAlignment="1">
      <alignment horizontal="centerContinuous" vertical="center"/>
    </xf>
    <xf numFmtId="0" fontId="152" fillId="0" borderId="8" xfId="0" applyFont="1" applyBorder="1" applyAlignment="1">
      <alignment horizontal="center" vertical="center"/>
    </xf>
    <xf numFmtId="0" fontId="47" fillId="34" borderId="0" xfId="394" applyFont="1" applyFill="1" applyBorder="1" applyAlignment="1">
      <alignment horizontal="center" vertical="center"/>
    </xf>
    <xf numFmtId="0" fontId="131" fillId="34" borderId="0" xfId="394" applyFont="1" applyFill="1" applyBorder="1" applyAlignment="1">
      <alignment horizontal="center" vertical="center"/>
    </xf>
    <xf numFmtId="0" fontId="131" fillId="38" borderId="158" xfId="394" applyFont="1" applyFill="1" applyBorder="1" applyAlignment="1">
      <alignment horizontal="center" vertical="center"/>
    </xf>
    <xf numFmtId="0" fontId="131" fillId="34" borderId="158" xfId="394" applyFont="1" applyFill="1" applyBorder="1" applyAlignment="1">
      <alignment horizontal="center" vertical="center" wrapText="1"/>
    </xf>
    <xf numFmtId="0" fontId="131" fillId="34" borderId="158" xfId="394" applyFont="1" applyFill="1" applyBorder="1" applyAlignment="1">
      <alignment horizontal="center" vertical="center"/>
    </xf>
    <xf numFmtId="41" fontId="164" fillId="5" borderId="24" xfId="5" applyFont="1" applyFill="1" applyBorder="1">
      <alignment vertical="center"/>
    </xf>
    <xf numFmtId="179" fontId="164" fillId="5" borderId="24" xfId="5" applyNumberFormat="1" applyFont="1" applyFill="1" applyBorder="1">
      <alignment vertical="center"/>
    </xf>
    <xf numFmtId="41" fontId="133" fillId="34" borderId="2" xfId="5" applyFont="1" applyFill="1" applyBorder="1">
      <alignment vertical="center"/>
    </xf>
    <xf numFmtId="179" fontId="133" fillId="34" borderId="2" xfId="5" applyNumberFormat="1" applyFont="1" applyFill="1" applyBorder="1">
      <alignment vertical="center"/>
    </xf>
    <xf numFmtId="41" fontId="133" fillId="0" borderId="2" xfId="5" applyFont="1" applyFill="1" applyBorder="1">
      <alignment vertical="center"/>
    </xf>
    <xf numFmtId="179" fontId="133" fillId="0" borderId="2" xfId="5" applyNumberFormat="1" applyFont="1" applyFill="1" applyBorder="1">
      <alignment vertical="center"/>
    </xf>
    <xf numFmtId="41" fontId="133" fillId="0" borderId="3" xfId="5" applyFont="1" applyFill="1" applyBorder="1">
      <alignment vertical="center"/>
    </xf>
    <xf numFmtId="179" fontId="133" fillId="0" borderId="3" xfId="5" applyNumberFormat="1" applyFont="1" applyFill="1" applyBorder="1">
      <alignment vertical="center"/>
    </xf>
    <xf numFmtId="0" fontId="131" fillId="34" borderId="158" xfId="394" applyFont="1" applyFill="1" applyBorder="1" applyAlignment="1">
      <alignment horizontal="center" vertical="center" wrapText="1"/>
    </xf>
    <xf numFmtId="0" fontId="47" fillId="38" borderId="158" xfId="394" applyFont="1" applyFill="1" applyBorder="1" applyAlignment="1">
      <alignment horizontal="center" vertical="center"/>
    </xf>
    <xf numFmtId="0" fontId="66" fillId="0" borderId="0" xfId="394" applyFont="1" applyAlignment="1">
      <alignment vertical="top"/>
    </xf>
    <xf numFmtId="0" fontId="47" fillId="0" borderId="158" xfId="394" applyFont="1" applyFill="1" applyBorder="1" applyAlignment="1">
      <alignment horizontal="center" vertical="center" wrapText="1"/>
    </xf>
    <xf numFmtId="0" fontId="47" fillId="38" borderId="158" xfId="394" applyFont="1" applyFill="1" applyBorder="1" applyAlignment="1">
      <alignment horizontal="center" vertical="center" wrapText="1"/>
    </xf>
    <xf numFmtId="0" fontId="47" fillId="0" borderId="0" xfId="394" applyFont="1" applyFill="1" applyBorder="1" applyAlignment="1">
      <alignment horizontal="center" vertical="center" wrapText="1"/>
    </xf>
    <xf numFmtId="0" fontId="47" fillId="0" borderId="0" xfId="394" applyFont="1" applyFill="1" applyBorder="1" applyAlignment="1">
      <alignment vertical="center" wrapText="1"/>
    </xf>
    <xf numFmtId="0" fontId="131" fillId="0" borderId="0" xfId="0" applyFont="1" applyFill="1" applyBorder="1">
      <alignment vertical="center"/>
    </xf>
    <xf numFmtId="3" fontId="47" fillId="0" borderId="0" xfId="394" applyNumberFormat="1" applyFont="1" applyFill="1" applyBorder="1" applyAlignment="1">
      <alignment horizontal="center" vertical="center" wrapText="1"/>
    </xf>
    <xf numFmtId="10" fontId="47" fillId="38" borderId="158" xfId="394" quotePrefix="1" applyNumberFormat="1" applyFont="1" applyFill="1" applyBorder="1" applyAlignment="1">
      <alignment horizontal="center" vertical="center" wrapText="1"/>
    </xf>
    <xf numFmtId="0" fontId="47" fillId="0" borderId="158" xfId="394" quotePrefix="1" applyNumberFormat="1" applyFont="1" applyFill="1" applyBorder="1" applyAlignment="1">
      <alignment horizontal="center" vertical="center" wrapText="1"/>
    </xf>
    <xf numFmtId="0" fontId="47" fillId="0" borderId="158" xfId="394" applyNumberFormat="1" applyFont="1" applyFill="1" applyBorder="1" applyAlignment="1">
      <alignment horizontal="center" vertical="center" wrapText="1"/>
    </xf>
    <xf numFmtId="0" fontId="47" fillId="34" borderId="158" xfId="394" applyFont="1" applyFill="1" applyBorder="1" applyAlignment="1">
      <alignment horizontal="center" vertical="center" wrapText="1"/>
    </xf>
    <xf numFmtId="0" fontId="47" fillId="0" borderId="158" xfId="394" applyNumberFormat="1" applyFont="1" applyBorder="1" applyAlignment="1">
      <alignment horizontal="center" vertical="center" wrapText="1"/>
    </xf>
    <xf numFmtId="0" fontId="47" fillId="39" borderId="158" xfId="394" applyNumberFormat="1" applyFont="1" applyFill="1" applyBorder="1" applyAlignment="1">
      <alignment horizontal="center" vertical="center" wrapText="1"/>
    </xf>
    <xf numFmtId="0" fontId="47" fillId="0" borderId="158" xfId="394" applyNumberFormat="1" applyFont="1" applyFill="1" applyBorder="1" applyAlignment="1">
      <alignment horizontal="center" vertical="center"/>
    </xf>
    <xf numFmtId="0" fontId="47" fillId="0" borderId="158" xfId="394" applyNumberFormat="1" applyFont="1" applyBorder="1" applyAlignment="1">
      <alignment horizontal="center" vertical="center"/>
    </xf>
    <xf numFmtId="0" fontId="47" fillId="39" borderId="158" xfId="394" applyNumberFormat="1" applyFont="1" applyFill="1" applyBorder="1" applyAlignment="1">
      <alignment horizontal="center" vertical="center"/>
    </xf>
    <xf numFmtId="0" fontId="131" fillId="0" borderId="158" xfId="394" applyFont="1" applyFill="1" applyBorder="1" applyAlignment="1">
      <alignment horizontal="center" vertical="center"/>
    </xf>
    <xf numFmtId="0" fontId="131" fillId="0" borderId="158" xfId="394" applyFont="1" applyBorder="1" applyAlignment="1">
      <alignment horizontal="center" vertical="center"/>
    </xf>
    <xf numFmtId="41" fontId="179" fillId="0" borderId="0" xfId="0" applyNumberFormat="1" applyFont="1" applyAlignment="1">
      <alignment horizontal="center" vertical="center"/>
    </xf>
    <xf numFmtId="41" fontId="178" fillId="0" borderId="125" xfId="1" applyFont="1" applyBorder="1" applyAlignment="1">
      <alignment horizontal="center" vertical="center"/>
    </xf>
    <xf numFmtId="0" fontId="47" fillId="0" borderId="179" xfId="2" applyNumberFormat="1" applyFont="1" applyFill="1" applyBorder="1" applyAlignment="1">
      <alignment vertical="center"/>
    </xf>
    <xf numFmtId="0" fontId="131" fillId="0" borderId="172" xfId="0" applyFont="1" applyBorder="1" applyAlignment="1">
      <alignment horizontal="center" vertical="center"/>
    </xf>
    <xf numFmtId="250" fontId="138" fillId="0" borderId="0" xfId="0" applyNumberFormat="1" applyFont="1" applyFill="1" applyBorder="1">
      <alignment vertical="center"/>
    </xf>
    <xf numFmtId="0" fontId="151" fillId="0" borderId="172" xfId="0" applyFont="1" applyBorder="1" applyAlignment="1">
      <alignment horizontal="center" vertical="center"/>
    </xf>
    <xf numFmtId="41" fontId="131" fillId="0" borderId="0" xfId="1" applyFont="1" applyBorder="1" applyAlignment="1">
      <alignment horizontal="center" vertical="center" wrapText="1"/>
    </xf>
    <xf numFmtId="41" fontId="131" fillId="0" borderId="0" xfId="1" applyFont="1" applyBorder="1" applyAlignment="1">
      <alignment horizontal="left" vertical="center"/>
    </xf>
    <xf numFmtId="219" fontId="131" fillId="0" borderId="119" xfId="0" applyNumberFormat="1" applyFont="1" applyFill="1" applyBorder="1" applyAlignment="1">
      <alignment horizontal="right" vertical="center"/>
    </xf>
    <xf numFmtId="219" fontId="178" fillId="0" borderId="119" xfId="0" applyNumberFormat="1" applyFont="1" applyFill="1" applyBorder="1" applyAlignment="1">
      <alignment horizontal="right" vertical="center"/>
    </xf>
    <xf numFmtId="219" fontId="177" fillId="0" borderId="119" xfId="0" applyNumberFormat="1" applyFont="1" applyFill="1" applyBorder="1" applyAlignment="1">
      <alignment horizontal="right" vertical="center"/>
    </xf>
    <xf numFmtId="0" fontId="47" fillId="0" borderId="96" xfId="2" applyFont="1" applyFill="1" applyBorder="1" applyAlignment="1">
      <alignment horizontal="center" vertical="center"/>
    </xf>
    <xf numFmtId="0" fontId="47" fillId="0" borderId="97" xfId="2" applyFont="1" applyBorder="1" applyAlignment="1">
      <alignment vertical="center"/>
    </xf>
    <xf numFmtId="178" fontId="47" fillId="0" borderId="160" xfId="5" applyNumberFormat="1" applyFont="1" applyFill="1" applyBorder="1" applyAlignment="1">
      <alignment vertical="center" shrinkToFit="1"/>
    </xf>
    <xf numFmtId="0" fontId="47" fillId="0" borderId="160" xfId="2" applyFont="1" applyBorder="1" applyAlignment="1">
      <alignment vertical="center"/>
    </xf>
    <xf numFmtId="41" fontId="47" fillId="0" borderId="160" xfId="5" applyFont="1" applyBorder="1" applyAlignment="1">
      <alignment horizontal="center" vertical="center"/>
    </xf>
    <xf numFmtId="238" fontId="47" fillId="0" borderId="160" xfId="5" applyNumberFormat="1" applyFont="1" applyFill="1" applyBorder="1" applyAlignment="1">
      <alignment vertical="center" shrinkToFit="1"/>
    </xf>
    <xf numFmtId="0" fontId="47" fillId="0" borderId="160" xfId="2" applyFont="1" applyBorder="1" applyAlignment="1">
      <alignment horizontal="center" vertical="center"/>
    </xf>
    <xf numFmtId="250" fontId="165" fillId="0" borderId="4" xfId="0" applyNumberFormat="1" applyFont="1" applyFill="1" applyBorder="1">
      <alignment vertical="center"/>
    </xf>
    <xf numFmtId="215" fontId="164" fillId="0" borderId="4" xfId="0" applyNumberFormat="1" applyFont="1" applyFill="1" applyBorder="1" applyAlignment="1">
      <alignment horizontal="right" vertical="center"/>
    </xf>
    <xf numFmtId="0" fontId="47" fillId="0" borderId="172" xfId="0" applyFont="1" applyBorder="1" applyAlignment="1">
      <alignment horizontal="center" vertical="center"/>
    </xf>
    <xf numFmtId="41" fontId="131" fillId="0" borderId="172" xfId="1" applyFont="1" applyBorder="1" applyAlignment="1">
      <alignment horizontal="center" vertical="center" wrapText="1"/>
    </xf>
    <xf numFmtId="41" fontId="131" fillId="0" borderId="172" xfId="1" applyFont="1" applyBorder="1" applyAlignment="1">
      <alignment horizontal="center" vertical="center"/>
    </xf>
    <xf numFmtId="176" fontId="131" fillId="0" borderId="172" xfId="1" applyNumberFormat="1" applyFont="1" applyBorder="1" applyAlignment="1">
      <alignment horizontal="center" vertical="center"/>
    </xf>
    <xf numFmtId="41" fontId="131" fillId="0" borderId="172" xfId="1" applyFont="1" applyFill="1" applyBorder="1" applyAlignment="1">
      <alignment horizontal="center" vertical="center" wrapText="1"/>
    </xf>
    <xf numFmtId="0" fontId="137" fillId="0" borderId="0" xfId="0" applyFont="1" applyAlignment="1">
      <alignment horizontal="left" vertical="center"/>
    </xf>
    <xf numFmtId="41" fontId="131" fillId="0" borderId="0" xfId="1" applyFont="1" applyBorder="1" applyAlignment="1">
      <alignment horizontal="center" vertical="center"/>
    </xf>
    <xf numFmtId="0" fontId="151" fillId="0" borderId="0" xfId="394" applyFont="1" applyFill="1" applyBorder="1" applyAlignment="1">
      <alignment horizontal="left" vertical="center"/>
    </xf>
    <xf numFmtId="215" fontId="153" fillId="0" borderId="125" xfId="0" applyNumberFormat="1" applyFont="1" applyFill="1" applyBorder="1">
      <alignment vertical="center"/>
    </xf>
    <xf numFmtId="215" fontId="138" fillId="0" borderId="125" xfId="1" applyNumberFormat="1" applyFont="1" applyFill="1" applyBorder="1" applyAlignment="1">
      <alignment vertical="center"/>
    </xf>
    <xf numFmtId="215" fontId="47" fillId="0" borderId="125" xfId="1" applyNumberFormat="1" applyFont="1" applyBorder="1" applyAlignment="1">
      <alignment vertical="center"/>
    </xf>
    <xf numFmtId="0" fontId="131" fillId="0" borderId="172" xfId="0" applyFont="1" applyBorder="1" applyAlignment="1">
      <alignment horizontal="center" vertical="center"/>
    </xf>
    <xf numFmtId="41" fontId="151" fillId="0" borderId="172" xfId="1" applyFont="1" applyBorder="1" applyAlignment="1">
      <alignment horizontal="center" vertical="center"/>
    </xf>
    <xf numFmtId="41" fontId="131" fillId="0" borderId="125" xfId="1" applyFont="1" applyBorder="1" applyAlignment="1">
      <alignment horizontal="center" vertical="center"/>
    </xf>
    <xf numFmtId="0" fontId="131" fillId="0" borderId="0" xfId="0" applyFont="1" applyAlignment="1">
      <alignment horizontal="left" vertical="center"/>
    </xf>
    <xf numFmtId="0" fontId="151" fillId="43" borderId="172" xfId="0" applyFont="1" applyFill="1" applyBorder="1" applyAlignment="1">
      <alignment horizontal="center" vertical="center"/>
    </xf>
    <xf numFmtId="0" fontId="151" fillId="43" borderId="172" xfId="0" applyFont="1" applyFill="1" applyBorder="1" applyAlignment="1">
      <alignment horizontal="center" vertical="center" wrapText="1"/>
    </xf>
    <xf numFmtId="0" fontId="180" fillId="0" borderId="172" xfId="0" applyFont="1" applyBorder="1" applyAlignment="1">
      <alignment horizontal="center" vertical="center" wrapText="1"/>
    </xf>
    <xf numFmtId="0" fontId="131" fillId="38" borderId="172" xfId="0" applyFont="1" applyFill="1" applyBorder="1" applyAlignment="1">
      <alignment horizontal="center" vertical="center"/>
    </xf>
    <xf numFmtId="219" fontId="151" fillId="0" borderId="172" xfId="0" applyNumberFormat="1" applyFont="1" applyFill="1" applyBorder="1" applyAlignment="1">
      <alignment horizontal="right" vertical="center"/>
    </xf>
    <xf numFmtId="0" fontId="131" fillId="0" borderId="172" xfId="0" applyFont="1" applyBorder="1" applyAlignment="1">
      <alignment horizontal="right" vertical="center"/>
    </xf>
    <xf numFmtId="219" fontId="131" fillId="0" borderId="172" xfId="0" applyNumberFormat="1" applyFont="1" applyFill="1" applyBorder="1" applyAlignment="1">
      <alignment horizontal="right" vertical="center"/>
    </xf>
    <xf numFmtId="259" fontId="177" fillId="0" borderId="125" xfId="577" applyNumberFormat="1" applyFont="1" applyBorder="1" applyAlignment="1">
      <alignment horizontal="center" vertical="center"/>
    </xf>
    <xf numFmtId="0" fontId="131" fillId="0" borderId="172" xfId="0" applyFont="1" applyFill="1" applyBorder="1" applyAlignment="1">
      <alignment horizontal="center" vertical="center"/>
    </xf>
    <xf numFmtId="0" fontId="131" fillId="0" borderId="172" xfId="0" applyFont="1" applyFill="1" applyBorder="1" applyAlignment="1">
      <alignment horizontal="right" vertical="center"/>
    </xf>
    <xf numFmtId="216" fontId="131" fillId="0" borderId="172" xfId="0" applyNumberFormat="1" applyFont="1" applyFill="1" applyBorder="1" applyAlignment="1">
      <alignment horizontal="right" vertical="center"/>
    </xf>
    <xf numFmtId="41" fontId="131" fillId="0" borderId="172" xfId="1" applyFont="1" applyFill="1" applyBorder="1" applyAlignment="1">
      <alignment horizontal="right" vertical="center"/>
    </xf>
    <xf numFmtId="0" fontId="177" fillId="0" borderId="172" xfId="0" applyFont="1" applyFill="1" applyBorder="1" applyAlignment="1">
      <alignment horizontal="right" vertical="center"/>
    </xf>
    <xf numFmtId="219" fontId="177" fillId="0" borderId="172" xfId="0" applyNumberFormat="1" applyFont="1" applyFill="1" applyBorder="1" applyAlignment="1">
      <alignment horizontal="right" vertical="center"/>
    </xf>
    <xf numFmtId="250" fontId="138" fillId="0" borderId="0" xfId="0" applyNumberFormat="1" applyFont="1" applyFill="1" applyBorder="1" applyAlignment="1">
      <alignment horizontal="center" vertical="center"/>
    </xf>
    <xf numFmtId="41" fontId="151" fillId="0" borderId="172" xfId="1" applyFont="1" applyBorder="1" applyAlignment="1">
      <alignment horizontal="center" vertical="center"/>
    </xf>
    <xf numFmtId="0" fontId="135" fillId="0" borderId="20" xfId="688" applyFont="1" applyBorder="1" applyAlignment="1">
      <alignment horizontal="right"/>
    </xf>
    <xf numFmtId="0" fontId="3" fillId="0" borderId="0" xfId="688" applyFont="1">
      <alignment vertical="center"/>
    </xf>
    <xf numFmtId="0" fontId="135" fillId="0" borderId="0" xfId="688" applyFont="1" applyBorder="1" applyAlignment="1">
      <alignment vertical="center"/>
    </xf>
    <xf numFmtId="219" fontId="136" fillId="0" borderId="172" xfId="688" applyNumberFormat="1" applyFont="1" applyBorder="1" applyAlignment="1">
      <alignment horizontal="center" vertical="center"/>
    </xf>
    <xf numFmtId="219" fontId="136" fillId="0" borderId="172" xfId="688" applyNumberFormat="1" applyFont="1" applyFill="1" applyBorder="1" applyAlignment="1">
      <alignment horizontal="center" vertical="center"/>
    </xf>
    <xf numFmtId="215" fontId="136" fillId="0" borderId="172" xfId="688" applyNumberFormat="1" applyFont="1" applyBorder="1" applyAlignment="1">
      <alignment horizontal="center" vertical="center"/>
    </xf>
    <xf numFmtId="0" fontId="136" fillId="0" borderId="172" xfId="688" applyFont="1" applyBorder="1" applyAlignment="1">
      <alignment horizontal="center" vertical="center"/>
    </xf>
    <xf numFmtId="0" fontId="23" fillId="0" borderId="0" xfId="688" applyFont="1" applyFill="1" applyBorder="1">
      <alignment vertical="center"/>
    </xf>
    <xf numFmtId="0" fontId="3" fillId="0" borderId="0" xfId="688" applyFont="1" applyFill="1" applyBorder="1">
      <alignment vertical="center"/>
    </xf>
    <xf numFmtId="0" fontId="181" fillId="0" borderId="0" xfId="688" applyFont="1" applyFill="1" applyBorder="1" applyAlignment="1">
      <alignment vertical="center"/>
    </xf>
    <xf numFmtId="0" fontId="182" fillId="0" borderId="0" xfId="688" applyFont="1" applyFill="1" applyBorder="1" applyAlignment="1">
      <alignment vertical="center"/>
    </xf>
    <xf numFmtId="0" fontId="3" fillId="0" borderId="0" xfId="688" applyFont="1" applyFill="1" applyBorder="1" applyAlignment="1">
      <alignment vertical="center"/>
    </xf>
    <xf numFmtId="0" fontId="183" fillId="0" borderId="0" xfId="688" applyFont="1" applyFill="1" applyBorder="1" applyAlignment="1">
      <alignment vertical="center"/>
    </xf>
    <xf numFmtId="0" fontId="183" fillId="0" borderId="0" xfId="688" applyFont="1" applyFill="1" applyBorder="1" applyAlignment="1">
      <alignment vertical="center" wrapText="1"/>
    </xf>
    <xf numFmtId="0" fontId="183" fillId="0" borderId="0" xfId="688" applyFont="1" applyFill="1" applyBorder="1" applyAlignment="1">
      <alignment horizontal="center" vertical="center"/>
    </xf>
    <xf numFmtId="260" fontId="182" fillId="0" borderId="0" xfId="688" applyNumberFormat="1" applyFont="1" applyFill="1" applyBorder="1">
      <alignment vertical="center"/>
    </xf>
    <xf numFmtId="250" fontId="182" fillId="0" borderId="0" xfId="688" applyNumberFormat="1" applyFont="1" applyFill="1" applyBorder="1">
      <alignment vertical="center"/>
    </xf>
    <xf numFmtId="0" fontId="3" fillId="0" borderId="0" xfId="688" applyFont="1" applyBorder="1">
      <alignment vertical="center"/>
    </xf>
    <xf numFmtId="250" fontId="182" fillId="0" borderId="0" xfId="688" applyNumberFormat="1" applyFont="1" applyBorder="1">
      <alignment vertical="center"/>
    </xf>
    <xf numFmtId="0" fontId="182" fillId="0" borderId="0" xfId="343" applyFont="1" applyFill="1" applyBorder="1">
      <alignment vertical="center"/>
    </xf>
    <xf numFmtId="0" fontId="182" fillId="0" borderId="0" xfId="343" applyFont="1">
      <alignment vertical="center"/>
    </xf>
    <xf numFmtId="0" fontId="184" fillId="0" borderId="0" xfId="343" applyFont="1" applyBorder="1" applyAlignment="1">
      <alignment vertical="center"/>
    </xf>
    <xf numFmtId="0" fontId="136" fillId="0" borderId="0" xfId="343" applyFont="1" applyBorder="1" applyAlignment="1">
      <alignment vertical="center"/>
    </xf>
    <xf numFmtId="0" fontId="182" fillId="0" borderId="0" xfId="343" applyFont="1" applyBorder="1">
      <alignment vertical="center"/>
    </xf>
    <xf numFmtId="0" fontId="182" fillId="0" borderId="0" xfId="343" applyFont="1" applyBorder="1" applyAlignment="1">
      <alignment vertical="center"/>
    </xf>
    <xf numFmtId="0" fontId="185" fillId="0" borderId="0" xfId="343" applyFont="1" applyBorder="1" applyAlignment="1">
      <alignment vertical="center"/>
    </xf>
    <xf numFmtId="0" fontId="185" fillId="0" borderId="0" xfId="343" applyFont="1" applyBorder="1" applyAlignment="1">
      <alignment horizontal="center" vertical="center"/>
    </xf>
    <xf numFmtId="250" fontId="182" fillId="0" borderId="0" xfId="343" applyNumberFormat="1" applyFont="1" applyBorder="1">
      <alignment vertical="center"/>
    </xf>
    <xf numFmtId="216" fontId="136" fillId="0" borderId="172" xfId="688" applyNumberFormat="1" applyFont="1" applyBorder="1" applyAlignment="1">
      <alignment horizontal="center" vertical="center"/>
    </xf>
    <xf numFmtId="0" fontId="136" fillId="0" borderId="172" xfId="688" applyFont="1" applyBorder="1">
      <alignment vertical="center"/>
    </xf>
    <xf numFmtId="0" fontId="3" fillId="0" borderId="0" xfId="688" applyFont="1" applyAlignment="1">
      <alignment horizontal="center" vertical="center"/>
    </xf>
    <xf numFmtId="219" fontId="3" fillId="0" borderId="0" xfId="688" applyNumberFormat="1" applyFont="1" applyAlignment="1">
      <alignment horizontal="center" vertical="center"/>
    </xf>
    <xf numFmtId="216" fontId="3" fillId="0" borderId="0" xfId="688" applyNumberFormat="1" applyFont="1">
      <alignment vertical="center"/>
    </xf>
    <xf numFmtId="0" fontId="182" fillId="0" borderId="0" xfId="343" applyFont="1" applyBorder="1" applyAlignment="1">
      <alignment vertical="center" wrapText="1"/>
    </xf>
    <xf numFmtId="0" fontId="186" fillId="0" borderId="0" xfId="343" applyFont="1" applyBorder="1" applyAlignment="1">
      <alignment vertical="center" wrapText="1"/>
    </xf>
    <xf numFmtId="0" fontId="186" fillId="0" borderId="0" xfId="343" applyFont="1" applyBorder="1" applyAlignment="1">
      <alignment vertical="center"/>
    </xf>
    <xf numFmtId="0" fontId="187" fillId="0" borderId="0" xfId="343" applyFont="1" applyBorder="1" applyAlignment="1">
      <alignment vertical="center"/>
    </xf>
    <xf numFmtId="250" fontId="186" fillId="0" borderId="0" xfId="343" applyNumberFormat="1" applyFont="1" applyBorder="1">
      <alignment vertical="center"/>
    </xf>
    <xf numFmtId="0" fontId="186" fillId="0" borderId="0" xfId="343" applyFont="1" applyBorder="1" applyAlignment="1">
      <alignment horizontal="center" vertical="center"/>
    </xf>
    <xf numFmtId="0" fontId="182" fillId="0" borderId="0" xfId="343" applyFont="1" applyBorder="1" applyAlignment="1">
      <alignment horizontal="center" vertical="center"/>
    </xf>
    <xf numFmtId="0" fontId="3" fillId="0" borderId="0" xfId="688">
      <alignment vertical="center"/>
    </xf>
    <xf numFmtId="216" fontId="182" fillId="0" borderId="0" xfId="343" applyNumberFormat="1" applyFont="1" applyBorder="1" applyAlignment="1">
      <alignment vertical="center"/>
    </xf>
    <xf numFmtId="216" fontId="136" fillId="0" borderId="0" xfId="343" applyNumberFormat="1" applyFont="1" applyBorder="1" applyAlignment="1">
      <alignment vertical="center"/>
    </xf>
    <xf numFmtId="0" fontId="136" fillId="0" borderId="0" xfId="688" applyFont="1">
      <alignment vertical="center"/>
    </xf>
    <xf numFmtId="0" fontId="23" fillId="0" borderId="0" xfId="688" applyFont="1" applyFill="1" applyBorder="1" applyAlignment="1">
      <alignment vertical="center"/>
    </xf>
    <xf numFmtId="0" fontId="3" fillId="0" borderId="172" xfId="688" applyBorder="1">
      <alignment vertical="center"/>
    </xf>
    <xf numFmtId="221" fontId="3" fillId="0" borderId="172" xfId="688" applyNumberFormat="1" applyFont="1" applyBorder="1">
      <alignment vertical="center"/>
    </xf>
    <xf numFmtId="0" fontId="3" fillId="0" borderId="172" xfId="688" applyFont="1" applyBorder="1">
      <alignment vertical="center"/>
    </xf>
    <xf numFmtId="221" fontId="3" fillId="0" borderId="118" xfId="688" applyNumberFormat="1" applyFont="1" applyFill="1" applyBorder="1">
      <alignment vertical="center"/>
    </xf>
    <xf numFmtId="219" fontId="3" fillId="0" borderId="0" xfId="688" applyNumberFormat="1" applyFont="1">
      <alignment vertical="center"/>
    </xf>
    <xf numFmtId="221" fontId="3" fillId="0" borderId="0" xfId="688" applyNumberFormat="1" applyFont="1">
      <alignment vertical="center"/>
    </xf>
    <xf numFmtId="0" fontId="2" fillId="0" borderId="172" xfId="688" applyFont="1" applyBorder="1" applyAlignment="1">
      <alignment horizontal="center" vertical="center"/>
    </xf>
    <xf numFmtId="216" fontId="3" fillId="0" borderId="172" xfId="688" applyNumberFormat="1" applyFont="1" applyBorder="1" applyAlignment="1">
      <alignment horizontal="center" vertical="center"/>
    </xf>
    <xf numFmtId="216" fontId="2" fillId="0" borderId="172" xfId="688" applyNumberFormat="1" applyFont="1" applyBorder="1" applyAlignment="1">
      <alignment horizontal="center" vertical="center"/>
    </xf>
    <xf numFmtId="0" fontId="3" fillId="0" borderId="172" xfId="688" applyFont="1" applyBorder="1" applyAlignment="1">
      <alignment horizontal="center" vertical="center"/>
    </xf>
    <xf numFmtId="0" fontId="133" fillId="0" borderId="10" xfId="7" applyNumberFormat="1" applyFont="1" applyFill="1" applyBorder="1" applyAlignment="1" applyProtection="1">
      <alignment horizontal="center" vertical="center"/>
    </xf>
    <xf numFmtId="0" fontId="133" fillId="0" borderId="2" xfId="7" applyNumberFormat="1" applyFont="1" applyFill="1" applyBorder="1" applyAlignment="1" applyProtection="1">
      <alignment horizontal="center" vertical="center"/>
    </xf>
    <xf numFmtId="0" fontId="133" fillId="0" borderId="11" xfId="2" applyFont="1" applyFill="1" applyBorder="1" applyAlignment="1">
      <alignment horizontal="center" vertical="center"/>
    </xf>
    <xf numFmtId="0" fontId="133" fillId="0" borderId="3" xfId="2" applyFont="1" applyFill="1" applyBorder="1" applyAlignment="1">
      <alignment horizontal="center" vertical="center"/>
    </xf>
    <xf numFmtId="49" fontId="154" fillId="39" borderId="119" xfId="0" applyNumberFormat="1" applyFont="1" applyFill="1" applyBorder="1" applyAlignment="1">
      <alignment horizontal="center" vertical="center" wrapText="1"/>
    </xf>
    <xf numFmtId="49" fontId="154" fillId="39" borderId="24" xfId="0" applyNumberFormat="1" applyFont="1" applyFill="1" applyBorder="1" applyAlignment="1">
      <alignment horizontal="center" vertical="center" wrapText="1"/>
    </xf>
    <xf numFmtId="49" fontId="154" fillId="39" borderId="2" xfId="0" applyNumberFormat="1" applyFont="1" applyFill="1" applyBorder="1" applyAlignment="1">
      <alignment horizontal="center" vertical="center" wrapText="1"/>
    </xf>
    <xf numFmtId="49" fontId="154" fillId="39" borderId="25" xfId="0" applyNumberFormat="1" applyFont="1" applyFill="1" applyBorder="1" applyAlignment="1">
      <alignment horizontal="center" vertical="center" wrapText="1"/>
    </xf>
    <xf numFmtId="49" fontId="154" fillId="39" borderId="9" xfId="0" applyNumberFormat="1" applyFont="1" applyFill="1" applyBorder="1" applyAlignment="1">
      <alignment horizontal="center" vertical="center" wrapText="1"/>
    </xf>
    <xf numFmtId="41" fontId="157" fillId="38" borderId="132" xfId="1" applyFont="1" applyFill="1" applyBorder="1" applyAlignment="1">
      <alignment horizontal="center" vertical="center"/>
    </xf>
    <xf numFmtId="41" fontId="157" fillId="38" borderId="133" xfId="1" applyFont="1" applyFill="1" applyBorder="1" applyAlignment="1">
      <alignment horizontal="center" vertical="center"/>
    </xf>
    <xf numFmtId="41" fontId="157" fillId="0" borderId="132" xfId="1" applyFont="1" applyFill="1" applyBorder="1" applyAlignment="1">
      <alignment horizontal="center" vertical="center"/>
    </xf>
    <xf numFmtId="41" fontId="157" fillId="0" borderId="133" xfId="1" applyFont="1" applyFill="1" applyBorder="1" applyAlignment="1">
      <alignment horizontal="center" vertical="center"/>
    </xf>
    <xf numFmtId="41" fontId="20" fillId="0" borderId="125" xfId="1" applyFont="1" applyFill="1" applyBorder="1" applyAlignment="1">
      <alignment horizontal="center" vertical="center"/>
    </xf>
    <xf numFmtId="49" fontId="154" fillId="39" borderId="23" xfId="0" applyNumberFormat="1" applyFont="1" applyFill="1" applyBorder="1" applyAlignment="1">
      <alignment horizontal="center" vertical="center" wrapText="1"/>
    </xf>
    <xf numFmtId="49" fontId="154" fillId="39" borderId="10" xfId="0" applyNumberFormat="1" applyFont="1" applyFill="1" applyBorder="1" applyAlignment="1">
      <alignment horizontal="center" vertical="center" wrapText="1"/>
    </xf>
    <xf numFmtId="0" fontId="152" fillId="39" borderId="23" xfId="2" applyFont="1" applyFill="1" applyBorder="1" applyAlignment="1">
      <alignment horizontal="distributed" vertical="center" indent="1"/>
    </xf>
    <xf numFmtId="0" fontId="152" fillId="39" borderId="155" xfId="2" applyFont="1" applyFill="1" applyBorder="1" applyAlignment="1">
      <alignment horizontal="distributed" vertical="center" indent="1"/>
    </xf>
    <xf numFmtId="0" fontId="152" fillId="39" borderId="24" xfId="2" applyFont="1" applyFill="1" applyBorder="1" applyAlignment="1">
      <alignment horizontal="center" vertical="center"/>
    </xf>
    <xf numFmtId="0" fontId="152" fillId="39" borderId="156" xfId="2" applyFont="1" applyFill="1" applyBorder="1" applyAlignment="1">
      <alignment horizontal="center" vertical="center"/>
    </xf>
    <xf numFmtId="0" fontId="152" fillId="39" borderId="92" xfId="2" applyFont="1" applyFill="1" applyBorder="1" applyAlignment="1">
      <alignment horizontal="center" vertical="center"/>
    </xf>
    <xf numFmtId="0" fontId="152" fillId="39" borderId="31" xfId="2" applyFont="1" applyFill="1" applyBorder="1" applyAlignment="1">
      <alignment horizontal="center" vertical="center"/>
    </xf>
    <xf numFmtId="0" fontId="152" fillId="39" borderId="25" xfId="2" applyFont="1" applyFill="1" applyBorder="1" applyAlignment="1">
      <alignment horizontal="center" vertical="center"/>
    </xf>
    <xf numFmtId="0" fontId="152" fillId="39" borderId="157" xfId="2" applyFont="1" applyFill="1" applyBorder="1" applyAlignment="1">
      <alignment horizontal="center" vertical="center"/>
    </xf>
    <xf numFmtId="0" fontId="152" fillId="39" borderId="92" xfId="2" applyFont="1" applyFill="1" applyBorder="1" applyAlignment="1">
      <alignment horizontal="center" vertical="center" wrapText="1"/>
    </xf>
    <xf numFmtId="0" fontId="152" fillId="39" borderId="31" xfId="2" applyFont="1" applyFill="1" applyBorder="1" applyAlignment="1">
      <alignment horizontal="center" vertical="center" wrapText="1"/>
    </xf>
    <xf numFmtId="0" fontId="133" fillId="39" borderId="24" xfId="188" applyFont="1" applyFill="1" applyBorder="1" applyAlignment="1">
      <alignment horizontal="center" vertical="center"/>
    </xf>
    <xf numFmtId="0" fontId="133" fillId="39" borderId="2" xfId="188" applyFont="1" applyFill="1" applyBorder="1" applyAlignment="1">
      <alignment horizontal="center" vertical="center"/>
    </xf>
    <xf numFmtId="0" fontId="133" fillId="39" borderId="23" xfId="188" applyFont="1" applyFill="1" applyBorder="1" applyAlignment="1">
      <alignment horizontal="center" vertical="center"/>
    </xf>
    <xf numFmtId="0" fontId="133" fillId="39" borderId="10" xfId="188" applyFont="1" applyFill="1" applyBorder="1" applyAlignment="1">
      <alignment horizontal="center" vertical="center"/>
    </xf>
    <xf numFmtId="217" fontId="133" fillId="39" borderId="25" xfId="188" applyNumberFormat="1" applyFont="1" applyFill="1" applyBorder="1" applyAlignment="1">
      <alignment horizontal="center" vertical="center"/>
    </xf>
    <xf numFmtId="217" fontId="133" fillId="39" borderId="9" xfId="188" applyNumberFormat="1" applyFont="1" applyFill="1" applyBorder="1" applyAlignment="1">
      <alignment horizontal="center" vertical="center"/>
    </xf>
    <xf numFmtId="0" fontId="133" fillId="0" borderId="11" xfId="188" applyFont="1" applyBorder="1" applyAlignment="1">
      <alignment horizontal="center" vertical="center"/>
    </xf>
    <xf numFmtId="0" fontId="133" fillId="0" borderId="3" xfId="188" applyFont="1" applyBorder="1" applyAlignment="1">
      <alignment horizontal="center" vertical="center"/>
    </xf>
    <xf numFmtId="0" fontId="133" fillId="0" borderId="10" xfId="188" applyFont="1" applyBorder="1" applyAlignment="1">
      <alignment horizontal="center" vertical="center"/>
    </xf>
    <xf numFmtId="0" fontId="133" fillId="0" borderId="2" xfId="188" applyFont="1" applyBorder="1" applyAlignment="1">
      <alignment horizontal="center" vertical="center"/>
    </xf>
    <xf numFmtId="0" fontId="47" fillId="0" borderId="93" xfId="2" applyFont="1" applyFill="1" applyBorder="1" applyAlignment="1">
      <alignment horizontal="center" vertical="center"/>
    </xf>
    <xf numFmtId="0" fontId="47" fillId="0" borderId="100" xfId="2" applyFont="1" applyFill="1" applyBorder="1" applyAlignment="1">
      <alignment horizontal="center" vertical="center"/>
    </xf>
    <xf numFmtId="0" fontId="47" fillId="0" borderId="104" xfId="2" applyFont="1" applyFill="1" applyBorder="1" applyAlignment="1">
      <alignment horizontal="center" vertical="center"/>
    </xf>
    <xf numFmtId="0" fontId="47" fillId="0" borderId="20" xfId="2" applyFont="1" applyFill="1" applyBorder="1" applyAlignment="1">
      <alignment horizontal="center" vertical="center"/>
    </xf>
    <xf numFmtId="0" fontId="47" fillId="0" borderId="95" xfId="2" applyFont="1" applyFill="1" applyBorder="1" applyAlignment="1">
      <alignment horizontal="center" vertical="center"/>
    </xf>
    <xf numFmtId="0" fontId="47" fillId="0" borderId="56" xfId="2" applyFont="1" applyFill="1" applyBorder="1" applyAlignment="1">
      <alignment horizontal="center" vertical="center"/>
    </xf>
    <xf numFmtId="0" fontId="128" fillId="0" borderId="20" xfId="331" applyFont="1" applyFill="1" applyBorder="1" applyAlignment="1">
      <alignment horizontal="left" vertical="center"/>
    </xf>
    <xf numFmtId="0" fontId="129" fillId="39" borderId="153" xfId="2" applyFont="1" applyFill="1" applyBorder="1" applyAlignment="1">
      <alignment horizontal="center" vertical="center"/>
    </xf>
    <xf numFmtId="0" fontId="129" fillId="39" borderId="180" xfId="2" applyFont="1" applyFill="1" applyBorder="1" applyAlignment="1">
      <alignment horizontal="center" vertical="center"/>
    </xf>
    <xf numFmtId="0" fontId="47" fillId="0" borderId="159" xfId="2" applyFont="1" applyFill="1" applyBorder="1" applyAlignment="1">
      <alignment horizontal="center" vertical="center"/>
    </xf>
    <xf numFmtId="0" fontId="47" fillId="0" borderId="160" xfId="2" applyFont="1" applyFill="1" applyBorder="1" applyAlignment="1">
      <alignment horizontal="center" vertical="center"/>
    </xf>
    <xf numFmtId="0" fontId="47" fillId="0" borderId="153" xfId="2" applyFont="1" applyBorder="1" applyAlignment="1">
      <alignment horizontal="center" vertical="center" wrapText="1"/>
    </xf>
    <xf numFmtId="0" fontId="47" fillId="0" borderId="180" xfId="2" applyFont="1" applyBorder="1" applyAlignment="1">
      <alignment horizontal="center" vertical="center" wrapText="1"/>
    </xf>
    <xf numFmtId="0" fontId="47" fillId="0" borderId="30" xfId="2" applyFont="1" applyBorder="1" applyAlignment="1">
      <alignment horizontal="center" vertical="center" wrapText="1"/>
    </xf>
    <xf numFmtId="0" fontId="47" fillId="0" borderId="28" xfId="2" applyFont="1" applyBorder="1" applyAlignment="1">
      <alignment horizontal="center" vertical="center" wrapText="1"/>
    </xf>
    <xf numFmtId="0" fontId="47" fillId="0" borderId="99" xfId="2" applyFont="1" applyBorder="1" applyAlignment="1">
      <alignment horizontal="center" vertical="center" wrapText="1"/>
    </xf>
    <xf numFmtId="0" fontId="47" fillId="0" borderId="56" xfId="2" applyFont="1" applyBorder="1" applyAlignment="1">
      <alignment horizontal="center" vertical="center" wrapText="1"/>
    </xf>
    <xf numFmtId="0" fontId="47" fillId="0" borderId="94" xfId="2" applyFont="1" applyFill="1" applyBorder="1" applyAlignment="1">
      <alignment horizontal="center" vertical="center"/>
    </xf>
    <xf numFmtId="0" fontId="47" fillId="0" borderId="101" xfId="2" applyFont="1" applyFill="1" applyBorder="1" applyAlignment="1">
      <alignment horizontal="center" vertical="center"/>
    </xf>
    <xf numFmtId="215" fontId="129" fillId="39" borderId="23" xfId="189" applyNumberFormat="1" applyFont="1" applyFill="1" applyBorder="1" applyAlignment="1">
      <alignment horizontal="center" vertical="center"/>
    </xf>
    <xf numFmtId="215" fontId="129" fillId="39" borderId="11" xfId="189" applyNumberFormat="1" applyFont="1" applyFill="1" applyBorder="1" applyAlignment="1">
      <alignment horizontal="center" vertical="center"/>
    </xf>
    <xf numFmtId="218" fontId="129" fillId="39" borderId="25" xfId="189" applyNumberFormat="1" applyFont="1" applyFill="1" applyBorder="1" applyAlignment="1">
      <alignment horizontal="center" vertical="center" wrapText="1"/>
    </xf>
    <xf numFmtId="218" fontId="129" fillId="39" borderId="12" xfId="189" applyNumberFormat="1" applyFont="1" applyFill="1" applyBorder="1" applyAlignment="1">
      <alignment horizontal="center" vertical="center" wrapText="1"/>
    </xf>
    <xf numFmtId="0" fontId="129" fillId="39" borderId="24" xfId="189" applyNumberFormat="1" applyFont="1" applyFill="1" applyBorder="1" applyAlignment="1">
      <alignment horizontal="center" vertical="center" wrapText="1"/>
    </xf>
    <xf numFmtId="0" fontId="66" fillId="30" borderId="24" xfId="0" applyFont="1" applyFill="1" applyBorder="1" applyAlignment="1">
      <alignment horizontal="center" vertical="center"/>
    </xf>
    <xf numFmtId="0" fontId="66" fillId="30" borderId="23" xfId="0" applyFont="1" applyFill="1" applyBorder="1" applyAlignment="1">
      <alignment horizontal="center" vertical="center"/>
    </xf>
    <xf numFmtId="0" fontId="66" fillId="30" borderId="11" xfId="0" applyFont="1" applyFill="1" applyBorder="1" applyAlignment="1">
      <alignment horizontal="center" vertical="center"/>
    </xf>
    <xf numFmtId="227" fontId="66" fillId="30" borderId="24" xfId="0" applyNumberFormat="1" applyFont="1" applyFill="1" applyBorder="1" applyAlignment="1">
      <alignment horizontal="center" vertical="center"/>
    </xf>
    <xf numFmtId="226" fontId="66" fillId="30" borderId="24" xfId="0" applyNumberFormat="1" applyFont="1" applyFill="1" applyBorder="1" applyAlignment="1">
      <alignment horizontal="center" vertical="center"/>
    </xf>
    <xf numFmtId="224" fontId="66" fillId="30" borderId="23" xfId="0" applyNumberFormat="1" applyFont="1" applyFill="1" applyBorder="1" applyAlignment="1">
      <alignment horizontal="center" vertical="center"/>
    </xf>
    <xf numFmtId="224" fontId="66" fillId="30" borderId="24" xfId="0" applyNumberFormat="1" applyFont="1" applyFill="1" applyBorder="1" applyAlignment="1">
      <alignment horizontal="center" vertical="center"/>
    </xf>
    <xf numFmtId="224" fontId="66" fillId="30" borderId="25" xfId="0" applyNumberFormat="1" applyFont="1" applyFill="1" applyBorder="1" applyAlignment="1">
      <alignment horizontal="center" vertical="center"/>
    </xf>
    <xf numFmtId="0" fontId="66" fillId="30" borderId="27" xfId="0" applyFont="1" applyFill="1" applyBorder="1" applyAlignment="1">
      <alignment horizontal="center" vertical="center"/>
    </xf>
    <xf numFmtId="225" fontId="66" fillId="30" borderId="24" xfId="0" applyNumberFormat="1" applyFont="1" applyFill="1" applyBorder="1" applyAlignment="1">
      <alignment horizontal="center" vertical="center"/>
    </xf>
    <xf numFmtId="0" fontId="147" fillId="0" borderId="20" xfId="3" applyFont="1" applyBorder="1" applyAlignment="1">
      <alignment horizontal="left" vertical="center"/>
    </xf>
    <xf numFmtId="0" fontId="162" fillId="41" borderId="124" xfId="329" applyFont="1" applyFill="1" applyBorder="1" applyAlignment="1">
      <alignment horizontal="center" vertical="center"/>
    </xf>
    <xf numFmtId="0" fontId="162" fillId="41" borderId="118" xfId="329" applyFont="1" applyFill="1" applyBorder="1" applyAlignment="1">
      <alignment horizontal="center" vertical="center"/>
    </xf>
    <xf numFmtId="0" fontId="162" fillId="41" borderId="22" xfId="329" applyFont="1" applyFill="1" applyBorder="1" applyAlignment="1">
      <alignment horizontal="center" vertical="center"/>
    </xf>
    <xf numFmtId="0" fontId="162" fillId="36" borderId="119" xfId="329" applyFont="1" applyFill="1" applyBorder="1" applyAlignment="1">
      <alignment horizontal="center" vertical="center"/>
    </xf>
    <xf numFmtId="0" fontId="162" fillId="40" borderId="119" xfId="329" applyFont="1" applyFill="1" applyBorder="1" applyAlignment="1">
      <alignment horizontal="center" vertical="center"/>
    </xf>
    <xf numFmtId="41" fontId="131" fillId="0" borderId="172" xfId="1" applyFont="1" applyBorder="1" applyAlignment="1">
      <alignment horizontal="center" vertical="center" wrapText="1"/>
    </xf>
    <xf numFmtId="0" fontId="151" fillId="43" borderId="172" xfId="0" applyFont="1" applyFill="1" applyBorder="1" applyAlignment="1">
      <alignment horizontal="center" vertical="center"/>
    </xf>
    <xf numFmtId="0" fontId="131" fillId="0" borderId="172" xfId="0" applyFont="1" applyBorder="1" applyAlignment="1">
      <alignment horizontal="center" vertical="center"/>
    </xf>
    <xf numFmtId="41" fontId="151" fillId="0" borderId="172" xfId="1" applyFont="1" applyBorder="1" applyAlignment="1">
      <alignment horizontal="center" vertical="center"/>
    </xf>
    <xf numFmtId="0" fontId="131" fillId="0" borderId="172" xfId="0" applyFont="1" applyBorder="1" applyAlignment="1">
      <alignment horizontal="center" vertical="center" wrapText="1"/>
    </xf>
    <xf numFmtId="0" fontId="47" fillId="38" borderId="158" xfId="394" applyFont="1" applyFill="1" applyBorder="1" applyAlignment="1">
      <alignment horizontal="center" vertical="center" wrapText="1"/>
    </xf>
    <xf numFmtId="0" fontId="131" fillId="34" borderId="158" xfId="394" applyFont="1" applyFill="1" applyBorder="1" applyAlignment="1">
      <alignment horizontal="center" vertical="center" wrapText="1"/>
    </xf>
    <xf numFmtId="0" fontId="47" fillId="38" borderId="158" xfId="394" applyFont="1" applyFill="1" applyBorder="1" applyAlignment="1">
      <alignment horizontal="center" vertical="center"/>
    </xf>
    <xf numFmtId="0" fontId="131" fillId="38" borderId="134" xfId="394" applyFont="1" applyFill="1" applyBorder="1" applyAlignment="1">
      <alignment horizontal="center" vertical="center"/>
    </xf>
    <xf numFmtId="0" fontId="131" fillId="38" borderId="133" xfId="394" applyFont="1" applyFill="1" applyBorder="1" applyAlignment="1">
      <alignment horizontal="center" vertical="center"/>
    </xf>
    <xf numFmtId="0" fontId="47" fillId="38" borderId="162" xfId="394" applyFont="1" applyFill="1" applyBorder="1" applyAlignment="1">
      <alignment horizontal="center" vertical="center"/>
    </xf>
    <xf numFmtId="0" fontId="47" fillId="38" borderId="163" xfId="394" applyFont="1" applyFill="1" applyBorder="1" applyAlignment="1">
      <alignment horizontal="center" vertical="center"/>
    </xf>
    <xf numFmtId="0" fontId="136" fillId="0" borderId="172" xfId="688" applyFont="1" applyBorder="1" applyAlignment="1">
      <alignment horizontal="center" vertical="center"/>
    </xf>
    <xf numFmtId="0" fontId="135" fillId="0" borderId="20" xfId="688" applyFont="1" applyBorder="1" applyAlignment="1">
      <alignment horizontal="center" vertical="center"/>
    </xf>
    <xf numFmtId="0" fontId="135" fillId="0" borderId="20" xfId="688" applyFont="1" applyBorder="1" applyAlignment="1">
      <alignment horizontal="center"/>
    </xf>
    <xf numFmtId="219" fontId="136" fillId="0" borderId="172" xfId="688" applyNumberFormat="1" applyFont="1" applyBorder="1" applyAlignment="1">
      <alignment horizontal="center" vertical="center"/>
    </xf>
    <xf numFmtId="0" fontId="177" fillId="0" borderId="129" xfId="0" applyFont="1" applyFill="1" applyBorder="1" applyAlignment="1">
      <alignment horizontal="center" vertical="center"/>
    </xf>
    <xf numFmtId="0" fontId="177" fillId="0" borderId="95" xfId="0" applyFont="1" applyFill="1" applyBorder="1" applyAlignment="1">
      <alignment horizontal="center" vertical="center"/>
    </xf>
    <xf numFmtId="0" fontId="131" fillId="38" borderId="172" xfId="0" applyFont="1" applyFill="1" applyBorder="1" applyAlignment="1">
      <alignment horizontal="center" vertical="center"/>
    </xf>
    <xf numFmtId="216" fontId="131" fillId="0" borderId="172" xfId="0" quotePrefix="1" applyNumberFormat="1" applyFont="1" applyFill="1" applyBorder="1" applyAlignment="1">
      <alignment horizontal="center" vertical="center"/>
    </xf>
    <xf numFmtId="216" fontId="131" fillId="0" borderId="172" xfId="0" applyNumberFormat="1" applyFont="1" applyFill="1" applyBorder="1" applyAlignment="1">
      <alignment horizontal="center" vertical="center"/>
    </xf>
    <xf numFmtId="219" fontId="131" fillId="0" borderId="172" xfId="0" quotePrefix="1" applyNumberFormat="1" applyFont="1" applyFill="1" applyBorder="1" applyAlignment="1">
      <alignment horizontal="center" vertical="center"/>
    </xf>
    <xf numFmtId="219" fontId="131" fillId="0" borderId="172" xfId="0" applyNumberFormat="1" applyFont="1" applyFill="1" applyBorder="1" applyAlignment="1">
      <alignment horizontal="center" vertical="center"/>
    </xf>
    <xf numFmtId="219" fontId="177" fillId="0" borderId="129" xfId="0" applyNumberFormat="1" applyFont="1" applyFill="1" applyBorder="1" applyAlignment="1">
      <alignment horizontal="center" vertical="center"/>
    </xf>
    <xf numFmtId="219" fontId="177" fillId="0" borderId="95" xfId="0" applyNumberFormat="1" applyFont="1" applyFill="1" applyBorder="1" applyAlignment="1">
      <alignment horizontal="center" vertical="center"/>
    </xf>
    <xf numFmtId="0" fontId="131" fillId="0" borderId="172" xfId="0" applyFont="1" applyFill="1" applyBorder="1" applyAlignment="1">
      <alignment horizontal="center" vertical="center"/>
    </xf>
    <xf numFmtId="0" fontId="131" fillId="0" borderId="129" xfId="0" applyFont="1" applyFill="1" applyBorder="1" applyAlignment="1">
      <alignment horizontal="center" vertical="center"/>
    </xf>
    <xf numFmtId="0" fontId="131" fillId="0" borderId="95" xfId="0" applyFont="1" applyFill="1" applyBorder="1" applyAlignment="1">
      <alignment horizontal="center" vertical="center"/>
    </xf>
    <xf numFmtId="219" fontId="178" fillId="0" borderId="129" xfId="0" applyNumberFormat="1" applyFont="1" applyFill="1" applyBorder="1" applyAlignment="1">
      <alignment horizontal="center" vertical="center"/>
    </xf>
    <xf numFmtId="219" fontId="178" fillId="0" borderId="95" xfId="0" applyNumberFormat="1" applyFont="1" applyFill="1" applyBorder="1" applyAlignment="1">
      <alignment horizontal="center" vertical="center"/>
    </xf>
    <xf numFmtId="219" fontId="131" fillId="0" borderId="129" xfId="0" applyNumberFormat="1" applyFont="1" applyFill="1" applyBorder="1" applyAlignment="1">
      <alignment horizontal="center" vertical="center"/>
    </xf>
    <xf numFmtId="219" fontId="131" fillId="0" borderId="95" xfId="0" applyNumberFormat="1" applyFont="1" applyFill="1" applyBorder="1" applyAlignment="1">
      <alignment horizontal="center" vertical="center"/>
    </xf>
    <xf numFmtId="219" fontId="177" fillId="0" borderId="172" xfId="0" applyNumberFormat="1" applyFont="1" applyFill="1" applyBorder="1" applyAlignment="1">
      <alignment horizontal="center" vertical="center"/>
    </xf>
    <xf numFmtId="216" fontId="131" fillId="0" borderId="119" xfId="0" quotePrefix="1" applyNumberFormat="1" applyFont="1" applyFill="1" applyBorder="1" applyAlignment="1">
      <alignment horizontal="center" vertical="center"/>
    </xf>
    <xf numFmtId="216" fontId="131" fillId="0" borderId="119" xfId="0" applyNumberFormat="1" applyFont="1" applyFill="1" applyBorder="1" applyAlignment="1">
      <alignment horizontal="center" vertical="center"/>
    </xf>
    <xf numFmtId="219" fontId="131" fillId="0" borderId="119" xfId="0" quotePrefix="1" applyNumberFormat="1" applyFont="1" applyFill="1" applyBorder="1" applyAlignment="1">
      <alignment horizontal="center" vertical="center"/>
    </xf>
    <xf numFmtId="219" fontId="131" fillId="0" borderId="119" xfId="0" applyNumberFormat="1" applyFont="1" applyFill="1" applyBorder="1" applyAlignment="1">
      <alignment horizontal="center" vertical="center"/>
    </xf>
    <xf numFmtId="0" fontId="178" fillId="0" borderId="129" xfId="0" applyFont="1" applyFill="1" applyBorder="1" applyAlignment="1">
      <alignment horizontal="center" vertical="center"/>
    </xf>
    <xf numFmtId="0" fontId="178" fillId="0" borderId="95" xfId="0" applyFont="1" applyFill="1" applyBorder="1" applyAlignment="1">
      <alignment horizontal="center" vertical="center"/>
    </xf>
    <xf numFmtId="0" fontId="177" fillId="0" borderId="172" xfId="0" applyFont="1" applyFill="1" applyBorder="1" applyAlignment="1">
      <alignment horizontal="center" vertical="center"/>
    </xf>
    <xf numFmtId="0" fontId="131" fillId="0" borderId="119" xfId="0" applyFont="1" applyFill="1" applyBorder="1" applyAlignment="1">
      <alignment horizontal="center" vertical="center"/>
    </xf>
    <xf numFmtId="0" fontId="131" fillId="38" borderId="119" xfId="0" applyFont="1" applyFill="1" applyBorder="1" applyAlignment="1">
      <alignment horizontal="center" vertical="center"/>
    </xf>
    <xf numFmtId="0" fontId="151" fillId="0" borderId="119" xfId="0" applyFont="1" applyFill="1" applyBorder="1" applyAlignment="1">
      <alignment horizontal="center" vertical="center"/>
    </xf>
    <xf numFmtId="0" fontId="131" fillId="0" borderId="119" xfId="2" applyFont="1" applyFill="1" applyBorder="1" applyAlignment="1">
      <alignment horizontal="center" vertical="center"/>
    </xf>
    <xf numFmtId="0" fontId="151" fillId="34" borderId="119" xfId="0" applyFont="1" applyFill="1" applyBorder="1" applyAlignment="1">
      <alignment horizontal="center" vertical="center"/>
    </xf>
    <xf numFmtId="0" fontId="131" fillId="0" borderId="119" xfId="7" applyNumberFormat="1" applyFont="1" applyFill="1" applyBorder="1" applyAlignment="1" applyProtection="1">
      <alignment horizontal="center" vertical="center"/>
    </xf>
    <xf numFmtId="0" fontId="131" fillId="4" borderId="119" xfId="2" applyFont="1" applyFill="1" applyBorder="1" applyAlignment="1">
      <alignment horizontal="center" vertical="center"/>
    </xf>
    <xf numFmtId="0" fontId="131" fillId="43" borderId="172" xfId="0" applyFont="1" applyFill="1" applyBorder="1" applyAlignment="1">
      <alignment horizontal="center" vertical="center"/>
    </xf>
    <xf numFmtId="0" fontId="151" fillId="0" borderId="172" xfId="0" applyFont="1" applyFill="1" applyBorder="1" applyAlignment="1">
      <alignment horizontal="center" vertical="center"/>
    </xf>
    <xf numFmtId="41" fontId="139" fillId="0" borderId="172" xfId="1" applyFont="1" applyBorder="1" applyAlignment="1">
      <alignment horizontal="center" vertical="center"/>
    </xf>
    <xf numFmtId="41" fontId="139" fillId="0" borderId="134" xfId="1" applyFont="1" applyBorder="1" applyAlignment="1">
      <alignment horizontal="center" vertical="center"/>
    </xf>
    <xf numFmtId="41" fontId="139" fillId="0" borderId="133" xfId="1" applyFont="1" applyBorder="1" applyAlignment="1">
      <alignment horizontal="center" vertical="center"/>
    </xf>
    <xf numFmtId="41" fontId="131" fillId="0" borderId="127" xfId="1" applyFont="1" applyBorder="1" applyAlignment="1">
      <alignment horizontal="center" vertical="center"/>
    </xf>
    <xf numFmtId="41" fontId="131" fillId="0" borderId="128" xfId="1" applyFont="1" applyBorder="1" applyAlignment="1">
      <alignment horizontal="center" vertical="center"/>
    </xf>
    <xf numFmtId="41" fontId="131" fillId="0" borderId="104" xfId="1" applyFont="1" applyBorder="1" applyAlignment="1">
      <alignment horizontal="center" vertical="center"/>
    </xf>
    <xf numFmtId="41" fontId="131" fillId="0" borderId="56" xfId="1" applyFont="1" applyBorder="1" applyAlignment="1">
      <alignment horizontal="center" vertical="center"/>
    </xf>
    <xf numFmtId="41" fontId="131" fillId="0" borderId="129" xfId="1" applyFont="1" applyBorder="1" applyAlignment="1">
      <alignment horizontal="center" vertical="center"/>
    </xf>
    <xf numFmtId="41" fontId="131" fillId="0" borderId="126" xfId="1" applyFont="1" applyBorder="1" applyAlignment="1">
      <alignment horizontal="center" vertical="center"/>
    </xf>
    <xf numFmtId="41" fontId="131" fillId="0" borderId="130" xfId="1" applyFont="1" applyBorder="1" applyAlignment="1">
      <alignment horizontal="center" vertical="center"/>
    </xf>
    <xf numFmtId="0" fontId="131" fillId="0" borderId="127" xfId="0" applyFont="1" applyFill="1" applyBorder="1" applyAlignment="1">
      <alignment horizontal="center" vertical="center" wrapText="1"/>
    </xf>
    <xf numFmtId="0" fontId="131" fillId="0" borderId="128" xfId="0" applyFont="1" applyFill="1" applyBorder="1" applyAlignment="1">
      <alignment horizontal="center" vertical="center" wrapText="1"/>
    </xf>
    <xf numFmtId="0" fontId="131" fillId="0" borderId="131" xfId="0" applyFont="1" applyFill="1" applyBorder="1" applyAlignment="1">
      <alignment horizontal="center" vertical="center" wrapText="1"/>
    </xf>
    <xf numFmtId="0" fontId="131" fillId="0" borderId="28" xfId="0" applyFont="1" applyFill="1" applyBorder="1" applyAlignment="1">
      <alignment horizontal="center" vertical="center" wrapText="1"/>
    </xf>
    <xf numFmtId="0" fontId="131" fillId="0" borderId="104" xfId="0" applyFont="1" applyFill="1" applyBorder="1" applyAlignment="1">
      <alignment horizontal="center" vertical="center" wrapText="1"/>
    </xf>
    <xf numFmtId="0" fontId="131" fillId="0" borderId="56" xfId="0" applyFont="1" applyFill="1" applyBorder="1" applyAlignment="1">
      <alignment horizontal="center" vertical="center" wrapText="1"/>
    </xf>
    <xf numFmtId="41" fontId="151" fillId="34" borderId="125" xfId="1" applyFont="1" applyFill="1" applyBorder="1" applyAlignment="1">
      <alignment horizontal="center" vertical="center"/>
    </xf>
    <xf numFmtId="41" fontId="131" fillId="0" borderId="125" xfId="1" applyFont="1" applyFill="1" applyBorder="1" applyAlignment="1" applyProtection="1">
      <alignment horizontal="center" vertical="center"/>
    </xf>
    <xf numFmtId="41" fontId="131" fillId="0" borderId="125" xfId="1" applyFont="1" applyFill="1" applyBorder="1" applyAlignment="1">
      <alignment horizontal="center" vertical="center"/>
    </xf>
    <xf numFmtId="41" fontId="131" fillId="4" borderId="125" xfId="1" applyFont="1" applyFill="1" applyBorder="1" applyAlignment="1">
      <alignment horizontal="center" vertical="center"/>
    </xf>
    <xf numFmtId="0" fontId="47" fillId="38" borderId="125" xfId="0" applyFont="1" applyFill="1" applyBorder="1" applyAlignment="1">
      <alignment horizontal="center" vertical="center"/>
    </xf>
    <xf numFmtId="0" fontId="131" fillId="0" borderId="125" xfId="7" applyNumberFormat="1" applyFont="1" applyFill="1" applyBorder="1" applyAlignment="1" applyProtection="1">
      <alignment horizontal="center" vertical="center"/>
    </xf>
    <xf numFmtId="0" fontId="131" fillId="0" borderId="125" xfId="2" applyFont="1" applyFill="1" applyBorder="1" applyAlignment="1">
      <alignment horizontal="center" vertical="center"/>
    </xf>
    <xf numFmtId="41" fontId="47" fillId="38" borderId="125" xfId="1" applyFont="1" applyFill="1" applyBorder="1" applyAlignment="1">
      <alignment horizontal="center" vertical="center"/>
    </xf>
    <xf numFmtId="41" fontId="47" fillId="0" borderId="125" xfId="1" applyFont="1" applyBorder="1" applyAlignment="1">
      <alignment horizontal="center" vertical="center"/>
    </xf>
    <xf numFmtId="0" fontId="131" fillId="0" borderId="0" xfId="7" applyNumberFormat="1" applyFont="1" applyFill="1" applyBorder="1" applyAlignment="1" applyProtection="1">
      <alignment horizontal="center" vertical="center"/>
    </xf>
    <xf numFmtId="0" fontId="131" fillId="0" borderId="0" xfId="2" applyFont="1" applyFill="1" applyBorder="1" applyAlignment="1">
      <alignment horizontal="center" vertical="center"/>
    </xf>
    <xf numFmtId="41" fontId="47" fillId="34" borderId="125" xfId="1" applyFont="1" applyFill="1" applyBorder="1" applyAlignment="1">
      <alignment horizontal="center" vertical="center"/>
    </xf>
    <xf numFmtId="0" fontId="151" fillId="34" borderId="125" xfId="0" applyFont="1" applyFill="1" applyBorder="1" applyAlignment="1">
      <alignment horizontal="center" vertical="center"/>
    </xf>
    <xf numFmtId="0" fontId="131" fillId="4" borderId="125" xfId="2" applyFont="1" applyFill="1" applyBorder="1" applyAlignment="1">
      <alignment horizontal="center" vertical="center"/>
    </xf>
    <xf numFmtId="0" fontId="151" fillId="34" borderId="0" xfId="0" applyFont="1" applyFill="1" applyBorder="1" applyAlignment="1">
      <alignment horizontal="center" vertical="center"/>
    </xf>
    <xf numFmtId="0" fontId="47" fillId="0" borderId="0" xfId="2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4" borderId="0" xfId="2" applyNumberFormat="1" applyFont="1" applyFill="1" applyBorder="1" applyAlignment="1">
      <alignment horizontal="center" vertical="center"/>
    </xf>
    <xf numFmtId="41" fontId="131" fillId="0" borderId="125" xfId="1" applyFont="1" applyBorder="1" applyAlignment="1">
      <alignment horizontal="center" vertical="center"/>
    </xf>
    <xf numFmtId="0" fontId="131" fillId="4" borderId="0" xfId="2" applyFont="1" applyFill="1" applyBorder="1" applyAlignment="1">
      <alignment horizontal="center" vertical="center"/>
    </xf>
    <xf numFmtId="0" fontId="13" fillId="39" borderId="23" xfId="0" applyFont="1" applyFill="1" applyBorder="1" applyAlignment="1">
      <alignment horizontal="center" vertical="center"/>
    </xf>
    <xf numFmtId="0" fontId="13" fillId="39" borderId="11" xfId="0" applyFont="1" applyFill="1" applyBorder="1" applyAlignment="1">
      <alignment horizontal="center" vertical="center"/>
    </xf>
    <xf numFmtId="0" fontId="13" fillId="39" borderId="24" xfId="0" applyNumberFormat="1" applyFont="1" applyFill="1" applyBorder="1" applyAlignment="1">
      <alignment horizontal="center" vertical="center"/>
    </xf>
    <xf numFmtId="0" fontId="13" fillId="39" borderId="25" xfId="0" applyNumberFormat="1" applyFont="1" applyFill="1" applyBorder="1" applyAlignment="1">
      <alignment horizontal="center" vertical="center"/>
    </xf>
    <xf numFmtId="228" fontId="90" fillId="0" borderId="0" xfId="0" applyNumberFormat="1" applyFont="1" applyBorder="1" applyAlignment="1" applyProtection="1">
      <alignment horizontal="center" vertical="center"/>
      <protection locked="0"/>
    </xf>
    <xf numFmtId="0" fontId="127" fillId="36" borderId="0" xfId="329" applyFill="1" applyBorder="1" applyAlignment="1">
      <alignment horizontal="center"/>
    </xf>
    <xf numFmtId="0" fontId="127" fillId="36" borderId="91" xfId="329" applyFill="1" applyBorder="1" applyAlignment="1">
      <alignment horizontal="center" vertical="center"/>
    </xf>
    <xf numFmtId="0" fontId="127" fillId="36" borderId="118" xfId="329" applyFill="1" applyBorder="1" applyAlignment="1">
      <alignment horizontal="center" vertical="center"/>
    </xf>
    <xf numFmtId="0" fontId="127" fillId="36" borderId="22" xfId="329" applyFill="1" applyBorder="1" applyAlignment="1">
      <alignment horizontal="center" vertical="center"/>
    </xf>
    <xf numFmtId="0" fontId="127" fillId="41" borderId="90" xfId="329" applyFill="1" applyBorder="1" applyAlignment="1">
      <alignment horizontal="center"/>
    </xf>
    <xf numFmtId="0" fontId="127" fillId="40" borderId="90" xfId="329" applyFill="1" applyBorder="1" applyAlignment="1">
      <alignment horizontal="center" vertical="center"/>
    </xf>
    <xf numFmtId="0" fontId="127" fillId="36" borderId="90" xfId="329" applyFill="1" applyBorder="1" applyAlignment="1">
      <alignment horizontal="center"/>
    </xf>
    <xf numFmtId="231" fontId="106" fillId="0" borderId="113" xfId="0" applyNumberFormat="1" applyFont="1" applyFill="1" applyBorder="1" applyAlignment="1">
      <alignment horizontal="center" vertical="center" wrapText="1"/>
    </xf>
    <xf numFmtId="231" fontId="106" fillId="0" borderId="115" xfId="0" applyNumberFormat="1" applyFont="1" applyFill="1" applyBorder="1" applyAlignment="1">
      <alignment horizontal="center" vertical="center" wrapText="1"/>
    </xf>
    <xf numFmtId="231" fontId="106" fillId="0" borderId="75" xfId="0" applyNumberFormat="1" applyFont="1" applyFill="1" applyBorder="1" applyAlignment="1">
      <alignment horizontal="center" vertical="center" wrapText="1"/>
    </xf>
    <xf numFmtId="231" fontId="106" fillId="0" borderId="74" xfId="0" applyNumberFormat="1" applyFont="1" applyFill="1" applyBorder="1" applyAlignment="1">
      <alignment horizontal="center" vertical="center" wrapText="1"/>
    </xf>
    <xf numFmtId="231" fontId="106" fillId="0" borderId="114" xfId="0" applyNumberFormat="1" applyFont="1" applyFill="1" applyBorder="1" applyAlignment="1">
      <alignment horizontal="center" vertical="center" wrapText="1"/>
    </xf>
    <xf numFmtId="231" fontId="106" fillId="0" borderId="72" xfId="0" applyNumberFormat="1" applyFont="1" applyFill="1" applyBorder="1" applyAlignment="1">
      <alignment horizontal="center" vertical="center" wrapText="1"/>
    </xf>
    <xf numFmtId="231" fontId="106" fillId="0" borderId="73" xfId="0" applyNumberFormat="1" applyFont="1" applyFill="1" applyBorder="1" applyAlignment="1">
      <alignment horizontal="center" vertical="center" wrapText="1"/>
    </xf>
    <xf numFmtId="231" fontId="106" fillId="0" borderId="116" xfId="0" applyNumberFormat="1" applyFont="1" applyFill="1" applyBorder="1" applyAlignment="1">
      <alignment horizontal="center" vertical="center" wrapText="1"/>
    </xf>
    <xf numFmtId="231" fontId="106" fillId="0" borderId="117" xfId="0" applyNumberFormat="1" applyFont="1" applyFill="1" applyBorder="1" applyAlignment="1">
      <alignment horizontal="center" vertical="center" wrapText="1"/>
    </xf>
    <xf numFmtId="231" fontId="106" fillId="0" borderId="71" xfId="0" applyNumberFormat="1" applyFont="1" applyFill="1" applyBorder="1" applyAlignment="1">
      <alignment horizontal="center" vertical="center" wrapText="1"/>
    </xf>
    <xf numFmtId="231" fontId="106" fillId="0" borderId="76" xfId="0" applyNumberFormat="1" applyFont="1" applyFill="1" applyBorder="1" applyAlignment="1">
      <alignment horizontal="center" vertical="center" wrapText="1"/>
    </xf>
    <xf numFmtId="0" fontId="91" fillId="0" borderId="23" xfId="0" applyFont="1" applyFill="1" applyBorder="1" applyAlignment="1">
      <alignment horizontal="center" vertical="center"/>
    </xf>
    <xf numFmtId="0" fontId="91" fillId="0" borderId="57" xfId="0" applyFont="1" applyFill="1" applyBorder="1" applyAlignment="1">
      <alignment horizontal="center" vertical="center"/>
    </xf>
    <xf numFmtId="0" fontId="91" fillId="0" borderId="24" xfId="0" applyFont="1" applyFill="1" applyBorder="1" applyAlignment="1">
      <alignment horizontal="center" vertical="center"/>
    </xf>
    <xf numFmtId="17" fontId="91" fillId="0" borderId="24" xfId="0" applyNumberFormat="1" applyFont="1" applyFill="1" applyBorder="1" applyAlignment="1">
      <alignment horizontal="center" vertical="center"/>
    </xf>
    <xf numFmtId="0" fontId="91" fillId="0" borderId="25" xfId="0" applyFont="1" applyFill="1" applyBorder="1" applyAlignment="1">
      <alignment horizontal="center" vertical="center"/>
    </xf>
    <xf numFmtId="231" fontId="106" fillId="3" borderId="72" xfId="0" applyNumberFormat="1" applyFont="1" applyFill="1" applyBorder="1" applyAlignment="1">
      <alignment horizontal="center" vertical="center" wrapText="1"/>
    </xf>
    <xf numFmtId="231" fontId="106" fillId="3" borderId="73" xfId="0" applyNumberFormat="1" applyFont="1" applyFill="1" applyBorder="1" applyAlignment="1">
      <alignment horizontal="center" vertical="center" wrapText="1"/>
    </xf>
    <xf numFmtId="0" fontId="95" fillId="0" borderId="81" xfId="0" applyFont="1" applyBorder="1" applyAlignment="1">
      <alignment horizontal="center" vertical="center"/>
    </xf>
    <xf numFmtId="0" fontId="142" fillId="0" borderId="66" xfId="0" applyFont="1" applyFill="1" applyBorder="1" applyAlignment="1">
      <alignment horizontal="left" vertical="center" wrapText="1"/>
    </xf>
    <xf numFmtId="0" fontId="142" fillId="0" borderId="0" xfId="0" applyFont="1" applyFill="1" applyBorder="1" applyAlignment="1">
      <alignment horizontal="left" vertical="center" wrapText="1"/>
    </xf>
    <xf numFmtId="231" fontId="106" fillId="0" borderId="79" xfId="0" applyNumberFormat="1" applyFont="1" applyFill="1" applyBorder="1" applyAlignment="1">
      <alignment horizontal="center" vertical="center" wrapText="1"/>
    </xf>
    <xf numFmtId="231" fontId="106" fillId="0" borderId="78" xfId="0" applyNumberFormat="1" applyFont="1" applyFill="1" applyBorder="1" applyAlignment="1">
      <alignment horizontal="center" vertical="center" wrapText="1"/>
    </xf>
    <xf numFmtId="231" fontId="106" fillId="3" borderId="71" xfId="0" applyNumberFormat="1" applyFont="1" applyFill="1" applyBorder="1" applyAlignment="1">
      <alignment horizontal="center" vertical="center" wrapText="1"/>
    </xf>
    <xf numFmtId="231" fontId="106" fillId="0" borderId="68" xfId="0" applyNumberFormat="1" applyFont="1" applyFill="1" applyBorder="1" applyAlignment="1">
      <alignment horizontal="center" vertical="center" wrapText="1"/>
    </xf>
    <xf numFmtId="231" fontId="106" fillId="0" borderId="69" xfId="0" applyNumberFormat="1" applyFont="1" applyFill="1" applyBorder="1" applyAlignment="1">
      <alignment horizontal="center" vertical="center" wrapText="1"/>
    </xf>
    <xf numFmtId="231" fontId="106" fillId="0" borderId="67" xfId="0" applyNumberFormat="1" applyFont="1" applyFill="1" applyBorder="1" applyAlignment="1">
      <alignment horizontal="center" vertical="center" wrapText="1"/>
    </xf>
    <xf numFmtId="0" fontId="107" fillId="0" borderId="0" xfId="283" applyFont="1" applyAlignment="1">
      <alignment horizontal="center"/>
    </xf>
    <xf numFmtId="0" fontId="94" fillId="0" borderId="0" xfId="283" applyFont="1" applyAlignment="1">
      <alignment horizontal="center"/>
    </xf>
    <xf numFmtId="0" fontId="92" fillId="0" borderId="49" xfId="283" applyFont="1" applyBorder="1" applyAlignment="1">
      <alignment horizontal="right" wrapText="1"/>
    </xf>
    <xf numFmtId="0" fontId="91" fillId="0" borderId="24" xfId="0" applyFont="1" applyBorder="1" applyAlignment="1">
      <alignment horizontal="center" vertical="center"/>
    </xf>
    <xf numFmtId="0" fontId="91" fillId="0" borderId="25" xfId="0" applyFont="1" applyBorder="1" applyAlignment="1">
      <alignment horizontal="center" vertical="center"/>
    </xf>
    <xf numFmtId="0" fontId="104" fillId="0" borderId="16" xfId="0" applyFont="1" applyBorder="1" applyAlignment="1">
      <alignment horizontal="center" vertical="center" wrapText="1"/>
    </xf>
    <xf numFmtId="0" fontId="104" fillId="0" borderId="108" xfId="0" applyFont="1" applyBorder="1" applyAlignment="1">
      <alignment horizontal="center" vertical="center" wrapText="1"/>
    </xf>
    <xf numFmtId="0" fontId="91" fillId="0" borderId="26" xfId="0" applyFont="1" applyBorder="1" applyAlignment="1">
      <alignment horizontal="center" vertical="center"/>
    </xf>
    <xf numFmtId="0" fontId="127" fillId="35" borderId="90" xfId="329" applyFill="1" applyBorder="1" applyAlignment="1">
      <alignment vertical="center"/>
    </xf>
    <xf numFmtId="0" fontId="127" fillId="36" borderId="90" xfId="329" applyFill="1" applyBorder="1" applyAlignment="1"/>
    <xf numFmtId="0" fontId="127" fillId="36" borderId="90" xfId="329" applyFill="1" applyBorder="1" applyAlignment="1">
      <alignment horizontal="left"/>
    </xf>
    <xf numFmtId="0" fontId="97" fillId="0" borderId="0" xfId="283" applyFont="1" applyAlignment="1">
      <alignment horizontal="center"/>
    </xf>
    <xf numFmtId="3" fontId="148" fillId="0" borderId="0" xfId="369" applyNumberFormat="1" applyFont="1" applyAlignment="1">
      <alignment horizontal="center" vertical="center"/>
    </xf>
    <xf numFmtId="0" fontId="158" fillId="44" borderId="142" xfId="0" applyFont="1" applyFill="1" applyBorder="1" applyAlignment="1">
      <alignment horizontal="center" vertical="center" wrapText="1"/>
    </xf>
    <xf numFmtId="0" fontId="158" fillId="44" borderId="144" xfId="0" applyFont="1" applyFill="1" applyBorder="1" applyAlignment="1">
      <alignment horizontal="center" vertical="center" wrapText="1"/>
    </xf>
    <xf numFmtId="0" fontId="158" fillId="44" borderId="136" xfId="0" applyFont="1" applyFill="1" applyBorder="1" applyAlignment="1">
      <alignment horizontal="center" vertical="center" wrapText="1"/>
    </xf>
    <xf numFmtId="0" fontId="158" fillId="44" borderId="137" xfId="0" applyFont="1" applyFill="1" applyBorder="1" applyAlignment="1">
      <alignment horizontal="center" vertical="center" wrapText="1"/>
    </xf>
    <xf numFmtId="0" fontId="158" fillId="44" borderId="138" xfId="0" applyFont="1" applyFill="1" applyBorder="1" applyAlignment="1">
      <alignment horizontal="center" vertical="center" wrapText="1"/>
    </xf>
    <xf numFmtId="0" fontId="158" fillId="44" borderId="139" xfId="0" applyFont="1" applyFill="1" applyBorder="1" applyAlignment="1">
      <alignment horizontal="center" vertical="center" wrapText="1"/>
    </xf>
    <xf numFmtId="0" fontId="158" fillId="44" borderId="140" xfId="0" applyFont="1" applyFill="1" applyBorder="1" applyAlignment="1">
      <alignment horizontal="center" vertical="center" wrapText="1"/>
    </xf>
    <xf numFmtId="0" fontId="93" fillId="39" borderId="92" xfId="2" applyFont="1" applyFill="1" applyBorder="1" applyAlignment="1">
      <alignment horizontal="center" vertical="center" wrapText="1"/>
    </xf>
    <xf numFmtId="0" fontId="93" fillId="39" borderId="4" xfId="2" applyFont="1" applyFill="1" applyBorder="1" applyAlignment="1">
      <alignment horizontal="center" vertical="center" wrapText="1"/>
    </xf>
    <xf numFmtId="0" fontId="93" fillId="39" borderId="92" xfId="2" applyFont="1" applyFill="1" applyBorder="1" applyAlignment="1">
      <alignment horizontal="center" vertical="center"/>
    </xf>
    <xf numFmtId="0" fontId="93" fillId="39" borderId="4" xfId="2" applyFont="1" applyFill="1" applyBorder="1" applyAlignment="1">
      <alignment horizontal="center" vertical="center"/>
    </xf>
    <xf numFmtId="0" fontId="93" fillId="39" borderId="24" xfId="2" applyFont="1" applyFill="1" applyBorder="1" applyAlignment="1">
      <alignment horizontal="center" vertical="center"/>
    </xf>
    <xf numFmtId="0" fontId="93" fillId="39" borderId="2" xfId="2" applyFont="1" applyFill="1" applyBorder="1" applyAlignment="1">
      <alignment horizontal="center" vertical="center"/>
    </xf>
    <xf numFmtId="0" fontId="93" fillId="39" borderId="23" xfId="2" applyFont="1" applyFill="1" applyBorder="1" applyAlignment="1">
      <alignment horizontal="distributed" vertical="center" indent="1"/>
    </xf>
    <xf numFmtId="0" fontId="93" fillId="39" borderId="10" xfId="2" applyFont="1" applyFill="1" applyBorder="1" applyAlignment="1">
      <alignment horizontal="distributed" vertical="center" indent="1"/>
    </xf>
    <xf numFmtId="0" fontId="93" fillId="39" borderId="25" xfId="2" applyFont="1" applyFill="1" applyBorder="1" applyAlignment="1">
      <alignment horizontal="center" vertical="center"/>
    </xf>
    <xf numFmtId="0" fontId="93" fillId="39" borderId="9" xfId="2" applyFont="1" applyFill="1" applyBorder="1" applyAlignment="1">
      <alignment horizontal="center" vertical="center"/>
    </xf>
  </cellXfs>
  <cellStyles count="689">
    <cellStyle name=" " xfId="8"/>
    <cellStyle name="&quot;" xfId="9"/>
    <cellStyle name="??&amp;O?&amp;H?_x0008__x000f__x0007_?_x0007__x0001__x0001_" xfId="11"/>
    <cellStyle name="??&amp;O?&amp;H?_x0008_??_x0007__x0001__x0001_" xfId="12"/>
    <cellStyle name="??&amp;쏗?뷐9_x0008__x0011__x0007_?_x0007__x0001__x0001_" xfId="10"/>
    <cellStyle name="?W?_laroux" xfId="13"/>
    <cellStyle name="_인원계획표 " xfId="14"/>
    <cellStyle name="_인원계획표 _적격 " xfId="15"/>
    <cellStyle name="_입찰표지 " xfId="16"/>
    <cellStyle name="_적격 " xfId="17"/>
    <cellStyle name="_적격 _집행갑지 " xfId="18"/>
    <cellStyle name="_적격(화산) " xfId="19"/>
    <cellStyle name="_집행갑지 " xfId="20"/>
    <cellStyle name="´þ" xfId="21"/>
    <cellStyle name="´þ·¯" xfId="22"/>
    <cellStyle name="’E‰Y [0.00]_laroux" xfId="23"/>
    <cellStyle name="’E‰Y_laroux" xfId="24"/>
    <cellStyle name="¤@?e_TEST-1 " xfId="25"/>
    <cellStyle name="°ia¤¼o " xfId="26"/>
    <cellStyle name="°íá¤¼ò¼ýá¡" xfId="27"/>
    <cellStyle name="°ia¤aa " xfId="28"/>
    <cellStyle name="°ia¤aa·a1" xfId="29"/>
    <cellStyle name="°íá¤ãâ·â1" xfId="30"/>
    <cellStyle name="°íá¤ãâ·â2" xfId="31"/>
    <cellStyle name="2)" xfId="32"/>
    <cellStyle name="20% - 강조색1 2" xfId="33"/>
    <cellStyle name="20% - 강조색1 3" xfId="34"/>
    <cellStyle name="20% - 강조색1 4" xfId="287"/>
    <cellStyle name="20% - 강조색2 2" xfId="35"/>
    <cellStyle name="20% - 강조색2 3" xfId="36"/>
    <cellStyle name="20% - 강조색2 4" xfId="288"/>
    <cellStyle name="20% - 강조색3 2" xfId="37"/>
    <cellStyle name="20% - 강조색3 3" xfId="38"/>
    <cellStyle name="20% - 강조색3 4" xfId="289"/>
    <cellStyle name="20% - 강조색4 2" xfId="39"/>
    <cellStyle name="20% - 강조색4 3" xfId="40"/>
    <cellStyle name="20% - 강조색4 4" xfId="290"/>
    <cellStyle name="20% - 강조색5 2" xfId="41"/>
    <cellStyle name="20% - 강조색5 3" xfId="42"/>
    <cellStyle name="20% - 강조색5 4" xfId="291"/>
    <cellStyle name="20% - 강조색6 2" xfId="43"/>
    <cellStyle name="20% - 강조색6 3" xfId="44"/>
    <cellStyle name="20% - 강조색6 4" xfId="292"/>
    <cellStyle name="³?a" xfId="45"/>
    <cellStyle name="³¯â¥" xfId="46"/>
    <cellStyle name="၃urrency_OTD thru NOR " xfId="47"/>
    <cellStyle name="40% - 강조색1 2" xfId="48"/>
    <cellStyle name="40% - 강조색1 3" xfId="49"/>
    <cellStyle name="40% - 강조색1 4" xfId="293"/>
    <cellStyle name="40% - 강조색2 2" xfId="50"/>
    <cellStyle name="40% - 강조색2 3" xfId="51"/>
    <cellStyle name="40% - 강조색2 4" xfId="294"/>
    <cellStyle name="40% - 강조색3 2" xfId="52"/>
    <cellStyle name="40% - 강조색3 3" xfId="53"/>
    <cellStyle name="40% - 강조색3 4" xfId="295"/>
    <cellStyle name="40% - 강조색4 2" xfId="54"/>
    <cellStyle name="40% - 강조색4 3" xfId="55"/>
    <cellStyle name="40% - 강조색4 4" xfId="296"/>
    <cellStyle name="40% - 강조색5 2" xfId="56"/>
    <cellStyle name="40% - 강조색5 3" xfId="57"/>
    <cellStyle name="40% - 강조색5 4" xfId="297"/>
    <cellStyle name="40% - 강조색6 2" xfId="58"/>
    <cellStyle name="40% - 강조색6 3" xfId="59"/>
    <cellStyle name="40% - 강조색6 4" xfId="298"/>
    <cellStyle name="60% - 강조색1 2" xfId="60"/>
    <cellStyle name="60% - 강조색1 3" xfId="61"/>
    <cellStyle name="60% - 강조색1 4" xfId="299"/>
    <cellStyle name="60% - 강조색2 2" xfId="62"/>
    <cellStyle name="60% - 강조색2 3" xfId="63"/>
    <cellStyle name="60% - 강조색2 4" xfId="300"/>
    <cellStyle name="60% - 강조색3 2" xfId="64"/>
    <cellStyle name="60% - 강조색3 3" xfId="65"/>
    <cellStyle name="60% - 강조색3 4" xfId="301"/>
    <cellStyle name="60% - 강조색4 2" xfId="66"/>
    <cellStyle name="60% - 강조색4 3" xfId="67"/>
    <cellStyle name="60% - 강조색4 4" xfId="302"/>
    <cellStyle name="60% - 강조색5 2" xfId="68"/>
    <cellStyle name="60% - 강조색5 3" xfId="69"/>
    <cellStyle name="60% - 강조색5 4" xfId="303"/>
    <cellStyle name="60% - 강조색6 2" xfId="70"/>
    <cellStyle name="60% - 강조색6 3" xfId="71"/>
    <cellStyle name="60% - 강조색6 4" xfId="304"/>
    <cellStyle name="Aee­ " xfId="200"/>
    <cellStyle name="AeE­ [0]_ 2ÆAAþº° " xfId="201"/>
    <cellStyle name="AeE­_ 2ÆAAþº° " xfId="202"/>
    <cellStyle name="Æu¼ " xfId="203"/>
    <cellStyle name="Æû¼¾æ®" xfId="204"/>
    <cellStyle name="ALIGNMENT" xfId="205"/>
    <cellStyle name="AÞ¸¶ [0]_ 2ÆAAþº° " xfId="206"/>
    <cellStyle name="AÞ¸¶_ 2ÆAAþº° " xfId="207"/>
    <cellStyle name="Àú¸®¼ö" xfId="208"/>
    <cellStyle name="Àú¸®¼ö0" xfId="209"/>
    <cellStyle name="Au¸r " xfId="210"/>
    <cellStyle name="Au¸r¼" xfId="211"/>
    <cellStyle name="b椬ៜ_x000c_Comma_ODCOS " xfId="212"/>
    <cellStyle name="C￥AØ_  FAB AIA¤  " xfId="213"/>
    <cellStyle name="Ç¥ÁØ_´ëºñÇ¥ (2)_ºÎ´ëÅä°ø " xfId="214"/>
    <cellStyle name="C￥AØ_¸¶≫eCI¼oAIA§ " xfId="215"/>
    <cellStyle name="Ç¥ÁØ_»óºÎ¼ö·®Áý°è " xfId="216"/>
    <cellStyle name="C￥AØ_≫c¾÷ºIº° AN°e " xfId="217"/>
    <cellStyle name="Ç¥ÁØ_FAX¾ç½Ä " xfId="218"/>
    <cellStyle name="C￥AØ_ºI´eAa°ø " xfId="219"/>
    <cellStyle name="Ç¥ÁØ_ºÎ´ëÅä°ø " xfId="220"/>
    <cellStyle name="category" xfId="221"/>
    <cellStyle name="Çõ»ê" xfId="222"/>
    <cellStyle name="Co≫" xfId="223"/>
    <cellStyle name="Comma" xfId="224"/>
    <cellStyle name="Comma [0]" xfId="225"/>
    <cellStyle name="comma zerodec" xfId="226"/>
    <cellStyle name="Comma_ SG&amp;A Bridge " xfId="379"/>
    <cellStyle name="Comma0" xfId="227"/>
    <cellStyle name="Currency" xfId="228"/>
    <cellStyle name="Currency [0]" xfId="229"/>
    <cellStyle name="Currency_ SG&amp;A Bridge " xfId="380"/>
    <cellStyle name="Currency0" xfId="230"/>
    <cellStyle name="Currency1" xfId="231"/>
    <cellStyle name="Date" xfId="232"/>
    <cellStyle name="Date 2" xfId="233"/>
    <cellStyle name="Dezimal [0]_laroux" xfId="234"/>
    <cellStyle name="Dezimal_laroux" xfId="235"/>
    <cellStyle name="Dollar (zero dec)" xfId="236"/>
    <cellStyle name="EA" xfId="237"/>
    <cellStyle name="E­æo±" xfId="238"/>
    <cellStyle name="E­æo±a" xfId="239"/>
    <cellStyle name="È­æó±âè£" xfId="240"/>
    <cellStyle name="È­æó±âè£0" xfId="241"/>
    <cellStyle name="Fixed" xfId="242"/>
    <cellStyle name="Fixed 2" xfId="243"/>
    <cellStyle name="Grey" xfId="244"/>
    <cellStyle name="Grey 2" xfId="383"/>
    <cellStyle name="HEADER" xfId="245"/>
    <cellStyle name="Header1" xfId="246"/>
    <cellStyle name="Header2" xfId="247"/>
    <cellStyle name="Header2 2" xfId="366"/>
    <cellStyle name="Header2 2 2" xfId="674"/>
    <cellStyle name="Header2 2 3" xfId="619"/>
    <cellStyle name="Header2 3" xfId="381"/>
    <cellStyle name="Header2 3 2" xfId="686"/>
    <cellStyle name="Header2 3 3" xfId="631"/>
    <cellStyle name="Header2 4" xfId="643"/>
    <cellStyle name="Header2 5" xfId="588"/>
    <cellStyle name="Heading 1" xfId="248"/>
    <cellStyle name="Heading 2" xfId="249"/>
    <cellStyle name="HEADING1" xfId="250"/>
    <cellStyle name="HEADING2" xfId="251"/>
    <cellStyle name="Hyperlink" xfId="252"/>
    <cellStyle name="Input [yellow]" xfId="253"/>
    <cellStyle name="Input [yellow] 2" xfId="335"/>
    <cellStyle name="Input [yellow] 2 2" xfId="656"/>
    <cellStyle name="Input [yellow] 2 3" xfId="601"/>
    <cellStyle name="Input [yellow] 3" xfId="367"/>
    <cellStyle name="Input [yellow] 3 2" xfId="675"/>
    <cellStyle name="Input [yellow] 3 3" xfId="620"/>
    <cellStyle name="Input [yellow] 4" xfId="368"/>
    <cellStyle name="Input [yellow] 4 2" xfId="676"/>
    <cellStyle name="Input [yellow] 4 3" xfId="621"/>
    <cellStyle name="Input [yellow] 5" xfId="384"/>
    <cellStyle name="Input [yellow] 5 2" xfId="687"/>
    <cellStyle name="Input [yellow] 5 3" xfId="632"/>
    <cellStyle name="Input [yellow] 6" xfId="644"/>
    <cellStyle name="Input [yellow] 7" xfId="589"/>
    <cellStyle name="Milliers [0]_Arabian Spec" xfId="254"/>
    <cellStyle name="Milliers_Arabian Spec" xfId="255"/>
    <cellStyle name="Model" xfId="256"/>
    <cellStyle name="Mon?aire [0]_Arabian Spec" xfId="257"/>
    <cellStyle name="Mon?aire_Arabian Spec" xfId="258"/>
    <cellStyle name="normal" xfId="259"/>
    <cellStyle name="Normal - Style1" xfId="260"/>
    <cellStyle name="Normal - Style1 2" xfId="261"/>
    <cellStyle name="Normal - Style1 3" xfId="385"/>
    <cellStyle name="Normal_ SG&amp;A Bridge " xfId="262"/>
    <cellStyle name="Œ…?æ맖?e [0.00]_laroux" xfId="263"/>
    <cellStyle name="Œ…?æ맖?e_laroux" xfId="264"/>
    <cellStyle name="Percent" xfId="265"/>
    <cellStyle name="Percent [2]" xfId="266"/>
    <cellStyle name="Percent_1.2.1_(토공-관거)계획오수관거 신설(A,B-LINE)" xfId="267"/>
    <cellStyle name="S " xfId="268"/>
    <cellStyle name="Standard_laroux" xfId="269"/>
    <cellStyle name="subhead" xfId="270"/>
    <cellStyle name="title [1]" xfId="271"/>
    <cellStyle name="title [2]" xfId="272"/>
    <cellStyle name="ton" xfId="273"/>
    <cellStyle name="Total" xfId="274"/>
    <cellStyle name="Total 2" xfId="275"/>
    <cellStyle name="Total 2 2" xfId="645"/>
    <cellStyle name="Total 2 3" xfId="590"/>
    <cellStyle name="W?rung [0]_laroux" xfId="276"/>
    <cellStyle name="W?rung_laroux" xfId="277"/>
    <cellStyle name="강조색1 2" xfId="72"/>
    <cellStyle name="강조색1 3" xfId="73"/>
    <cellStyle name="강조색1 4" xfId="305"/>
    <cellStyle name="강조색2 2" xfId="74"/>
    <cellStyle name="강조색2 3" xfId="75"/>
    <cellStyle name="강조색2 4" xfId="306"/>
    <cellStyle name="강조색3 2" xfId="76"/>
    <cellStyle name="강조색3 3" xfId="77"/>
    <cellStyle name="강조색3 4" xfId="307"/>
    <cellStyle name="강조색4 2" xfId="78"/>
    <cellStyle name="강조색4 3" xfId="79"/>
    <cellStyle name="강조색4 4" xfId="308"/>
    <cellStyle name="강조색5 2" xfId="80"/>
    <cellStyle name="강조색5 3" xfId="81"/>
    <cellStyle name="강조색5 4" xfId="309"/>
    <cellStyle name="강조색6 2" xfId="82"/>
    <cellStyle name="강조색6 3" xfId="83"/>
    <cellStyle name="강조색6 4" xfId="310"/>
    <cellStyle name="경고문 2" xfId="84"/>
    <cellStyle name="경고문 3" xfId="85"/>
    <cellStyle name="경고문 4" xfId="311"/>
    <cellStyle name="계산 2" xfId="86"/>
    <cellStyle name="계산 2 2" xfId="356"/>
    <cellStyle name="계산 2 2 2" xfId="664"/>
    <cellStyle name="계산 2 2 3" xfId="609"/>
    <cellStyle name="계산 2 3" xfId="633"/>
    <cellStyle name="계산 2 4" xfId="578"/>
    <cellStyle name="계산 3" xfId="87"/>
    <cellStyle name="계산 3 2" xfId="357"/>
    <cellStyle name="계산 3 2 2" xfId="665"/>
    <cellStyle name="계산 3 2 3" xfId="610"/>
    <cellStyle name="계산 3 3" xfId="634"/>
    <cellStyle name="계산 3 4" xfId="579"/>
    <cellStyle name="계산 4" xfId="312"/>
    <cellStyle name="계산 4 2" xfId="374"/>
    <cellStyle name="계산 4 2 2" xfId="682"/>
    <cellStyle name="계산 4 2 3" xfId="627"/>
    <cellStyle name="계산 4 3" xfId="651"/>
    <cellStyle name="계산 4 4" xfId="596"/>
    <cellStyle name="고정소숫점" xfId="88"/>
    <cellStyle name="고정소숫점 2" xfId="89"/>
    <cellStyle name="고정소숫점_001. 시계열에 의한 인구" xfId="90"/>
    <cellStyle name="고정출력1" xfId="91"/>
    <cellStyle name="고정출력1 2" xfId="92"/>
    <cellStyle name="고정출력1_001. 시계열에 의한 인구" xfId="93"/>
    <cellStyle name="고정출력2" xfId="94"/>
    <cellStyle name="고정출력2 2" xfId="95"/>
    <cellStyle name="고정출력2_001. 시계열에 의한 인구" xfId="96"/>
    <cellStyle name="나쁨 2" xfId="97"/>
    <cellStyle name="나쁨 3" xfId="98"/>
    <cellStyle name="나쁨 4" xfId="313"/>
    <cellStyle name="날짜" xfId="99"/>
    <cellStyle name="날짜 2" xfId="100"/>
    <cellStyle name="날짜_001. 시계열에 의한 인구" xfId="101"/>
    <cellStyle name="내역서" xfId="102"/>
    <cellStyle name="달러" xfId="103"/>
    <cellStyle name="달러 2" xfId="104"/>
    <cellStyle name="달러_001. 시계열에 의한 인구" xfId="105"/>
    <cellStyle name="뒤에 오는 하이퍼링크_0829광역시원단위추정(최종).xls Chart 1" xfId="106"/>
    <cellStyle name="똿뗦먛귟 [0.00]_PRODUCT DETAIL Q1" xfId="107"/>
    <cellStyle name="똿뗦먛귟_PRODUCT DETAIL Q1" xfId="108"/>
    <cellStyle name="메모 2" xfId="109"/>
    <cellStyle name="메모 2 2" xfId="358"/>
    <cellStyle name="메모 2 2 2" xfId="666"/>
    <cellStyle name="메모 2 2 3" xfId="611"/>
    <cellStyle name="메모 2 3" xfId="635"/>
    <cellStyle name="메모 2 4" xfId="580"/>
    <cellStyle name="믅됞 [0.00]_PRODUCT DETAIL Q1" xfId="110"/>
    <cellStyle name="믅됞_PRODUCT DETAIL Q1" xfId="111"/>
    <cellStyle name="백 " xfId="112"/>
    <cellStyle name="백분율" xfId="577" builtinId="5"/>
    <cellStyle name="백분율 [0]" xfId="113"/>
    <cellStyle name="백분율 [2]" xfId="114"/>
    <cellStyle name="백분율 2" xfId="4"/>
    <cellStyle name="백분율 2 2" xfId="386"/>
    <cellStyle name="백분율 3" xfId="115"/>
    <cellStyle name="백분율 4" xfId="116"/>
    <cellStyle name="백분율 4 2" xfId="387"/>
    <cellStyle name="백분율 5" xfId="117"/>
    <cellStyle name="백분율 6" xfId="280"/>
    <cellStyle name="백분율 6 2" xfId="351"/>
    <cellStyle name="백분율 6 2 2" xfId="659"/>
    <cellStyle name="백분율 6 2 3" xfId="604"/>
    <cellStyle name="백분율 6 3" xfId="371"/>
    <cellStyle name="백분율 6 3 2" xfId="679"/>
    <cellStyle name="백분율 6 3 3" xfId="624"/>
    <cellStyle name="백분율 6 4" xfId="648"/>
    <cellStyle name="백분율 6 5" xfId="593"/>
    <cellStyle name="보통 2" xfId="118"/>
    <cellStyle name="보통 3" xfId="119"/>
    <cellStyle name="보통 4" xfId="314"/>
    <cellStyle name="뷭?_BOOKSHIP" xfId="120"/>
    <cellStyle name="설명 텍스트 2" xfId="121"/>
    <cellStyle name="설명 텍스트 3" xfId="122"/>
    <cellStyle name="설명 텍스트 4" xfId="315"/>
    <cellStyle name="셀 확인 2" xfId="123"/>
    <cellStyle name="셀 확인 3" xfId="124"/>
    <cellStyle name="셀 확인 4" xfId="316"/>
    <cellStyle name="숫자(R)" xfId="125"/>
    <cellStyle name="쉼표 [0]" xfId="1" builtinId="6"/>
    <cellStyle name="쉼표 [0] 10" xfId="328"/>
    <cellStyle name="쉼표 [0] 11" xfId="354"/>
    <cellStyle name="쉼표 [0] 11 2" xfId="662"/>
    <cellStyle name="쉼표 [0] 11 3" xfId="607"/>
    <cellStyle name="쉼표 [0] 2" xfId="5"/>
    <cellStyle name="쉼표 [0] 2 2" xfId="126"/>
    <cellStyle name="쉼표 [0] 3" xfId="6"/>
    <cellStyle name="쉼표 [0] 3 2" xfId="127"/>
    <cellStyle name="쉼표 [0] 3 3" xfId="128"/>
    <cellStyle name="쉼표 [0] 3_001. 시계열에 의한 인구" xfId="129"/>
    <cellStyle name="쉼표 [0] 4" xfId="7"/>
    <cellStyle name="쉼표 [0] 4 2" xfId="388"/>
    <cellStyle name="쉼표 [0] 5" xfId="130"/>
    <cellStyle name="쉼표 [0] 6" xfId="131"/>
    <cellStyle name="쉼표 [0] 6 2" xfId="389"/>
    <cellStyle name="쉼표 [0] 7" xfId="279"/>
    <cellStyle name="쉼표 [0] 7 2" xfId="350"/>
    <cellStyle name="쉼표 [0] 7 2 2" xfId="658"/>
    <cellStyle name="쉼표 [0] 7 2 3" xfId="603"/>
    <cellStyle name="쉼표 [0] 7 3" xfId="370"/>
    <cellStyle name="쉼표 [0] 7 3 2" xfId="678"/>
    <cellStyle name="쉼표 [0] 7 3 3" xfId="623"/>
    <cellStyle name="쉼표 [0] 7 4" xfId="647"/>
    <cellStyle name="쉼표 [0] 7 5" xfId="592"/>
    <cellStyle name="쉼표 [0] 8" xfId="282"/>
    <cellStyle name="쉼표 [0] 8 2" xfId="353"/>
    <cellStyle name="쉼표 [0] 8 2 2" xfId="661"/>
    <cellStyle name="쉼표 [0] 8 2 3" xfId="606"/>
    <cellStyle name="쉼표 [0] 8 3" xfId="373"/>
    <cellStyle name="쉼표 [0] 8 3 2" xfId="681"/>
    <cellStyle name="쉼표 [0] 8 3 3" xfId="626"/>
    <cellStyle name="쉼표 [0] 8 4" xfId="650"/>
    <cellStyle name="쉼표 [0] 8 5" xfId="595"/>
    <cellStyle name="쉼표 [0] 9" xfId="317"/>
    <cellStyle name="스타일 1" xfId="132"/>
    <cellStyle name="연결된 셀 2" xfId="133"/>
    <cellStyle name="연결된 셀 3" xfId="134"/>
    <cellStyle name="연결된 셀 4" xfId="318"/>
    <cellStyle name="요약 2" xfId="135"/>
    <cellStyle name="요약 2 2" xfId="359"/>
    <cellStyle name="요약 2 2 2" xfId="667"/>
    <cellStyle name="요약 2 2 3" xfId="612"/>
    <cellStyle name="요약 2 3" xfId="636"/>
    <cellStyle name="요약 2 4" xfId="581"/>
    <cellStyle name="요약 3" xfId="136"/>
    <cellStyle name="요약 3 2" xfId="360"/>
    <cellStyle name="요약 3 2 2" xfId="668"/>
    <cellStyle name="요약 3 2 3" xfId="613"/>
    <cellStyle name="요약 3 3" xfId="637"/>
    <cellStyle name="요약 3 4" xfId="582"/>
    <cellStyle name="요약 4" xfId="319"/>
    <cellStyle name="요약 4 2" xfId="375"/>
    <cellStyle name="요약 4 2 2" xfId="683"/>
    <cellStyle name="요약 4 2 3" xfId="628"/>
    <cellStyle name="요약 4 3" xfId="652"/>
    <cellStyle name="요약 4 4" xfId="597"/>
    <cellStyle name="우괄호_박심배수구조물공" xfId="137"/>
    <cellStyle name="우측양괄호" xfId="138"/>
    <cellStyle name="일반" xfId="139"/>
    <cellStyle name="입력 2" xfId="140"/>
    <cellStyle name="입력 2 2" xfId="361"/>
    <cellStyle name="입력 2 2 2" xfId="669"/>
    <cellStyle name="입력 2 2 3" xfId="614"/>
    <cellStyle name="입력 2 3" xfId="638"/>
    <cellStyle name="입력 2 4" xfId="583"/>
    <cellStyle name="입력 3" xfId="141"/>
    <cellStyle name="입력 3 2" xfId="362"/>
    <cellStyle name="입력 3 2 2" xfId="670"/>
    <cellStyle name="입력 3 2 3" xfId="615"/>
    <cellStyle name="입력 3 3" xfId="639"/>
    <cellStyle name="입력 3 4" xfId="584"/>
    <cellStyle name="입력 4" xfId="320"/>
    <cellStyle name="입력 4 2" xfId="376"/>
    <cellStyle name="입력 4 2 2" xfId="684"/>
    <cellStyle name="입력 4 2 3" xfId="629"/>
    <cellStyle name="입력 4 3" xfId="653"/>
    <cellStyle name="입력 4 4" xfId="598"/>
    <cellStyle name="자리수" xfId="142"/>
    <cellStyle name="자리수 2" xfId="143"/>
    <cellStyle name="자리수_001. 시계열에 의한 인구" xfId="144"/>
    <cellStyle name="자리수0" xfId="145"/>
    <cellStyle name="자리수0 2" xfId="146"/>
    <cellStyle name="자리수0_001. 시계열에 의한 인구" xfId="147"/>
    <cellStyle name="제곱" xfId="148"/>
    <cellStyle name="제목 1 2" xfId="149"/>
    <cellStyle name="제목 1 3" xfId="321"/>
    <cellStyle name="제목 2 2" xfId="150"/>
    <cellStyle name="제목 2 3" xfId="322"/>
    <cellStyle name="제목 3 2" xfId="151"/>
    <cellStyle name="제목 3 3" xfId="323"/>
    <cellStyle name="제목 4 2" xfId="152"/>
    <cellStyle name="제목 4 3" xfId="324"/>
    <cellStyle name="제목 5" xfId="153"/>
    <cellStyle name="좋음 2" xfId="154"/>
    <cellStyle name="좋음 3" xfId="155"/>
    <cellStyle name="좋음 4" xfId="325"/>
    <cellStyle name="좌괄호_박심배수구조물공" xfId="156"/>
    <cellStyle name="좌측양괄호" xfId="157"/>
    <cellStyle name="지정되지 않음" xfId="158"/>
    <cellStyle name="출력 2" xfId="159"/>
    <cellStyle name="출력 2 2" xfId="363"/>
    <cellStyle name="출력 2 2 2" xfId="671"/>
    <cellStyle name="출력 2 2 3" xfId="616"/>
    <cellStyle name="출력 2 3" xfId="640"/>
    <cellStyle name="출력 2 4" xfId="585"/>
    <cellStyle name="출력 3" xfId="160"/>
    <cellStyle name="출력 3 2" xfId="364"/>
    <cellStyle name="출력 3 2 2" xfId="672"/>
    <cellStyle name="출력 3 2 3" xfId="617"/>
    <cellStyle name="출력 3 3" xfId="641"/>
    <cellStyle name="출력 3 4" xfId="586"/>
    <cellStyle name="출력 4" xfId="326"/>
    <cellStyle name="출력 4 2" xfId="377"/>
    <cellStyle name="출력 4 2 2" xfId="685"/>
    <cellStyle name="출력 4 2 3" xfId="630"/>
    <cellStyle name="출력 4 3" xfId="654"/>
    <cellStyle name="출력 4 4" xfId="599"/>
    <cellStyle name="콤" xfId="161"/>
    <cellStyle name="콤_용인시확인필요개발사업(확인)" xfId="162"/>
    <cellStyle name="콤마 [" xfId="163"/>
    <cellStyle name="콤마 [0]" xfId="164"/>
    <cellStyle name="콤마 [1]" xfId="165"/>
    <cellStyle name="콤마 [1] 2" xfId="333"/>
    <cellStyle name="콤마 [1] 2 2" xfId="655"/>
    <cellStyle name="콤마 [1] 2 3" xfId="600"/>
    <cellStyle name="콤마 [1] 3" xfId="365"/>
    <cellStyle name="콤마 [1] 3 2" xfId="673"/>
    <cellStyle name="콤마 [1] 3 3" xfId="618"/>
    <cellStyle name="콤마 [1] 4" xfId="355"/>
    <cellStyle name="콤마 [1] 4 2" xfId="663"/>
    <cellStyle name="콤마 [1] 4 3" xfId="608"/>
    <cellStyle name="콤마 [1] 5" xfId="642"/>
    <cellStyle name="콤마 [1] 6" xfId="587"/>
    <cellStyle name="콤마 [2]" xfId="166"/>
    <cellStyle name="콤마 [2] 2" xfId="167"/>
    <cellStyle name="콤마[ ]" xfId="390"/>
    <cellStyle name="콤마[*]" xfId="391"/>
    <cellStyle name="콤마[.]" xfId="392"/>
    <cellStyle name="콤마[0]" xfId="393"/>
    <cellStyle name="콤마_  종  합  " xfId="168"/>
    <cellStyle name="통" xfId="169"/>
    <cellStyle name="통_용인시확인필요개발사업(확인)" xfId="170"/>
    <cellStyle name="통화 [" xfId="171"/>
    <cellStyle name="통화 [0] 2" xfId="327"/>
    <cellStyle name="퍼센트" xfId="172"/>
    <cellStyle name="퍼센트 2" xfId="173"/>
    <cellStyle name="퍼센트_001. 시계열에 의한 인구" xfId="174"/>
    <cellStyle name="표" xfId="175"/>
    <cellStyle name="표_용인시확인필요개발사업(확인)" xfId="176"/>
    <cellStyle name="표준" xfId="0" builtinId="0"/>
    <cellStyle name="표준 10" xfId="278"/>
    <cellStyle name="표준 10 2" xfId="349"/>
    <cellStyle name="표준 10 2 2" xfId="657"/>
    <cellStyle name="표준 10 2 3" xfId="602"/>
    <cellStyle name="표준 10 3" xfId="348"/>
    <cellStyle name="표준 10 4" xfId="369"/>
    <cellStyle name="표준 10 4 2" xfId="677"/>
    <cellStyle name="표준 10 4 3" xfId="622"/>
    <cellStyle name="표준 10 5" xfId="646"/>
    <cellStyle name="표준 10 6" xfId="591"/>
    <cellStyle name="표준 11" xfId="281"/>
    <cellStyle name="표준 11 2" xfId="352"/>
    <cellStyle name="표준 11 2 2" xfId="660"/>
    <cellStyle name="표준 11 2 3" xfId="605"/>
    <cellStyle name="표준 11 3" xfId="347"/>
    <cellStyle name="표준 11 4" xfId="372"/>
    <cellStyle name="표준 11 4 2" xfId="680"/>
    <cellStyle name="표준 11 4 3" xfId="625"/>
    <cellStyle name="표준 11 5" xfId="649"/>
    <cellStyle name="표준 11 6" xfId="594"/>
    <cellStyle name="표준 117" xfId="395"/>
    <cellStyle name="표준 118" xfId="396"/>
    <cellStyle name="표준 119" xfId="397"/>
    <cellStyle name="표준 12" xfId="286"/>
    <cellStyle name="표준 12 2" xfId="346"/>
    <cellStyle name="표준 13" xfId="329"/>
    <cellStyle name="표준 13 2" xfId="345"/>
    <cellStyle name="표준 14" xfId="344"/>
    <cellStyle name="표준 15" xfId="343"/>
    <cellStyle name="표준 16" xfId="398"/>
    <cellStyle name="표준 17" xfId="399"/>
    <cellStyle name="표준 172" xfId="400"/>
    <cellStyle name="표준 18" xfId="401"/>
    <cellStyle name="표준 19" xfId="402"/>
    <cellStyle name="표준 2" xfId="2"/>
    <cellStyle name="표준 2 10" xfId="403"/>
    <cellStyle name="표준 2 11" xfId="404"/>
    <cellStyle name="표준 2 12" xfId="405"/>
    <cellStyle name="표준 2 13" xfId="406"/>
    <cellStyle name="표준 2 14" xfId="407"/>
    <cellStyle name="표준 2 15" xfId="408"/>
    <cellStyle name="표준 2 16" xfId="409"/>
    <cellStyle name="표준 2 17" xfId="410"/>
    <cellStyle name="표준 2 18" xfId="411"/>
    <cellStyle name="표준 2 19" xfId="412"/>
    <cellStyle name="표준 2 2" xfId="177"/>
    <cellStyle name="표준 2 2 2" xfId="382"/>
    <cellStyle name="표준 2 20" xfId="378"/>
    <cellStyle name="표준 2 3" xfId="285"/>
    <cellStyle name="표준 2 3 2" xfId="413"/>
    <cellStyle name="표준 2 4" xfId="342"/>
    <cellStyle name="표준 2 5" xfId="414"/>
    <cellStyle name="표준 2 6" xfId="415"/>
    <cellStyle name="표준 2 7" xfId="416"/>
    <cellStyle name="표준 2 8" xfId="417"/>
    <cellStyle name="표준 2 9" xfId="418"/>
    <cellStyle name="표준 2_1.2.1_(토공-관거)계획오수관거 신설(A,B-LINE)" xfId="178"/>
    <cellStyle name="표준 20" xfId="419"/>
    <cellStyle name="표준 20 2" xfId="420"/>
    <cellStyle name="표준 20 3" xfId="421"/>
    <cellStyle name="표준 20 4" xfId="422"/>
    <cellStyle name="표준 20 5" xfId="423"/>
    <cellStyle name="표준 21" xfId="424"/>
    <cellStyle name="표준 21 2" xfId="425"/>
    <cellStyle name="표준 21 3" xfId="426"/>
    <cellStyle name="표준 21 4" xfId="427"/>
    <cellStyle name="표준 21 5" xfId="428"/>
    <cellStyle name="표준 22" xfId="429"/>
    <cellStyle name="표준 22 2" xfId="430"/>
    <cellStyle name="표준 22 3" xfId="431"/>
    <cellStyle name="표준 22 4" xfId="432"/>
    <cellStyle name="표준 22 5" xfId="433"/>
    <cellStyle name="표준 23" xfId="434"/>
    <cellStyle name="표준 24" xfId="435"/>
    <cellStyle name="표준 25" xfId="436"/>
    <cellStyle name="표준 26" xfId="437"/>
    <cellStyle name="표준 27" xfId="438"/>
    <cellStyle name="표준 28" xfId="439"/>
    <cellStyle name="표준 29" xfId="440"/>
    <cellStyle name="표준 3" xfId="3"/>
    <cellStyle name="표준 3 2" xfId="179"/>
    <cellStyle name="표준 3 3" xfId="180"/>
    <cellStyle name="표준 3 4" xfId="341"/>
    <cellStyle name="표준 3_001. 시계열에 의한 인구" xfId="181"/>
    <cellStyle name="표준 30" xfId="441"/>
    <cellStyle name="표준 31" xfId="442"/>
    <cellStyle name="표준 32" xfId="443"/>
    <cellStyle name="표준 33" xfId="444"/>
    <cellStyle name="표준 34" xfId="445"/>
    <cellStyle name="표준 347" xfId="446"/>
    <cellStyle name="표준 35" xfId="447"/>
    <cellStyle name="표준 36" xfId="448"/>
    <cellStyle name="표준 37" xfId="449"/>
    <cellStyle name="표준 38" xfId="450"/>
    <cellStyle name="표준 38 2" xfId="451"/>
    <cellStyle name="표준 38 3" xfId="452"/>
    <cellStyle name="표준 38 4" xfId="453"/>
    <cellStyle name="표준 39" xfId="454"/>
    <cellStyle name="표준 39 2" xfId="455"/>
    <cellStyle name="표준 39 3" xfId="456"/>
    <cellStyle name="표준 39 4" xfId="457"/>
    <cellStyle name="표준 4" xfId="182"/>
    <cellStyle name="표준 4 2" xfId="340"/>
    <cellStyle name="표준 40" xfId="458"/>
    <cellStyle name="표준 40 2" xfId="459"/>
    <cellStyle name="표준 40 3" xfId="460"/>
    <cellStyle name="표준 40 4" xfId="461"/>
    <cellStyle name="표준 41" xfId="462"/>
    <cellStyle name="표준 41 2" xfId="463"/>
    <cellStyle name="표준 41 3" xfId="464"/>
    <cellStyle name="표준 41 4" xfId="465"/>
    <cellStyle name="표준 42" xfId="466"/>
    <cellStyle name="표준 42 2" xfId="467"/>
    <cellStyle name="표준 42 3" xfId="468"/>
    <cellStyle name="표준 42 4" xfId="469"/>
    <cellStyle name="표준 43" xfId="470"/>
    <cellStyle name="표준 44" xfId="471"/>
    <cellStyle name="표준 44 2" xfId="472"/>
    <cellStyle name="표준 44 3" xfId="473"/>
    <cellStyle name="표준 44 4" xfId="474"/>
    <cellStyle name="표준 45" xfId="475"/>
    <cellStyle name="표준 45 2" xfId="476"/>
    <cellStyle name="표준 45 3" xfId="477"/>
    <cellStyle name="표준 45 4" xfId="478"/>
    <cellStyle name="표준 46" xfId="479"/>
    <cellStyle name="표준 46 2" xfId="480"/>
    <cellStyle name="표준 46 3" xfId="481"/>
    <cellStyle name="표준 46 4" xfId="482"/>
    <cellStyle name="표준 47" xfId="483"/>
    <cellStyle name="표준 47 2" xfId="484"/>
    <cellStyle name="표준 47 3" xfId="485"/>
    <cellStyle name="표준 47 4" xfId="486"/>
    <cellStyle name="표준 48" xfId="487"/>
    <cellStyle name="표준 48 2" xfId="488"/>
    <cellStyle name="표준 48 3" xfId="489"/>
    <cellStyle name="표준 48 4" xfId="490"/>
    <cellStyle name="표준 49" xfId="491"/>
    <cellStyle name="표준 49 2" xfId="492"/>
    <cellStyle name="표준 49 3" xfId="493"/>
    <cellStyle name="표준 49 4" xfId="494"/>
    <cellStyle name="표준 5" xfId="183"/>
    <cellStyle name="표준 5 2" xfId="339"/>
    <cellStyle name="표준 50" xfId="495"/>
    <cellStyle name="표준 50 2" xfId="496"/>
    <cellStyle name="표준 50 3" xfId="497"/>
    <cellStyle name="표준 50 4" xfId="498"/>
    <cellStyle name="표준 51" xfId="499"/>
    <cellStyle name="표준 51 2" xfId="500"/>
    <cellStyle name="표준 51 3" xfId="501"/>
    <cellStyle name="표준 51 4" xfId="502"/>
    <cellStyle name="표준 52" xfId="503"/>
    <cellStyle name="표준 52 2" xfId="504"/>
    <cellStyle name="표준 52 3" xfId="505"/>
    <cellStyle name="표준 52 4" xfId="506"/>
    <cellStyle name="표준 53" xfId="507"/>
    <cellStyle name="표준 53 2" xfId="508"/>
    <cellStyle name="표준 53 3" xfId="509"/>
    <cellStyle name="표준 53 4" xfId="510"/>
    <cellStyle name="표준 54" xfId="511"/>
    <cellStyle name="표준 54 2" xfId="512"/>
    <cellStyle name="표준 54 3" xfId="513"/>
    <cellStyle name="표준 54 4" xfId="514"/>
    <cellStyle name="표준 55" xfId="515"/>
    <cellStyle name="표준 55 2" xfId="516"/>
    <cellStyle name="표준 55 3" xfId="517"/>
    <cellStyle name="표준 55 4" xfId="518"/>
    <cellStyle name="표준 56" xfId="519"/>
    <cellStyle name="표준 56 2" xfId="520"/>
    <cellStyle name="표준 56 3" xfId="521"/>
    <cellStyle name="표준 56 4" xfId="522"/>
    <cellStyle name="표준 57" xfId="523"/>
    <cellStyle name="표준 57 2" xfId="524"/>
    <cellStyle name="표준 57 3" xfId="525"/>
    <cellStyle name="표준 57 4" xfId="526"/>
    <cellStyle name="표준 58" xfId="527"/>
    <cellStyle name="표준 58 2" xfId="528"/>
    <cellStyle name="표준 58 3" xfId="529"/>
    <cellStyle name="표준 58 4" xfId="530"/>
    <cellStyle name="표준 59" xfId="531"/>
    <cellStyle name="표준 59 2" xfId="532"/>
    <cellStyle name="표준 59 3" xfId="533"/>
    <cellStyle name="표준 59 4" xfId="534"/>
    <cellStyle name="표준 6" xfId="184"/>
    <cellStyle name="표준 6 2" xfId="338"/>
    <cellStyle name="표준 60" xfId="535"/>
    <cellStyle name="표준 60 2" xfId="536"/>
    <cellStyle name="표준 60 3" xfId="537"/>
    <cellStyle name="표준 60 4" xfId="538"/>
    <cellStyle name="표준 61" xfId="539"/>
    <cellStyle name="표준 61 2" xfId="540"/>
    <cellStyle name="표준 61 3" xfId="541"/>
    <cellStyle name="표준 61 4" xfId="542"/>
    <cellStyle name="표준 62" xfId="543"/>
    <cellStyle name="표준 63" xfId="544"/>
    <cellStyle name="표준 64" xfId="545"/>
    <cellStyle name="표준 65" xfId="546"/>
    <cellStyle name="표준 66" xfId="547"/>
    <cellStyle name="표준 67" xfId="548"/>
    <cellStyle name="표준 68" xfId="549"/>
    <cellStyle name="표준 69" xfId="550"/>
    <cellStyle name="표준 7" xfId="185"/>
    <cellStyle name="표준 7 2" xfId="337"/>
    <cellStyle name="표준 70" xfId="551"/>
    <cellStyle name="표준 71" xfId="552"/>
    <cellStyle name="표준 72" xfId="553"/>
    <cellStyle name="표준 73" xfId="554"/>
    <cellStyle name="표준 74" xfId="555"/>
    <cellStyle name="표준 75" xfId="556"/>
    <cellStyle name="표준 76" xfId="557"/>
    <cellStyle name="표준 77" xfId="558"/>
    <cellStyle name="표준 78" xfId="559"/>
    <cellStyle name="표준 79" xfId="560"/>
    <cellStyle name="표준 8" xfId="186"/>
    <cellStyle name="표준 8 2" xfId="336"/>
    <cellStyle name="표준 80" xfId="561"/>
    <cellStyle name="표준 81" xfId="562"/>
    <cellStyle name="표준 82" xfId="563"/>
    <cellStyle name="표준 83" xfId="564"/>
    <cellStyle name="표준 84" xfId="565"/>
    <cellStyle name="표준 85" xfId="566"/>
    <cellStyle name="표준 86" xfId="567"/>
    <cellStyle name="표준 87" xfId="568"/>
    <cellStyle name="표준 88" xfId="569"/>
    <cellStyle name="표준 89" xfId="570"/>
    <cellStyle name="표준 9" xfId="187"/>
    <cellStyle name="표준 9 2" xfId="334"/>
    <cellStyle name="표준 90" xfId="571"/>
    <cellStyle name="표준 91" xfId="572"/>
    <cellStyle name="표준 92" xfId="573"/>
    <cellStyle name="표준 93" xfId="394"/>
    <cellStyle name="표준 94" xfId="688"/>
    <cellStyle name="표준 96" xfId="574"/>
    <cellStyle name="표준 98" xfId="575"/>
    <cellStyle name="표준 99" xfId="576"/>
    <cellStyle name="표준_002. 생잔법에 의한 인구" xfId="188"/>
    <cellStyle name="표준_1.인구 및 생활용수 수요량-1" xfId="189"/>
    <cellStyle name="標準_Akia(F）-8" xfId="190"/>
    <cellStyle name="표준_부록 1. 시도별 인구구조별 인구 및 구성비" xfId="283"/>
    <cellStyle name="표준_출산율,생명표,순이동률" xfId="284"/>
    <cellStyle name="표준_표준도시원단위(1991-2002)0817_1.원단위추정(특광역시)_2.원단위추정(경기도)" xfId="331"/>
    <cellStyle name="표준_표준도시원단위(1991-2002)0817_2.원단위추정(경기도)_1.원단위추정(특광역시)" xfId="332"/>
    <cellStyle name="하이퍼링크 2" xfId="330"/>
    <cellStyle name="합산" xfId="191"/>
    <cellStyle name="합산 2" xfId="192"/>
    <cellStyle name="합산_001. 시계열에 의한 인구" xfId="193"/>
    <cellStyle name="화폐기호" xfId="194"/>
    <cellStyle name="화폐기호 2" xfId="195"/>
    <cellStyle name="화폐기호_001. 시계열에 의한 인구" xfId="196"/>
    <cellStyle name="화폐기호0" xfId="197"/>
    <cellStyle name="화폐기호0 2" xfId="198"/>
    <cellStyle name="화폐기호0_001. 시계열에 의한 인구" xfId="199"/>
  </cellStyles>
  <dxfs count="11">
    <dxf>
      <font>
        <condense val="0"/>
        <extend val="0"/>
        <color indexed="17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17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17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r>
              <a:rPr lang="ko-KR" altLang="en-US" sz="100" b="1" i="0" u="none" strike="noStrike" baseline="0">
                <a:solidFill>
                  <a:srgbClr val="000000"/>
                </a:solidFill>
                <a:latin typeface="돋움"/>
                <a:ea typeface="돋움"/>
              </a:rPr>
              <a:t>장래인구추정</a:t>
            </a:r>
            <a:r>
              <a:rPr lang="ko-KR" altLang="en-US" sz="100" b="1" i="0" u="none" strike="noStrike" baseline="0">
                <a:solidFill>
                  <a:srgbClr val="000000"/>
                </a:solidFill>
                <a:latin typeface="가는둥근제목체"/>
                <a:ea typeface="가는둥근제목체"/>
              </a:rPr>
              <a:t>(</a:t>
            </a:r>
            <a:r>
              <a:rPr lang="ko-KR" altLang="en-US" sz="100" b="1" i="0" u="none" strike="noStrike" baseline="0">
                <a:solidFill>
                  <a:srgbClr val="000000"/>
                </a:solidFill>
                <a:latin typeface="돋움"/>
                <a:ea typeface="돋움"/>
              </a:rPr>
              <a:t>청주시</a:t>
            </a:r>
            <a:r>
              <a:rPr lang="ko-KR" altLang="en-US" sz="100" b="1" i="0" u="none" strike="noStrike" baseline="0">
                <a:solidFill>
                  <a:srgbClr val="000000"/>
                </a:solidFill>
                <a:latin typeface="가는둥근제목체"/>
                <a:ea typeface="가는둥근제목체"/>
              </a:rPr>
              <a:t>)</a:t>
            </a:r>
            <a:endParaRPr lang="ko-KR" altLang="en-US"/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과거인구추이분석!#REF!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과거인구추이분석!#REF!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과거인구추이분석!#REF!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과거인구추이분석!#REF!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과거인구추이분석!#REF!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과거인구추이분석!#REF!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과거인구추이분석!#REF!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과거인구추이분석!#REF!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과거인구추이분석!#REF!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과거인구추이분석!#REF!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과거인구추이분석!#REF!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과거인구추이분석!#REF!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/>
        <c:marker val="1"/>
        <c:axId val="105707392"/>
        <c:axId val="105708928"/>
      </c:lineChart>
      <c:catAx>
        <c:axId val="10570739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05708928"/>
        <c:crosses val="autoZero"/>
        <c:auto val="1"/>
        <c:lblAlgn val="ctr"/>
        <c:lblOffset val="100"/>
        <c:tickLblSkip val="1"/>
        <c:tickMarkSkip val="1"/>
      </c:catAx>
      <c:valAx>
        <c:axId val="105708928"/>
        <c:scaling>
          <c:orientation val="minMax"/>
          <c:min val="5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  <a:cs typeface="맑은 고딕"/>
                  </a:defRPr>
                </a:pPr>
                <a:r>
                  <a:rPr lang="ko-KR" altLang="en-US" sz="1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인 구 (인)</a:t>
                </a:r>
                <a:endParaRPr lang="ko-KR" altLang="en-US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10570739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돋움"/>
              <a:ea typeface="돋움"/>
              <a:cs typeface="돋움"/>
            </a:defRPr>
          </a:pPr>
          <a:endParaRPr lang="ko-K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  <c:printSettings>
    <c:headerFooter alignWithMargins="0"/>
    <c:pageMargins b="1" l="0.75000000000000222" r="0.75000000000000222" t="1" header="0.5" footer="0.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>
        <c:manualLayout>
          <c:layoutTarget val="inner"/>
          <c:xMode val="edge"/>
          <c:yMode val="edge"/>
          <c:x val="0.12846227316141401"/>
          <c:y val="5.2896790500028011E-2"/>
          <c:w val="0.8514804202483286"/>
          <c:h val="0.77330069921469302"/>
        </c:manualLayout>
      </c:layout>
      <c:lineChart>
        <c:grouping val="standard"/>
        <c:ser>
          <c:idx val="0"/>
          <c:order val="0"/>
          <c:tx>
            <c:strRef>
              <c:f>'1.1 다.과거인구추이분석'!$C$3</c:f>
              <c:strCache>
                <c:ptCount val="1"/>
                <c:pt idx="0">
                  <c:v>자연증가 인구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numRef>
              <c:f>'1.1 다.과거인구추이분석'!$A$7:$A$17</c:f>
              <c:numCache>
                <c:formatCode>#"년"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'1.1 다.과거인구추이분석'!$E$7:$E$17</c:f>
              <c:numCache>
                <c:formatCode>_-* #,##0_-;\-* #,##0_-;_-* "-"_-;_-@_-</c:formatCode>
                <c:ptCount val="11"/>
                <c:pt idx="0">
                  <c:v>-124</c:v>
                </c:pt>
                <c:pt idx="1">
                  <c:v>-221</c:v>
                </c:pt>
                <c:pt idx="2">
                  <c:v>-134</c:v>
                </c:pt>
                <c:pt idx="3">
                  <c:v>-69</c:v>
                </c:pt>
                <c:pt idx="4">
                  <c:v>-84</c:v>
                </c:pt>
                <c:pt idx="5">
                  <c:v>-118</c:v>
                </c:pt>
                <c:pt idx="6">
                  <c:v>-121</c:v>
                </c:pt>
                <c:pt idx="7">
                  <c:v>-144</c:v>
                </c:pt>
                <c:pt idx="8">
                  <c:v>-216</c:v>
                </c:pt>
                <c:pt idx="9">
                  <c:v>-267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'1.1 다.과거인구추이분석'!$G$3</c:f>
              <c:strCache>
                <c:ptCount val="1"/>
                <c:pt idx="0">
                  <c:v>사회적 유입인구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'1.1 다.과거인구추이분석'!$A$7:$A$17</c:f>
              <c:numCache>
                <c:formatCode>#"년"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'1.1 다.과거인구추이분석'!$G$7:$G$17</c:f>
              <c:numCache>
                <c:formatCode>_-* #,##0_-;\-* #,##0_-;_-* "-"_-;_-@_-</c:formatCode>
                <c:ptCount val="11"/>
                <c:pt idx="0">
                  <c:v>-96</c:v>
                </c:pt>
                <c:pt idx="1">
                  <c:v>-969</c:v>
                </c:pt>
                <c:pt idx="2">
                  <c:v>-569</c:v>
                </c:pt>
                <c:pt idx="3">
                  <c:v>-239</c:v>
                </c:pt>
                <c:pt idx="4">
                  <c:v>-282</c:v>
                </c:pt>
                <c:pt idx="5">
                  <c:v>856</c:v>
                </c:pt>
                <c:pt idx="6">
                  <c:v>257</c:v>
                </c:pt>
                <c:pt idx="7">
                  <c:v>395</c:v>
                </c:pt>
                <c:pt idx="8">
                  <c:v>-2353</c:v>
                </c:pt>
                <c:pt idx="9">
                  <c:v>560</c:v>
                </c:pt>
                <c:pt idx="10">
                  <c:v>-3975</c:v>
                </c:pt>
              </c:numCache>
            </c:numRef>
          </c:val>
        </c:ser>
        <c:ser>
          <c:idx val="2"/>
          <c:order val="2"/>
          <c:tx>
            <c:strRef>
              <c:f>'1.1 다.과거인구추이분석'!$J$4</c:f>
              <c:strCache>
                <c:ptCount val="1"/>
                <c:pt idx="0">
                  <c:v>계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'1.1 다.과거인구추이분석'!$A$7:$A$17</c:f>
              <c:numCache>
                <c:formatCode>#"년"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'1.1 다.과거인구추이분석'!$J$7:$J$17</c:f>
              <c:numCache>
                <c:formatCode>_-* #,##0_-;\-* #,##0_-;_-* "-"_-;_-@_-</c:formatCode>
                <c:ptCount val="11"/>
                <c:pt idx="0">
                  <c:v>-220</c:v>
                </c:pt>
                <c:pt idx="1">
                  <c:v>-1190</c:v>
                </c:pt>
                <c:pt idx="2">
                  <c:v>-703</c:v>
                </c:pt>
                <c:pt idx="3">
                  <c:v>-308</c:v>
                </c:pt>
                <c:pt idx="4">
                  <c:v>-366</c:v>
                </c:pt>
                <c:pt idx="5">
                  <c:v>738</c:v>
                </c:pt>
                <c:pt idx="6">
                  <c:v>136</c:v>
                </c:pt>
                <c:pt idx="7">
                  <c:v>251</c:v>
                </c:pt>
                <c:pt idx="8">
                  <c:v>-2569</c:v>
                </c:pt>
                <c:pt idx="9">
                  <c:v>293</c:v>
                </c:pt>
                <c:pt idx="10">
                  <c:v>-3975</c:v>
                </c:pt>
              </c:numCache>
            </c:numRef>
          </c:val>
        </c:ser>
        <c:dLbls/>
        <c:marker val="1"/>
        <c:axId val="105576704"/>
        <c:axId val="107233280"/>
      </c:lineChart>
      <c:catAx>
        <c:axId val="105576704"/>
        <c:scaling>
          <c:orientation val="minMax"/>
        </c:scaling>
        <c:axPos val="b"/>
        <c:numFmt formatCode="#&quot;년&quot;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Y울릉도L"/>
                <a:ea typeface="HY울릉도L"/>
                <a:cs typeface="HY울릉도L"/>
              </a:defRPr>
            </a:pPr>
            <a:endParaRPr lang="ko-KR"/>
          </a:p>
        </c:txPr>
        <c:crossAx val="107233280"/>
        <c:crossesAt val="-20000"/>
        <c:auto val="1"/>
        <c:lblAlgn val="ctr"/>
        <c:lblOffset val="100"/>
        <c:tickLblSkip val="1"/>
        <c:tickMarkSkip val="1"/>
      </c:catAx>
      <c:valAx>
        <c:axId val="107233280"/>
        <c:scaling>
          <c:orientation val="minMax"/>
          <c:max val="5000"/>
          <c:min val="-500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  <a:cs typeface="맑은 고딕"/>
                  </a:defRPr>
                </a:pPr>
                <a:r>
                  <a:rPr lang="ko-KR" altLang="en-US" sz="95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인 구 (인)</a:t>
                </a:r>
                <a:endParaRPr lang="ko-KR" altLang="en-US"/>
              </a:p>
            </c:rich>
          </c:tx>
          <c:layout>
            <c:manualLayout>
              <c:xMode val="edge"/>
              <c:yMode val="edge"/>
              <c:x val="7.163323782235E-3"/>
              <c:y val="0.36272093192381366"/>
            </c:manualLayout>
          </c:layout>
          <c:spPr>
            <a:noFill/>
            <a:ln w="25400">
              <a:noFill/>
            </a:ln>
          </c:spPr>
        </c:title>
        <c:numFmt formatCode="_-* #,##0_-;\-* #,##0_-;_-* &quot;-&quot;_-;_-@_-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Y울릉도L"/>
                <a:ea typeface="HY울릉도L"/>
                <a:cs typeface="HY울릉도L"/>
              </a:defRPr>
            </a:pPr>
            <a:endParaRPr lang="ko-KR"/>
          </a:p>
        </c:txPr>
        <c:crossAx val="105576704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11174785100357"/>
          <c:y val="0.91435874042192877"/>
          <c:w val="0.62893982808022963"/>
          <c:h val="5.541561712846371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HY울릉도L"/>
              <a:ea typeface="HY울릉도L"/>
              <a:cs typeface="HY울릉도L"/>
            </a:defRPr>
          </a:pPr>
          <a:endParaRPr lang="ko-KR"/>
        </a:p>
      </c:txPr>
    </c:legend>
    <c:plotVisOnly val="1"/>
    <c:dispBlanksAs val="gap"/>
  </c:chart>
  <c:spPr>
    <a:gradFill rotWithShape="0">
      <a:gsLst>
        <a:gs pos="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  <c:printSettings>
    <c:headerFooter alignWithMargins="0"/>
    <c:pageMargins b="1" l="0.75000000000000222" r="0.750000000000002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>
        <c:manualLayout>
          <c:layoutTarget val="inner"/>
          <c:xMode val="edge"/>
          <c:yMode val="edge"/>
          <c:x val="0.10267878323827165"/>
          <c:y val="5.5928533820377734E-2"/>
          <c:w val="0.86032388354150802"/>
          <c:h val="0.74049378778180008"/>
        </c:manualLayout>
      </c:layout>
      <c:scatterChart>
        <c:scatterStyle val="lineMarker"/>
        <c:ser>
          <c:idx val="0"/>
          <c:order val="0"/>
          <c:tx>
            <c:v>과거자료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ash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'1.2.1수학적인구 추정(전체)-10년치'!$A$5:$A$15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xVal>
          <c:yVal>
            <c:numRef>
              <c:f>'1.2.1수학적인구 추정(전체)-10년치'!$B$5:$B$15</c:f>
              <c:numCache>
                <c:formatCode>_-* #,##0_-;\-* #,##0_-;_-* "-"_-;_-@_-</c:formatCode>
                <c:ptCount val="11"/>
                <c:pt idx="0">
                  <c:v>90931</c:v>
                </c:pt>
                <c:pt idx="1">
                  <c:v>89555</c:v>
                </c:pt>
                <c:pt idx="2">
                  <c:v>88685</c:v>
                </c:pt>
                <c:pt idx="3">
                  <c:v>88176</c:v>
                </c:pt>
                <c:pt idx="4">
                  <c:v>87631</c:v>
                </c:pt>
                <c:pt idx="5">
                  <c:v>88078</c:v>
                </c:pt>
                <c:pt idx="6">
                  <c:v>88108</c:v>
                </c:pt>
                <c:pt idx="7">
                  <c:v>88415</c:v>
                </c:pt>
                <c:pt idx="8">
                  <c:v>85843</c:v>
                </c:pt>
                <c:pt idx="9">
                  <c:v>85853</c:v>
                </c:pt>
                <c:pt idx="10">
                  <c:v>83739</c:v>
                </c:pt>
              </c:numCache>
            </c:numRef>
          </c:yVal>
        </c:ser>
        <c:ser>
          <c:idx val="1"/>
          <c:order val="1"/>
          <c:tx>
            <c:strRef>
              <c:f>'1.2.1수학적인구 추정(전체)-10년치'!$C$4</c:f>
              <c:strCache>
                <c:ptCount val="1"/>
                <c:pt idx="0">
                  <c:v>1. 등차급수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'1.2.1수학적인구 추정(전체)-10년치'!$A$5:$A$37</c:f>
              <c:numCache>
                <c:formatCode>General</c:formatCode>
                <c:ptCount val="3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</c:numCache>
            </c:numRef>
          </c:xVal>
          <c:yVal>
            <c:numRef>
              <c:f>'1.2.1수학적인구 추정(전체)-10년치'!$C$5:$C$37</c:f>
              <c:numCache>
                <c:formatCode>_-* #,##0_-;\-* #,##0_-;_-* "-"_-;_-@_-</c:formatCode>
                <c:ptCount val="33"/>
                <c:pt idx="1">
                  <c:v>89630</c:v>
                </c:pt>
                <c:pt idx="2">
                  <c:v>89136</c:v>
                </c:pt>
                <c:pt idx="3">
                  <c:v>88642</c:v>
                </c:pt>
                <c:pt idx="4">
                  <c:v>88149</c:v>
                </c:pt>
                <c:pt idx="5">
                  <c:v>87655</c:v>
                </c:pt>
                <c:pt idx="6">
                  <c:v>87161</c:v>
                </c:pt>
                <c:pt idx="7">
                  <c:v>86668</c:v>
                </c:pt>
                <c:pt idx="8">
                  <c:v>86174</c:v>
                </c:pt>
                <c:pt idx="9">
                  <c:v>85681</c:v>
                </c:pt>
                <c:pt idx="10">
                  <c:v>85187</c:v>
                </c:pt>
                <c:pt idx="11">
                  <c:v>84693</c:v>
                </c:pt>
                <c:pt idx="12">
                  <c:v>84200</c:v>
                </c:pt>
                <c:pt idx="13">
                  <c:v>83706</c:v>
                </c:pt>
                <c:pt idx="14">
                  <c:v>83212</c:v>
                </c:pt>
                <c:pt idx="15">
                  <c:v>82719</c:v>
                </c:pt>
                <c:pt idx="16">
                  <c:v>82225</c:v>
                </c:pt>
                <c:pt idx="17">
                  <c:v>81731</c:v>
                </c:pt>
                <c:pt idx="18">
                  <c:v>81238</c:v>
                </c:pt>
                <c:pt idx="19">
                  <c:v>80744</c:v>
                </c:pt>
                <c:pt idx="20">
                  <c:v>80250</c:v>
                </c:pt>
                <c:pt idx="21">
                  <c:v>79757</c:v>
                </c:pt>
                <c:pt idx="22">
                  <c:v>79263</c:v>
                </c:pt>
                <c:pt idx="23">
                  <c:v>78770</c:v>
                </c:pt>
                <c:pt idx="24">
                  <c:v>78276</c:v>
                </c:pt>
                <c:pt idx="25">
                  <c:v>77782</c:v>
                </c:pt>
                <c:pt idx="26">
                  <c:v>77289</c:v>
                </c:pt>
                <c:pt idx="27">
                  <c:v>76795</c:v>
                </c:pt>
                <c:pt idx="28">
                  <c:v>76301</c:v>
                </c:pt>
                <c:pt idx="29">
                  <c:v>75808</c:v>
                </c:pt>
                <c:pt idx="30">
                  <c:v>75314</c:v>
                </c:pt>
                <c:pt idx="31">
                  <c:v>74820</c:v>
                </c:pt>
                <c:pt idx="32">
                  <c:v>74327</c:v>
                </c:pt>
              </c:numCache>
            </c:numRef>
          </c:yVal>
        </c:ser>
        <c:ser>
          <c:idx val="2"/>
          <c:order val="2"/>
          <c:tx>
            <c:strRef>
              <c:f>'1.2.1수학적인구 추정(전체)-10년치'!$D$4</c:f>
              <c:strCache>
                <c:ptCount val="1"/>
                <c:pt idx="0">
                  <c:v>2. 등비급수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'1.2.1수학적인구 추정(전체)-10년치'!$A$5:$A$37</c:f>
              <c:numCache>
                <c:formatCode>General</c:formatCode>
                <c:ptCount val="3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</c:numCache>
            </c:numRef>
          </c:xVal>
          <c:yVal>
            <c:numRef>
              <c:f>'1.2.1수학적인구 추정(전체)-10년치'!$D$5:$D$37</c:f>
              <c:numCache>
                <c:formatCode>_-* #,##0_-;\-* #,##0_-;_-* "-"_-;_-@_-</c:formatCode>
                <c:ptCount val="33"/>
                <c:pt idx="1">
                  <c:v>89658</c:v>
                </c:pt>
                <c:pt idx="2">
                  <c:v>89150</c:v>
                </c:pt>
                <c:pt idx="3">
                  <c:v>88644</c:v>
                </c:pt>
                <c:pt idx="4">
                  <c:v>88141</c:v>
                </c:pt>
                <c:pt idx="5">
                  <c:v>87641</c:v>
                </c:pt>
                <c:pt idx="6">
                  <c:v>87144</c:v>
                </c:pt>
                <c:pt idx="7">
                  <c:v>86650</c:v>
                </c:pt>
                <c:pt idx="8">
                  <c:v>86159</c:v>
                </c:pt>
                <c:pt idx="9">
                  <c:v>85670</c:v>
                </c:pt>
                <c:pt idx="10">
                  <c:v>85184</c:v>
                </c:pt>
                <c:pt idx="11">
                  <c:v>84701</c:v>
                </c:pt>
                <c:pt idx="12">
                  <c:v>84220</c:v>
                </c:pt>
                <c:pt idx="13">
                  <c:v>83743</c:v>
                </c:pt>
                <c:pt idx="14">
                  <c:v>83268</c:v>
                </c:pt>
                <c:pt idx="15">
                  <c:v>82796</c:v>
                </c:pt>
                <c:pt idx="16">
                  <c:v>82326</c:v>
                </c:pt>
                <c:pt idx="17">
                  <c:v>81859</c:v>
                </c:pt>
                <c:pt idx="18">
                  <c:v>81395</c:v>
                </c:pt>
                <c:pt idx="19">
                  <c:v>80933</c:v>
                </c:pt>
                <c:pt idx="20">
                  <c:v>80474</c:v>
                </c:pt>
                <c:pt idx="21">
                  <c:v>80018</c:v>
                </c:pt>
                <c:pt idx="22">
                  <c:v>79564</c:v>
                </c:pt>
                <c:pt idx="23">
                  <c:v>79112</c:v>
                </c:pt>
                <c:pt idx="24">
                  <c:v>78664</c:v>
                </c:pt>
                <c:pt idx="25">
                  <c:v>78218</c:v>
                </c:pt>
                <c:pt idx="26">
                  <c:v>77774</c:v>
                </c:pt>
                <c:pt idx="27">
                  <c:v>77333</c:v>
                </c:pt>
                <c:pt idx="28">
                  <c:v>76894</c:v>
                </c:pt>
                <c:pt idx="29">
                  <c:v>76458</c:v>
                </c:pt>
                <c:pt idx="30">
                  <c:v>76024</c:v>
                </c:pt>
                <c:pt idx="31">
                  <c:v>75593</c:v>
                </c:pt>
                <c:pt idx="32">
                  <c:v>75164</c:v>
                </c:pt>
              </c:numCache>
            </c:numRef>
          </c:yVal>
        </c:ser>
        <c:ser>
          <c:idx val="3"/>
          <c:order val="3"/>
          <c:tx>
            <c:strRef>
              <c:f>'1.2.1수학적인구 추정(전체)-10년치'!$E$4</c:f>
              <c:strCache>
                <c:ptCount val="1"/>
                <c:pt idx="0">
                  <c:v>3. 베기함수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'1.2.1수학적인구 추정(전체)-10년치'!$A$5:$A$37</c:f>
              <c:numCache>
                <c:formatCode>General</c:formatCode>
                <c:ptCount val="3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</c:numCache>
            </c:numRef>
          </c:xVal>
          <c:yVal>
            <c:numRef>
              <c:f>'1.2.1수학적인구 추정(전체)-10년치'!$E$5:$E$37</c:f>
              <c:numCache>
                <c:formatCode>_-* #,##0_-;\-* #,##0_-;_-* "-"_-;_-@_-</c:formatCode>
                <c:ptCount val="33"/>
                <c:pt idx="1">
                  <c:v>89659</c:v>
                </c:pt>
                <c:pt idx="2">
                  <c:v>89150</c:v>
                </c:pt>
                <c:pt idx="3">
                  <c:v>88644</c:v>
                </c:pt>
                <c:pt idx="4">
                  <c:v>88141</c:v>
                </c:pt>
                <c:pt idx="5">
                  <c:v>87641</c:v>
                </c:pt>
                <c:pt idx="6">
                  <c:v>87144</c:v>
                </c:pt>
                <c:pt idx="7">
                  <c:v>86650</c:v>
                </c:pt>
                <c:pt idx="8">
                  <c:v>86158</c:v>
                </c:pt>
                <c:pt idx="9">
                  <c:v>85670</c:v>
                </c:pt>
                <c:pt idx="10">
                  <c:v>85184</c:v>
                </c:pt>
                <c:pt idx="11">
                  <c:v>84701</c:v>
                </c:pt>
                <c:pt idx="12">
                  <c:v>84221</c:v>
                </c:pt>
                <c:pt idx="13">
                  <c:v>83744</c:v>
                </c:pt>
                <c:pt idx="14">
                  <c:v>83269</c:v>
                </c:pt>
                <c:pt idx="15">
                  <c:v>82797</c:v>
                </c:pt>
                <c:pt idx="16">
                  <c:v>82328</c:v>
                </c:pt>
                <c:pt idx="17">
                  <c:v>81862</c:v>
                </c:pt>
                <c:pt idx="18">
                  <c:v>81398</c:v>
                </c:pt>
                <c:pt idx="19">
                  <c:v>80937</c:v>
                </c:pt>
                <c:pt idx="20">
                  <c:v>80479</c:v>
                </c:pt>
                <c:pt idx="21">
                  <c:v>80023</c:v>
                </c:pt>
                <c:pt idx="22">
                  <c:v>79571</c:v>
                </c:pt>
                <c:pt idx="23">
                  <c:v>79120</c:v>
                </c:pt>
                <c:pt idx="24">
                  <c:v>78673</c:v>
                </c:pt>
                <c:pt idx="25">
                  <c:v>78227</c:v>
                </c:pt>
                <c:pt idx="26">
                  <c:v>77785</c:v>
                </c:pt>
                <c:pt idx="27">
                  <c:v>77345</c:v>
                </c:pt>
                <c:pt idx="28">
                  <c:v>76908</c:v>
                </c:pt>
                <c:pt idx="29">
                  <c:v>76473</c:v>
                </c:pt>
                <c:pt idx="30">
                  <c:v>76040</c:v>
                </c:pt>
                <c:pt idx="31">
                  <c:v>75610</c:v>
                </c:pt>
                <c:pt idx="32">
                  <c:v>75183</c:v>
                </c:pt>
              </c:numCache>
            </c:numRef>
          </c:yVal>
        </c:ser>
        <c:ser>
          <c:idx val="4"/>
          <c:order val="4"/>
          <c:tx>
            <c:strRef>
              <c:f>'1.2.1수학적인구 추정(전체)-10년치'!$F$4</c:f>
              <c:strCache>
                <c:ptCount val="1"/>
                <c:pt idx="0">
                  <c:v>4. 지수함수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'1.2.1수학적인구 추정(전체)-10년치'!$A$5:$A$37</c:f>
              <c:numCache>
                <c:formatCode>General</c:formatCode>
                <c:ptCount val="3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</c:numCache>
            </c:numRef>
          </c:xVal>
          <c:yVal>
            <c:numRef>
              <c:f>'1.2.1수학적인구 추정(전체)-10년치'!$F$5:$F$37</c:f>
              <c:numCache>
                <c:formatCode>_-* #,##0_-;\-* #,##0_-;_-* "-"_-;_-@_-</c:formatCode>
                <c:ptCount val="33"/>
                <c:pt idx="1">
                  <c:v>90194</c:v>
                </c:pt>
                <c:pt idx="2">
                  <c:v>88897</c:v>
                </c:pt>
                <c:pt idx="3">
                  <c:v>88148</c:v>
                </c:pt>
                <c:pt idx="4">
                  <c:v>87619</c:v>
                </c:pt>
                <c:pt idx="5">
                  <c:v>87212</c:v>
                </c:pt>
                <c:pt idx="6">
                  <c:v>86881</c:v>
                </c:pt>
                <c:pt idx="7">
                  <c:v>86601</c:v>
                </c:pt>
                <c:pt idx="8">
                  <c:v>86360</c:v>
                </c:pt>
                <c:pt idx="9">
                  <c:v>86148</c:v>
                </c:pt>
                <c:pt idx="10">
                  <c:v>85958</c:v>
                </c:pt>
                <c:pt idx="11">
                  <c:v>85787</c:v>
                </c:pt>
                <c:pt idx="12">
                  <c:v>85632</c:v>
                </c:pt>
                <c:pt idx="13">
                  <c:v>85489</c:v>
                </c:pt>
                <c:pt idx="14">
                  <c:v>85356</c:v>
                </c:pt>
                <c:pt idx="15">
                  <c:v>85233</c:v>
                </c:pt>
                <c:pt idx="16">
                  <c:v>85119</c:v>
                </c:pt>
                <c:pt idx="17">
                  <c:v>85011</c:v>
                </c:pt>
                <c:pt idx="18">
                  <c:v>84909</c:v>
                </c:pt>
                <c:pt idx="19">
                  <c:v>84814</c:v>
                </c:pt>
                <c:pt idx="20">
                  <c:v>84723</c:v>
                </c:pt>
                <c:pt idx="21">
                  <c:v>84637</c:v>
                </c:pt>
                <c:pt idx="22">
                  <c:v>84554</c:v>
                </c:pt>
                <c:pt idx="23">
                  <c:v>84476</c:v>
                </c:pt>
                <c:pt idx="24">
                  <c:v>84401</c:v>
                </c:pt>
                <c:pt idx="25">
                  <c:v>84329</c:v>
                </c:pt>
                <c:pt idx="26">
                  <c:v>84260</c:v>
                </c:pt>
                <c:pt idx="27">
                  <c:v>84193</c:v>
                </c:pt>
                <c:pt idx="28">
                  <c:v>84129</c:v>
                </c:pt>
                <c:pt idx="29">
                  <c:v>84068</c:v>
                </c:pt>
                <c:pt idx="30">
                  <c:v>84008</c:v>
                </c:pt>
                <c:pt idx="31">
                  <c:v>83951</c:v>
                </c:pt>
                <c:pt idx="32">
                  <c:v>83895</c:v>
                </c:pt>
              </c:numCache>
            </c:numRef>
          </c:yVal>
        </c:ser>
        <c:ser>
          <c:idx val="5"/>
          <c:order val="5"/>
          <c:tx>
            <c:strRef>
              <c:f>'1.2.1수학적인구 추정(전체)-10년치'!$G$4</c:f>
              <c:strCache>
                <c:ptCount val="1"/>
                <c:pt idx="0">
                  <c:v>5. 로지스틱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'1.2.1수학적인구 추정(전체)-10년치'!$A$5:$A$37</c:f>
              <c:numCache>
                <c:formatCode>General</c:formatCode>
                <c:ptCount val="3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</c:numCache>
            </c:numRef>
          </c:xVal>
          <c:yVal>
            <c:numRef>
              <c:f>'1.2.1수학적인구 추정(전체)-10년치'!$G$5:$G$37</c:f>
              <c:numCache>
                <c:formatCode>_-* #,##0_-;\-* #,##0_-;_-* "-"_-;_-@_-</c:formatCode>
                <c:ptCount val="33"/>
                <c:pt idx="1">
                  <c:v>89230</c:v>
                </c:pt>
                <c:pt idx="2">
                  <c:v>89075</c:v>
                </c:pt>
                <c:pt idx="3">
                  <c:v>88871</c:v>
                </c:pt>
                <c:pt idx="4">
                  <c:v>88604</c:v>
                </c:pt>
                <c:pt idx="5">
                  <c:v>88253</c:v>
                </c:pt>
                <c:pt idx="6">
                  <c:v>87794</c:v>
                </c:pt>
                <c:pt idx="7">
                  <c:v>87195</c:v>
                </c:pt>
                <c:pt idx="8">
                  <c:v>86417</c:v>
                </c:pt>
                <c:pt idx="9">
                  <c:v>85410</c:v>
                </c:pt>
                <c:pt idx="10">
                  <c:v>84115</c:v>
                </c:pt>
                <c:pt idx="11">
                  <c:v>82464</c:v>
                </c:pt>
                <c:pt idx="12">
                  <c:v>80381</c:v>
                </c:pt>
                <c:pt idx="13">
                  <c:v>77786</c:v>
                </c:pt>
                <c:pt idx="14">
                  <c:v>74605</c:v>
                </c:pt>
                <c:pt idx="15">
                  <c:v>70782</c:v>
                </c:pt>
                <c:pt idx="16">
                  <c:v>66295</c:v>
                </c:pt>
                <c:pt idx="17">
                  <c:v>61174</c:v>
                </c:pt>
                <c:pt idx="18">
                  <c:v>55511</c:v>
                </c:pt>
                <c:pt idx="19">
                  <c:v>49464</c:v>
                </c:pt>
                <c:pt idx="20">
                  <c:v>43243</c:v>
                </c:pt>
                <c:pt idx="21">
                  <c:v>37084</c:v>
                </c:pt>
                <c:pt idx="22">
                  <c:v>31212</c:v>
                </c:pt>
                <c:pt idx="23">
                  <c:v>25814</c:v>
                </c:pt>
                <c:pt idx="24">
                  <c:v>21015</c:v>
                </c:pt>
                <c:pt idx="25">
                  <c:v>16872</c:v>
                </c:pt>
                <c:pt idx="26">
                  <c:v>13387</c:v>
                </c:pt>
                <c:pt idx="27">
                  <c:v>10517</c:v>
                </c:pt>
                <c:pt idx="28">
                  <c:v>8197</c:v>
                </c:pt>
                <c:pt idx="29">
                  <c:v>6348</c:v>
                </c:pt>
                <c:pt idx="30">
                  <c:v>4890</c:v>
                </c:pt>
                <c:pt idx="31">
                  <c:v>3753</c:v>
                </c:pt>
                <c:pt idx="32">
                  <c:v>2871</c:v>
                </c:pt>
              </c:numCache>
            </c:numRef>
          </c:yVal>
        </c:ser>
        <c:ser>
          <c:idx val="6"/>
          <c:order val="6"/>
          <c:tx>
            <c:strRef>
              <c:f>'1.2.1수학적인구 추정(전체)-10년치'!$H$4</c:f>
              <c:strCache>
                <c:ptCount val="1"/>
                <c:pt idx="0">
                  <c:v>6. 수정지수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'1.2.1수학적인구 추정(전체)-10년치'!$A$5:$A$37</c:f>
              <c:numCache>
                <c:formatCode>General</c:formatCode>
                <c:ptCount val="3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</c:numCache>
            </c:numRef>
          </c:xVal>
          <c:yVal>
            <c:numRef>
              <c:f>'1.2.1수학적인구 추정(전체)-10년치'!$H$5:$H$37</c:f>
              <c:numCache>
                <c:formatCode>_-* #,##0_-;\-* #,##0_-;_-* "-"_-;_-@_-</c:formatCode>
                <c:ptCount val="33"/>
                <c:pt idx="1">
                  <c:v>89228</c:v>
                </c:pt>
                <c:pt idx="2">
                  <c:v>89075</c:v>
                </c:pt>
                <c:pt idx="3">
                  <c:v>88874</c:v>
                </c:pt>
                <c:pt idx="4">
                  <c:v>88611</c:v>
                </c:pt>
                <c:pt idx="5">
                  <c:v>88264</c:v>
                </c:pt>
                <c:pt idx="6">
                  <c:v>87809</c:v>
                </c:pt>
                <c:pt idx="7">
                  <c:v>87212</c:v>
                </c:pt>
                <c:pt idx="8">
                  <c:v>86426</c:v>
                </c:pt>
                <c:pt idx="9">
                  <c:v>85395</c:v>
                </c:pt>
                <c:pt idx="10">
                  <c:v>84040</c:v>
                </c:pt>
                <c:pt idx="11">
                  <c:v>82260</c:v>
                </c:pt>
                <c:pt idx="12">
                  <c:v>79922</c:v>
                </c:pt>
                <c:pt idx="13">
                  <c:v>76850</c:v>
                </c:pt>
                <c:pt idx="14">
                  <c:v>72815</c:v>
                </c:pt>
                <c:pt idx="15">
                  <c:v>67514</c:v>
                </c:pt>
                <c:pt idx="16">
                  <c:v>60551</c:v>
                </c:pt>
                <c:pt idx="17">
                  <c:v>51404</c:v>
                </c:pt>
                <c:pt idx="18">
                  <c:v>39388</c:v>
                </c:pt>
                <c:pt idx="19">
                  <c:v>23604</c:v>
                </c:pt>
                <c:pt idx="20">
                  <c:v>2868</c:v>
                </c:pt>
                <c:pt idx="21">
                  <c:v>-24370</c:v>
                </c:pt>
                <c:pt idx="22">
                  <c:v>-60152</c:v>
                </c:pt>
                <c:pt idx="23">
                  <c:v>-107157</c:v>
                </c:pt>
                <c:pt idx="24">
                  <c:v>-168905</c:v>
                </c:pt>
                <c:pt idx="25">
                  <c:v>-250019</c:v>
                </c:pt>
                <c:pt idx="26">
                  <c:v>-356574</c:v>
                </c:pt>
                <c:pt idx="27">
                  <c:v>-496550</c:v>
                </c:pt>
                <c:pt idx="28">
                  <c:v>-680428</c:v>
                </c:pt>
                <c:pt idx="29">
                  <c:v>-921978</c:v>
                </c:pt>
                <c:pt idx="30">
                  <c:v>-1239288</c:v>
                </c:pt>
                <c:pt idx="31">
                  <c:v>-1656121</c:v>
                </c:pt>
                <c:pt idx="32">
                  <c:v>-2203690</c:v>
                </c:pt>
              </c:numCache>
            </c:numRef>
          </c:yVal>
        </c:ser>
        <c:dLbls/>
        <c:axId val="107298176"/>
        <c:axId val="107320832"/>
      </c:scatterChart>
      <c:valAx>
        <c:axId val="107298176"/>
        <c:scaling>
          <c:orientation val="minMax"/>
          <c:max val="2035"/>
          <c:min val="200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ko-KR"/>
                  <a:t>연도</a:t>
                </a:r>
              </a:p>
            </c:rich>
          </c:tx>
          <c:layout>
            <c:manualLayout>
              <c:xMode val="edge"/>
              <c:yMode val="edge"/>
              <c:x val="0.50739982136888628"/>
              <c:y val="0.861299507137667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ko-KR"/>
          </a:p>
        </c:txPr>
        <c:crossAx val="107320832"/>
        <c:crosses val="autoZero"/>
        <c:crossBetween val="midCat"/>
        <c:majorUnit val="5"/>
        <c:minorUnit val="1"/>
      </c:valAx>
      <c:valAx>
        <c:axId val="107320832"/>
        <c:scaling>
          <c:orientation val="minMax"/>
          <c:max val="100000"/>
          <c:min val="7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ko-KR"/>
                  <a:t>인구</a:t>
                </a:r>
                <a:r>
                  <a:rPr lang="en-US"/>
                  <a:t>(</a:t>
                </a:r>
                <a:r>
                  <a:rPr lang="ko-KR"/>
                  <a:t>인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5.8062641447884289E-3"/>
              <c:y val="0.35794232332890585"/>
            </c:manualLayout>
          </c:layout>
          <c:spPr>
            <a:noFill/>
            <a:ln w="25400">
              <a:noFill/>
            </a:ln>
          </c:spPr>
        </c:title>
        <c:numFmt formatCode="#,##0;[Red]\-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ko-KR"/>
          </a:p>
        </c:txPr>
        <c:crossAx val="1072981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62158204737078"/>
          <c:y val="0.92176617975152331"/>
          <c:w val="0.8065543372840398"/>
          <c:h val="6.925550054224403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+mn-ea"/>
          <a:ea typeface="+mn-ea"/>
          <a:cs typeface="돋움"/>
        </a:defRPr>
      </a:pPr>
      <a:endParaRPr lang="ko-KR"/>
    </a:p>
  </c:txPr>
  <c:printSettings>
    <c:headerFooter alignWithMargins="0"/>
    <c:pageMargins b="0.83000000000000063" l="0.75000000000000155" r="0.75000000000000155" t="1" header="0.5" footer="0.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>
        <c:manualLayout>
          <c:layoutTarget val="inner"/>
          <c:xMode val="edge"/>
          <c:yMode val="edge"/>
          <c:x val="7.5898535155015878E-2"/>
          <c:y val="4.916422947131617E-2"/>
          <c:w val="0.90808862375349164"/>
          <c:h val="0.77155455568054065"/>
        </c:manualLayout>
      </c:layout>
      <c:lineChart>
        <c:grouping val="standard"/>
        <c:ser>
          <c:idx val="1"/>
          <c:order val="1"/>
          <c:tx>
            <c:strRef>
              <c:f>내포외부유입율!$C$3</c:f>
              <c:strCache>
                <c:ptCount val="1"/>
                <c:pt idx="0">
                  <c:v>홍성군내</c:v>
                </c:pt>
              </c:strCache>
            </c:strRef>
          </c:tx>
          <c:cat>
            <c:multiLvlStrRef>
              <c:f>내포외부유입율!$A$4:$B$42</c:f>
              <c:multiLvlStrCache>
                <c:ptCount val="39"/>
                <c:lvl>
                  <c:pt idx="0">
                    <c:v>1월</c:v>
                  </c:pt>
                  <c:pt idx="1">
                    <c:v>2월</c:v>
                  </c:pt>
                  <c:pt idx="2">
                    <c:v>3월</c:v>
                  </c:pt>
                  <c:pt idx="3">
                    <c:v>4월</c:v>
                  </c:pt>
                  <c:pt idx="4">
                    <c:v>5월</c:v>
                  </c:pt>
                  <c:pt idx="5">
                    <c:v>6월</c:v>
                  </c:pt>
                  <c:pt idx="6">
                    <c:v>7월</c:v>
                  </c:pt>
                  <c:pt idx="7">
                    <c:v>8월</c:v>
                  </c:pt>
                  <c:pt idx="8">
                    <c:v>9월</c:v>
                  </c:pt>
                  <c:pt idx="9">
                    <c:v>10월</c:v>
                  </c:pt>
                  <c:pt idx="10">
                    <c:v>11월</c:v>
                  </c:pt>
                  <c:pt idx="11">
                    <c:v>12월</c:v>
                  </c:pt>
                  <c:pt idx="12">
                    <c:v>1월</c:v>
                  </c:pt>
                  <c:pt idx="13">
                    <c:v>2월</c:v>
                  </c:pt>
                  <c:pt idx="14">
                    <c:v>3월</c:v>
                  </c:pt>
                  <c:pt idx="15">
                    <c:v>4월</c:v>
                  </c:pt>
                  <c:pt idx="16">
                    <c:v>5월</c:v>
                  </c:pt>
                  <c:pt idx="17">
                    <c:v>6월</c:v>
                  </c:pt>
                  <c:pt idx="18">
                    <c:v>7월</c:v>
                  </c:pt>
                  <c:pt idx="19">
                    <c:v>8월</c:v>
                  </c:pt>
                  <c:pt idx="20">
                    <c:v>9월</c:v>
                  </c:pt>
                  <c:pt idx="21">
                    <c:v>10월</c:v>
                  </c:pt>
                  <c:pt idx="22">
                    <c:v>11월</c:v>
                  </c:pt>
                  <c:pt idx="23">
                    <c:v>12월</c:v>
                  </c:pt>
                  <c:pt idx="24">
                    <c:v>1월</c:v>
                  </c:pt>
                  <c:pt idx="25">
                    <c:v>2월</c:v>
                  </c:pt>
                  <c:pt idx="26">
                    <c:v>3월</c:v>
                  </c:pt>
                  <c:pt idx="27">
                    <c:v>4월</c:v>
                  </c:pt>
                  <c:pt idx="28">
                    <c:v>5월</c:v>
                  </c:pt>
                  <c:pt idx="29">
                    <c:v>6월</c:v>
                  </c:pt>
                  <c:pt idx="30">
                    <c:v>7월</c:v>
                  </c:pt>
                  <c:pt idx="31">
                    <c:v>8월</c:v>
                  </c:pt>
                  <c:pt idx="32">
                    <c:v>9월</c:v>
                  </c:pt>
                  <c:pt idx="33">
                    <c:v>10월</c:v>
                  </c:pt>
                  <c:pt idx="34">
                    <c:v>11월</c:v>
                  </c:pt>
                  <c:pt idx="35">
                    <c:v>12월</c:v>
                  </c:pt>
                  <c:pt idx="36">
                    <c:v>1월</c:v>
                  </c:pt>
                  <c:pt idx="37">
                    <c:v>2월</c:v>
                  </c:pt>
                  <c:pt idx="38">
                    <c:v>7월</c:v>
                  </c:pt>
                </c:lvl>
                <c:lvl>
                  <c:pt idx="0">
                    <c:v>2014년</c:v>
                  </c:pt>
                  <c:pt idx="12">
                    <c:v>2015년</c:v>
                  </c:pt>
                  <c:pt idx="24">
                    <c:v>2016년</c:v>
                  </c:pt>
                  <c:pt idx="36">
                    <c:v>2017년</c:v>
                  </c:pt>
                </c:lvl>
              </c:multiLvlStrCache>
            </c:multiLvlStrRef>
          </c:cat>
          <c:val>
            <c:numRef>
              <c:f>내포외부유입율!$C$4:$C$42</c:f>
              <c:numCache>
                <c:formatCode>#,##0_ </c:formatCode>
                <c:ptCount val="39"/>
                <c:pt idx="0">
                  <c:v>36</c:v>
                </c:pt>
                <c:pt idx="1">
                  <c:v>50</c:v>
                </c:pt>
                <c:pt idx="2">
                  <c:v>58</c:v>
                </c:pt>
                <c:pt idx="3">
                  <c:v>31</c:v>
                </c:pt>
                <c:pt idx="4">
                  <c:v>143</c:v>
                </c:pt>
                <c:pt idx="5">
                  <c:v>194</c:v>
                </c:pt>
                <c:pt idx="6">
                  <c:v>190</c:v>
                </c:pt>
                <c:pt idx="7">
                  <c:v>139</c:v>
                </c:pt>
                <c:pt idx="8">
                  <c:v>102</c:v>
                </c:pt>
                <c:pt idx="9">
                  <c:v>363</c:v>
                </c:pt>
                <c:pt idx="10">
                  <c:v>211</c:v>
                </c:pt>
                <c:pt idx="11">
                  <c:v>233</c:v>
                </c:pt>
                <c:pt idx="12">
                  <c:v>193</c:v>
                </c:pt>
                <c:pt idx="13">
                  <c:v>121</c:v>
                </c:pt>
                <c:pt idx="14">
                  <c:v>106</c:v>
                </c:pt>
                <c:pt idx="15">
                  <c:v>90</c:v>
                </c:pt>
                <c:pt idx="16">
                  <c:v>72</c:v>
                </c:pt>
                <c:pt idx="17">
                  <c:v>66</c:v>
                </c:pt>
                <c:pt idx="18">
                  <c:v>38</c:v>
                </c:pt>
                <c:pt idx="19">
                  <c:v>47</c:v>
                </c:pt>
                <c:pt idx="20">
                  <c:v>329</c:v>
                </c:pt>
                <c:pt idx="21">
                  <c:v>508</c:v>
                </c:pt>
                <c:pt idx="22">
                  <c:v>372</c:v>
                </c:pt>
                <c:pt idx="23">
                  <c:v>185</c:v>
                </c:pt>
                <c:pt idx="24">
                  <c:v>160</c:v>
                </c:pt>
                <c:pt idx="25">
                  <c:v>345</c:v>
                </c:pt>
                <c:pt idx="26">
                  <c:v>264</c:v>
                </c:pt>
                <c:pt idx="27">
                  <c:v>195</c:v>
                </c:pt>
                <c:pt idx="28">
                  <c:v>997</c:v>
                </c:pt>
                <c:pt idx="29">
                  <c:v>518</c:v>
                </c:pt>
                <c:pt idx="30">
                  <c:v>302</c:v>
                </c:pt>
                <c:pt idx="31">
                  <c:v>276</c:v>
                </c:pt>
                <c:pt idx="32">
                  <c:v>180</c:v>
                </c:pt>
                <c:pt idx="33">
                  <c:v>238</c:v>
                </c:pt>
                <c:pt idx="34">
                  <c:v>181</c:v>
                </c:pt>
                <c:pt idx="35">
                  <c:v>142</c:v>
                </c:pt>
                <c:pt idx="36">
                  <c:v>135</c:v>
                </c:pt>
                <c:pt idx="37">
                  <c:v>133</c:v>
                </c:pt>
                <c:pt idx="38">
                  <c:v>81</c:v>
                </c:pt>
              </c:numCache>
            </c:numRef>
          </c:val>
        </c:ser>
        <c:ser>
          <c:idx val="2"/>
          <c:order val="2"/>
          <c:tx>
            <c:strRef>
              <c:f>내포외부유입율!$D$3</c:f>
              <c:strCache>
                <c:ptCount val="1"/>
                <c:pt idx="0">
                  <c:v>타시군</c:v>
                </c:pt>
              </c:strCache>
            </c:strRef>
          </c:tx>
          <c:cat>
            <c:multiLvlStrRef>
              <c:f>내포외부유입율!$A$4:$B$42</c:f>
              <c:multiLvlStrCache>
                <c:ptCount val="39"/>
                <c:lvl>
                  <c:pt idx="0">
                    <c:v>1월</c:v>
                  </c:pt>
                  <c:pt idx="1">
                    <c:v>2월</c:v>
                  </c:pt>
                  <c:pt idx="2">
                    <c:v>3월</c:v>
                  </c:pt>
                  <c:pt idx="3">
                    <c:v>4월</c:v>
                  </c:pt>
                  <c:pt idx="4">
                    <c:v>5월</c:v>
                  </c:pt>
                  <c:pt idx="5">
                    <c:v>6월</c:v>
                  </c:pt>
                  <c:pt idx="6">
                    <c:v>7월</c:v>
                  </c:pt>
                  <c:pt idx="7">
                    <c:v>8월</c:v>
                  </c:pt>
                  <c:pt idx="8">
                    <c:v>9월</c:v>
                  </c:pt>
                  <c:pt idx="9">
                    <c:v>10월</c:v>
                  </c:pt>
                  <c:pt idx="10">
                    <c:v>11월</c:v>
                  </c:pt>
                  <c:pt idx="11">
                    <c:v>12월</c:v>
                  </c:pt>
                  <c:pt idx="12">
                    <c:v>1월</c:v>
                  </c:pt>
                  <c:pt idx="13">
                    <c:v>2월</c:v>
                  </c:pt>
                  <c:pt idx="14">
                    <c:v>3월</c:v>
                  </c:pt>
                  <c:pt idx="15">
                    <c:v>4월</c:v>
                  </c:pt>
                  <c:pt idx="16">
                    <c:v>5월</c:v>
                  </c:pt>
                  <c:pt idx="17">
                    <c:v>6월</c:v>
                  </c:pt>
                  <c:pt idx="18">
                    <c:v>7월</c:v>
                  </c:pt>
                  <c:pt idx="19">
                    <c:v>8월</c:v>
                  </c:pt>
                  <c:pt idx="20">
                    <c:v>9월</c:v>
                  </c:pt>
                  <c:pt idx="21">
                    <c:v>10월</c:v>
                  </c:pt>
                  <c:pt idx="22">
                    <c:v>11월</c:v>
                  </c:pt>
                  <c:pt idx="23">
                    <c:v>12월</c:v>
                  </c:pt>
                  <c:pt idx="24">
                    <c:v>1월</c:v>
                  </c:pt>
                  <c:pt idx="25">
                    <c:v>2월</c:v>
                  </c:pt>
                  <c:pt idx="26">
                    <c:v>3월</c:v>
                  </c:pt>
                  <c:pt idx="27">
                    <c:v>4월</c:v>
                  </c:pt>
                  <c:pt idx="28">
                    <c:v>5월</c:v>
                  </c:pt>
                  <c:pt idx="29">
                    <c:v>6월</c:v>
                  </c:pt>
                  <c:pt idx="30">
                    <c:v>7월</c:v>
                  </c:pt>
                  <c:pt idx="31">
                    <c:v>8월</c:v>
                  </c:pt>
                  <c:pt idx="32">
                    <c:v>9월</c:v>
                  </c:pt>
                  <c:pt idx="33">
                    <c:v>10월</c:v>
                  </c:pt>
                  <c:pt idx="34">
                    <c:v>11월</c:v>
                  </c:pt>
                  <c:pt idx="35">
                    <c:v>12월</c:v>
                  </c:pt>
                  <c:pt idx="36">
                    <c:v>1월</c:v>
                  </c:pt>
                  <c:pt idx="37">
                    <c:v>2월</c:v>
                  </c:pt>
                  <c:pt idx="38">
                    <c:v>7월</c:v>
                  </c:pt>
                </c:lvl>
                <c:lvl>
                  <c:pt idx="0">
                    <c:v>2014년</c:v>
                  </c:pt>
                  <c:pt idx="12">
                    <c:v>2015년</c:v>
                  </c:pt>
                  <c:pt idx="24">
                    <c:v>2016년</c:v>
                  </c:pt>
                  <c:pt idx="36">
                    <c:v>2017년</c:v>
                  </c:pt>
                </c:lvl>
              </c:multiLvlStrCache>
            </c:multiLvlStrRef>
          </c:cat>
          <c:val>
            <c:numRef>
              <c:f>내포외부유입율!$D$4:$D$42</c:f>
              <c:numCache>
                <c:formatCode>#,##0_ </c:formatCode>
                <c:ptCount val="39"/>
                <c:pt idx="0">
                  <c:v>37</c:v>
                </c:pt>
                <c:pt idx="1">
                  <c:v>51</c:v>
                </c:pt>
                <c:pt idx="2">
                  <c:v>60</c:v>
                </c:pt>
                <c:pt idx="3">
                  <c:v>38</c:v>
                </c:pt>
                <c:pt idx="4">
                  <c:v>126</c:v>
                </c:pt>
                <c:pt idx="5">
                  <c:v>138</c:v>
                </c:pt>
                <c:pt idx="6">
                  <c:v>117</c:v>
                </c:pt>
                <c:pt idx="7">
                  <c:v>128</c:v>
                </c:pt>
                <c:pt idx="8">
                  <c:v>126</c:v>
                </c:pt>
                <c:pt idx="9">
                  <c:v>320</c:v>
                </c:pt>
                <c:pt idx="10">
                  <c:v>190</c:v>
                </c:pt>
                <c:pt idx="11">
                  <c:v>162</c:v>
                </c:pt>
                <c:pt idx="12">
                  <c:v>194</c:v>
                </c:pt>
                <c:pt idx="13">
                  <c:v>208</c:v>
                </c:pt>
                <c:pt idx="14">
                  <c:v>153</c:v>
                </c:pt>
                <c:pt idx="15">
                  <c:v>83</c:v>
                </c:pt>
                <c:pt idx="16">
                  <c:v>44</c:v>
                </c:pt>
                <c:pt idx="17">
                  <c:v>69</c:v>
                </c:pt>
                <c:pt idx="18">
                  <c:v>59</c:v>
                </c:pt>
                <c:pt idx="19">
                  <c:v>53</c:v>
                </c:pt>
                <c:pt idx="20">
                  <c:v>270</c:v>
                </c:pt>
                <c:pt idx="21">
                  <c:v>430</c:v>
                </c:pt>
                <c:pt idx="22">
                  <c:v>356</c:v>
                </c:pt>
                <c:pt idx="23">
                  <c:v>243</c:v>
                </c:pt>
                <c:pt idx="24">
                  <c:v>185</c:v>
                </c:pt>
                <c:pt idx="25">
                  <c:v>422</c:v>
                </c:pt>
                <c:pt idx="26">
                  <c:v>275</c:v>
                </c:pt>
                <c:pt idx="27">
                  <c:v>193</c:v>
                </c:pt>
                <c:pt idx="28">
                  <c:v>902</c:v>
                </c:pt>
                <c:pt idx="29">
                  <c:v>560</c:v>
                </c:pt>
                <c:pt idx="30">
                  <c:v>342</c:v>
                </c:pt>
                <c:pt idx="31">
                  <c:v>356</c:v>
                </c:pt>
                <c:pt idx="32">
                  <c:v>204</c:v>
                </c:pt>
                <c:pt idx="33">
                  <c:v>230</c:v>
                </c:pt>
                <c:pt idx="34">
                  <c:v>220</c:v>
                </c:pt>
                <c:pt idx="35">
                  <c:v>221</c:v>
                </c:pt>
                <c:pt idx="36">
                  <c:v>245</c:v>
                </c:pt>
                <c:pt idx="37">
                  <c:v>241</c:v>
                </c:pt>
                <c:pt idx="38">
                  <c:v>121</c:v>
                </c:pt>
              </c:numCache>
            </c:numRef>
          </c:val>
        </c:ser>
        <c:ser>
          <c:idx val="3"/>
          <c:order val="3"/>
          <c:tx>
            <c:strRef>
              <c:f>내포외부유입율!$E$3</c:f>
              <c:strCache>
                <c:ptCount val="1"/>
                <c:pt idx="0">
                  <c:v>타시도</c:v>
                </c:pt>
              </c:strCache>
            </c:strRef>
          </c:tx>
          <c:cat>
            <c:multiLvlStrRef>
              <c:f>내포외부유입율!$A$4:$B$42</c:f>
              <c:multiLvlStrCache>
                <c:ptCount val="39"/>
                <c:lvl>
                  <c:pt idx="0">
                    <c:v>1월</c:v>
                  </c:pt>
                  <c:pt idx="1">
                    <c:v>2월</c:v>
                  </c:pt>
                  <c:pt idx="2">
                    <c:v>3월</c:v>
                  </c:pt>
                  <c:pt idx="3">
                    <c:v>4월</c:v>
                  </c:pt>
                  <c:pt idx="4">
                    <c:v>5월</c:v>
                  </c:pt>
                  <c:pt idx="5">
                    <c:v>6월</c:v>
                  </c:pt>
                  <c:pt idx="6">
                    <c:v>7월</c:v>
                  </c:pt>
                  <c:pt idx="7">
                    <c:v>8월</c:v>
                  </c:pt>
                  <c:pt idx="8">
                    <c:v>9월</c:v>
                  </c:pt>
                  <c:pt idx="9">
                    <c:v>10월</c:v>
                  </c:pt>
                  <c:pt idx="10">
                    <c:v>11월</c:v>
                  </c:pt>
                  <c:pt idx="11">
                    <c:v>12월</c:v>
                  </c:pt>
                  <c:pt idx="12">
                    <c:v>1월</c:v>
                  </c:pt>
                  <c:pt idx="13">
                    <c:v>2월</c:v>
                  </c:pt>
                  <c:pt idx="14">
                    <c:v>3월</c:v>
                  </c:pt>
                  <c:pt idx="15">
                    <c:v>4월</c:v>
                  </c:pt>
                  <c:pt idx="16">
                    <c:v>5월</c:v>
                  </c:pt>
                  <c:pt idx="17">
                    <c:v>6월</c:v>
                  </c:pt>
                  <c:pt idx="18">
                    <c:v>7월</c:v>
                  </c:pt>
                  <c:pt idx="19">
                    <c:v>8월</c:v>
                  </c:pt>
                  <c:pt idx="20">
                    <c:v>9월</c:v>
                  </c:pt>
                  <c:pt idx="21">
                    <c:v>10월</c:v>
                  </c:pt>
                  <c:pt idx="22">
                    <c:v>11월</c:v>
                  </c:pt>
                  <c:pt idx="23">
                    <c:v>12월</c:v>
                  </c:pt>
                  <c:pt idx="24">
                    <c:v>1월</c:v>
                  </c:pt>
                  <c:pt idx="25">
                    <c:v>2월</c:v>
                  </c:pt>
                  <c:pt idx="26">
                    <c:v>3월</c:v>
                  </c:pt>
                  <c:pt idx="27">
                    <c:v>4월</c:v>
                  </c:pt>
                  <c:pt idx="28">
                    <c:v>5월</c:v>
                  </c:pt>
                  <c:pt idx="29">
                    <c:v>6월</c:v>
                  </c:pt>
                  <c:pt idx="30">
                    <c:v>7월</c:v>
                  </c:pt>
                  <c:pt idx="31">
                    <c:v>8월</c:v>
                  </c:pt>
                  <c:pt idx="32">
                    <c:v>9월</c:v>
                  </c:pt>
                  <c:pt idx="33">
                    <c:v>10월</c:v>
                  </c:pt>
                  <c:pt idx="34">
                    <c:v>11월</c:v>
                  </c:pt>
                  <c:pt idx="35">
                    <c:v>12월</c:v>
                  </c:pt>
                  <c:pt idx="36">
                    <c:v>1월</c:v>
                  </c:pt>
                  <c:pt idx="37">
                    <c:v>2월</c:v>
                  </c:pt>
                  <c:pt idx="38">
                    <c:v>7월</c:v>
                  </c:pt>
                </c:lvl>
                <c:lvl>
                  <c:pt idx="0">
                    <c:v>2014년</c:v>
                  </c:pt>
                  <c:pt idx="12">
                    <c:v>2015년</c:v>
                  </c:pt>
                  <c:pt idx="24">
                    <c:v>2016년</c:v>
                  </c:pt>
                  <c:pt idx="36">
                    <c:v>2017년</c:v>
                  </c:pt>
                </c:lvl>
              </c:multiLvlStrCache>
            </c:multiLvlStrRef>
          </c:cat>
          <c:val>
            <c:numRef>
              <c:f>내포외부유입율!$E$4:$E$42</c:f>
              <c:numCache>
                <c:formatCode>#,##0_ </c:formatCode>
                <c:ptCount val="39"/>
                <c:pt idx="0">
                  <c:v>46</c:v>
                </c:pt>
                <c:pt idx="1">
                  <c:v>89</c:v>
                </c:pt>
                <c:pt idx="2">
                  <c:v>48</c:v>
                </c:pt>
                <c:pt idx="3">
                  <c:v>42</c:v>
                </c:pt>
                <c:pt idx="4">
                  <c:v>164</c:v>
                </c:pt>
                <c:pt idx="5">
                  <c:v>153</c:v>
                </c:pt>
                <c:pt idx="6">
                  <c:v>84</c:v>
                </c:pt>
                <c:pt idx="7">
                  <c:v>134</c:v>
                </c:pt>
                <c:pt idx="8">
                  <c:v>75</c:v>
                </c:pt>
                <c:pt idx="9">
                  <c:v>209</c:v>
                </c:pt>
                <c:pt idx="10">
                  <c:v>156</c:v>
                </c:pt>
                <c:pt idx="11">
                  <c:v>168</c:v>
                </c:pt>
                <c:pt idx="12">
                  <c:v>159</c:v>
                </c:pt>
                <c:pt idx="13">
                  <c:v>202</c:v>
                </c:pt>
                <c:pt idx="14">
                  <c:v>145</c:v>
                </c:pt>
                <c:pt idx="15">
                  <c:v>102</c:v>
                </c:pt>
                <c:pt idx="16">
                  <c:v>82</c:v>
                </c:pt>
                <c:pt idx="17">
                  <c:v>83</c:v>
                </c:pt>
                <c:pt idx="18">
                  <c:v>58</c:v>
                </c:pt>
                <c:pt idx="19">
                  <c:v>91</c:v>
                </c:pt>
                <c:pt idx="20">
                  <c:v>157</c:v>
                </c:pt>
                <c:pt idx="21">
                  <c:v>224</c:v>
                </c:pt>
                <c:pt idx="22">
                  <c:v>191</c:v>
                </c:pt>
                <c:pt idx="23">
                  <c:v>216</c:v>
                </c:pt>
                <c:pt idx="24">
                  <c:v>166</c:v>
                </c:pt>
                <c:pt idx="25">
                  <c:v>302</c:v>
                </c:pt>
                <c:pt idx="26">
                  <c:v>159</c:v>
                </c:pt>
                <c:pt idx="27">
                  <c:v>179</c:v>
                </c:pt>
                <c:pt idx="28">
                  <c:v>340</c:v>
                </c:pt>
                <c:pt idx="29">
                  <c:v>334</c:v>
                </c:pt>
                <c:pt idx="30">
                  <c:v>242</c:v>
                </c:pt>
                <c:pt idx="31">
                  <c:v>315</c:v>
                </c:pt>
                <c:pt idx="32">
                  <c:v>230</c:v>
                </c:pt>
                <c:pt idx="33">
                  <c:v>244</c:v>
                </c:pt>
                <c:pt idx="34">
                  <c:v>237</c:v>
                </c:pt>
                <c:pt idx="35">
                  <c:v>286</c:v>
                </c:pt>
                <c:pt idx="36">
                  <c:v>242</c:v>
                </c:pt>
                <c:pt idx="37">
                  <c:v>254</c:v>
                </c:pt>
                <c:pt idx="38">
                  <c:v>134</c:v>
                </c:pt>
              </c:numCache>
            </c:numRef>
          </c:val>
        </c:ser>
        <c:ser>
          <c:idx val="4"/>
          <c:order val="0"/>
          <c:tx>
            <c:strRef>
              <c:f>내포외부유입율!$F$3</c:f>
              <c:strCache>
                <c:ptCount val="1"/>
                <c:pt idx="0">
                  <c:v>타시군+타시도</c:v>
                </c:pt>
              </c:strCache>
            </c:strRef>
          </c:tx>
          <c:cat>
            <c:multiLvlStrRef>
              <c:f>내포외부유입율!$A$4:$B$42</c:f>
              <c:multiLvlStrCache>
                <c:ptCount val="39"/>
                <c:lvl>
                  <c:pt idx="0">
                    <c:v>1월</c:v>
                  </c:pt>
                  <c:pt idx="1">
                    <c:v>2월</c:v>
                  </c:pt>
                  <c:pt idx="2">
                    <c:v>3월</c:v>
                  </c:pt>
                  <c:pt idx="3">
                    <c:v>4월</c:v>
                  </c:pt>
                  <c:pt idx="4">
                    <c:v>5월</c:v>
                  </c:pt>
                  <c:pt idx="5">
                    <c:v>6월</c:v>
                  </c:pt>
                  <c:pt idx="6">
                    <c:v>7월</c:v>
                  </c:pt>
                  <c:pt idx="7">
                    <c:v>8월</c:v>
                  </c:pt>
                  <c:pt idx="8">
                    <c:v>9월</c:v>
                  </c:pt>
                  <c:pt idx="9">
                    <c:v>10월</c:v>
                  </c:pt>
                  <c:pt idx="10">
                    <c:v>11월</c:v>
                  </c:pt>
                  <c:pt idx="11">
                    <c:v>12월</c:v>
                  </c:pt>
                  <c:pt idx="12">
                    <c:v>1월</c:v>
                  </c:pt>
                  <c:pt idx="13">
                    <c:v>2월</c:v>
                  </c:pt>
                  <c:pt idx="14">
                    <c:v>3월</c:v>
                  </c:pt>
                  <c:pt idx="15">
                    <c:v>4월</c:v>
                  </c:pt>
                  <c:pt idx="16">
                    <c:v>5월</c:v>
                  </c:pt>
                  <c:pt idx="17">
                    <c:v>6월</c:v>
                  </c:pt>
                  <c:pt idx="18">
                    <c:v>7월</c:v>
                  </c:pt>
                  <c:pt idx="19">
                    <c:v>8월</c:v>
                  </c:pt>
                  <c:pt idx="20">
                    <c:v>9월</c:v>
                  </c:pt>
                  <c:pt idx="21">
                    <c:v>10월</c:v>
                  </c:pt>
                  <c:pt idx="22">
                    <c:v>11월</c:v>
                  </c:pt>
                  <c:pt idx="23">
                    <c:v>12월</c:v>
                  </c:pt>
                  <c:pt idx="24">
                    <c:v>1월</c:v>
                  </c:pt>
                  <c:pt idx="25">
                    <c:v>2월</c:v>
                  </c:pt>
                  <c:pt idx="26">
                    <c:v>3월</c:v>
                  </c:pt>
                  <c:pt idx="27">
                    <c:v>4월</c:v>
                  </c:pt>
                  <c:pt idx="28">
                    <c:v>5월</c:v>
                  </c:pt>
                  <c:pt idx="29">
                    <c:v>6월</c:v>
                  </c:pt>
                  <c:pt idx="30">
                    <c:v>7월</c:v>
                  </c:pt>
                  <c:pt idx="31">
                    <c:v>8월</c:v>
                  </c:pt>
                  <c:pt idx="32">
                    <c:v>9월</c:v>
                  </c:pt>
                  <c:pt idx="33">
                    <c:v>10월</c:v>
                  </c:pt>
                  <c:pt idx="34">
                    <c:v>11월</c:v>
                  </c:pt>
                  <c:pt idx="35">
                    <c:v>12월</c:v>
                  </c:pt>
                  <c:pt idx="36">
                    <c:v>1월</c:v>
                  </c:pt>
                  <c:pt idx="37">
                    <c:v>2월</c:v>
                  </c:pt>
                  <c:pt idx="38">
                    <c:v>7월</c:v>
                  </c:pt>
                </c:lvl>
                <c:lvl>
                  <c:pt idx="0">
                    <c:v>2014년</c:v>
                  </c:pt>
                  <c:pt idx="12">
                    <c:v>2015년</c:v>
                  </c:pt>
                  <c:pt idx="24">
                    <c:v>2016년</c:v>
                  </c:pt>
                  <c:pt idx="36">
                    <c:v>2017년</c:v>
                  </c:pt>
                </c:lvl>
              </c:multiLvlStrCache>
            </c:multiLvlStrRef>
          </c:cat>
          <c:val>
            <c:numRef>
              <c:f>내포외부유입율!$F$4:$F$42</c:f>
              <c:numCache>
                <c:formatCode>#,##0_ </c:formatCode>
                <c:ptCount val="39"/>
                <c:pt idx="0">
                  <c:v>83</c:v>
                </c:pt>
                <c:pt idx="1">
                  <c:v>140</c:v>
                </c:pt>
                <c:pt idx="2">
                  <c:v>108</c:v>
                </c:pt>
                <c:pt idx="3">
                  <c:v>80</c:v>
                </c:pt>
                <c:pt idx="4">
                  <c:v>290</c:v>
                </c:pt>
                <c:pt idx="5">
                  <c:v>291</c:v>
                </c:pt>
                <c:pt idx="6">
                  <c:v>201</c:v>
                </c:pt>
                <c:pt idx="7">
                  <c:v>262</c:v>
                </c:pt>
                <c:pt idx="8">
                  <c:v>201</c:v>
                </c:pt>
                <c:pt idx="9">
                  <c:v>529</c:v>
                </c:pt>
                <c:pt idx="10">
                  <c:v>346</c:v>
                </c:pt>
                <c:pt idx="11">
                  <c:v>330</c:v>
                </c:pt>
                <c:pt idx="12">
                  <c:v>353</c:v>
                </c:pt>
                <c:pt idx="13">
                  <c:v>410</c:v>
                </c:pt>
                <c:pt idx="14">
                  <c:v>298</c:v>
                </c:pt>
                <c:pt idx="15">
                  <c:v>185</c:v>
                </c:pt>
                <c:pt idx="16">
                  <c:v>126</c:v>
                </c:pt>
                <c:pt idx="17">
                  <c:v>152</c:v>
                </c:pt>
                <c:pt idx="18">
                  <c:v>117</c:v>
                </c:pt>
                <c:pt idx="19">
                  <c:v>144</c:v>
                </c:pt>
                <c:pt idx="20">
                  <c:v>427</c:v>
                </c:pt>
                <c:pt idx="21">
                  <c:v>654</c:v>
                </c:pt>
                <c:pt idx="22">
                  <c:v>547</c:v>
                </c:pt>
                <c:pt idx="23">
                  <c:v>459</c:v>
                </c:pt>
                <c:pt idx="24">
                  <c:v>351</c:v>
                </c:pt>
                <c:pt idx="25">
                  <c:v>724</c:v>
                </c:pt>
                <c:pt idx="26">
                  <c:v>434</c:v>
                </c:pt>
                <c:pt idx="27">
                  <c:v>372</c:v>
                </c:pt>
                <c:pt idx="28">
                  <c:v>1242</c:v>
                </c:pt>
                <c:pt idx="29">
                  <c:v>894</c:v>
                </c:pt>
                <c:pt idx="30">
                  <c:v>584</c:v>
                </c:pt>
                <c:pt idx="31">
                  <c:v>671</c:v>
                </c:pt>
                <c:pt idx="32">
                  <c:v>434</c:v>
                </c:pt>
                <c:pt idx="33">
                  <c:v>474</c:v>
                </c:pt>
                <c:pt idx="34">
                  <c:v>457</c:v>
                </c:pt>
                <c:pt idx="35">
                  <c:v>507</c:v>
                </c:pt>
                <c:pt idx="36">
                  <c:v>487</c:v>
                </c:pt>
                <c:pt idx="37">
                  <c:v>495</c:v>
                </c:pt>
                <c:pt idx="38">
                  <c:v>255</c:v>
                </c:pt>
              </c:numCache>
            </c:numRef>
          </c:val>
        </c:ser>
        <c:dLbls/>
        <c:marker val="1"/>
        <c:axId val="112489984"/>
        <c:axId val="112491520"/>
      </c:lineChart>
      <c:catAx>
        <c:axId val="112489984"/>
        <c:scaling>
          <c:orientation val="minMax"/>
        </c:scaling>
        <c:axPos val="b"/>
        <c:tickLblPos val="nextTo"/>
        <c:crossAx val="112491520"/>
        <c:crosses val="autoZero"/>
        <c:auto val="1"/>
        <c:lblAlgn val="ctr"/>
        <c:lblOffset val="100"/>
      </c:catAx>
      <c:valAx>
        <c:axId val="112491520"/>
        <c:scaling>
          <c:orientation val="minMax"/>
        </c:scaling>
        <c:axPos val="l"/>
        <c:majorGridlines/>
        <c:numFmt formatCode="#,##0_ " sourceLinked="1"/>
        <c:tickLblPos val="nextTo"/>
        <c:crossAx val="112489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467094703049867E-2"/>
          <c:y val="5.0954780652418513E-2"/>
          <c:w val="0.60735794542536059"/>
          <c:h val="9.2376152980877396E-2"/>
        </c:manualLayout>
      </c:layout>
    </c:legend>
    <c:plotVisOnly val="1"/>
    <c:dispBlanksAs val="gap"/>
  </c:chart>
  <c:txPr>
    <a:bodyPr/>
    <a:lstStyle/>
    <a:p>
      <a:pPr>
        <a:defRPr sz="1200"/>
      </a:pPr>
      <a:endParaRPr lang="ko-K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>
        <c:manualLayout>
          <c:layoutTarget val="inner"/>
          <c:xMode val="edge"/>
          <c:yMode val="edge"/>
          <c:x val="0.10544313006539052"/>
          <c:y val="2.8386113307704342E-2"/>
          <c:w val="0.89455686993460837"/>
          <c:h val="0.8651011917214243"/>
        </c:manualLayout>
      </c:layout>
      <c:barChart>
        <c:barDir val="col"/>
        <c:grouping val="clustered"/>
        <c:ser>
          <c:idx val="0"/>
          <c:order val="0"/>
          <c:tx>
            <c:strRef>
              <c:f>내포외부유입율!$A$72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내포외부유입율!$C$71:$F$71</c:f>
              <c:strCache>
                <c:ptCount val="4"/>
                <c:pt idx="0">
                  <c:v>홍성군내</c:v>
                </c:pt>
                <c:pt idx="1">
                  <c:v>타시군</c:v>
                </c:pt>
                <c:pt idx="2">
                  <c:v>타시도</c:v>
                </c:pt>
                <c:pt idx="3">
                  <c:v>타시군+타시도</c:v>
                </c:pt>
              </c:strCache>
            </c:strRef>
          </c:cat>
          <c:val>
            <c:numRef>
              <c:f>내포외부유입율!$C$72:$F$72</c:f>
              <c:numCache>
                <c:formatCode>#,##0.0_ </c:formatCode>
                <c:ptCount val="4"/>
                <c:pt idx="0">
                  <c:v>37.952721752331378</c:v>
                </c:pt>
                <c:pt idx="1">
                  <c:v>32.379093472131856</c:v>
                </c:pt>
                <c:pt idx="2">
                  <c:v>29.668184775536758</c:v>
                </c:pt>
                <c:pt idx="3">
                  <c:v>62.047278247668615</c:v>
                </c:pt>
              </c:numCache>
            </c:numRef>
          </c:val>
        </c:ser>
        <c:ser>
          <c:idx val="1"/>
          <c:order val="1"/>
          <c:tx>
            <c:strRef>
              <c:f>내포외부유입율!$A$73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내포외부유입율!$C$71:$F$71</c:f>
              <c:strCache>
                <c:ptCount val="4"/>
                <c:pt idx="0">
                  <c:v>홍성군내</c:v>
                </c:pt>
                <c:pt idx="1">
                  <c:v>타시군</c:v>
                </c:pt>
                <c:pt idx="2">
                  <c:v>타시도</c:v>
                </c:pt>
                <c:pt idx="3">
                  <c:v>타시군+타시도</c:v>
                </c:pt>
              </c:strCache>
            </c:strRef>
          </c:cat>
          <c:val>
            <c:numRef>
              <c:f>내포외부유입율!$C$73:$F$73</c:f>
              <c:numCache>
                <c:formatCode>#,##0.0_ </c:formatCode>
                <c:ptCount val="4"/>
                <c:pt idx="0">
                  <c:v>35.455909318219703</c:v>
                </c:pt>
                <c:pt idx="1">
                  <c:v>36.039339889981662</c:v>
                </c:pt>
                <c:pt idx="2">
                  <c:v>28.504750791798632</c:v>
                </c:pt>
                <c:pt idx="3">
                  <c:v>64.544090681780304</c:v>
                </c:pt>
              </c:numCache>
            </c:numRef>
          </c:val>
        </c:ser>
        <c:ser>
          <c:idx val="2"/>
          <c:order val="2"/>
          <c:tx>
            <c:strRef>
              <c:f>내포외부유입율!$A$74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내포외부유입율!$C$71:$F$71</c:f>
              <c:strCache>
                <c:ptCount val="4"/>
                <c:pt idx="0">
                  <c:v>홍성군내</c:v>
                </c:pt>
                <c:pt idx="1">
                  <c:v>타시군</c:v>
                </c:pt>
                <c:pt idx="2">
                  <c:v>타시도</c:v>
                </c:pt>
                <c:pt idx="3">
                  <c:v>타시군+타시도</c:v>
                </c:pt>
              </c:strCache>
            </c:strRef>
          </c:cat>
          <c:val>
            <c:numRef>
              <c:f>내포외부유입율!$C$74:$F$74</c:f>
              <c:numCache>
                <c:formatCode>#,##0.0_ </c:formatCode>
                <c:ptCount val="4"/>
                <c:pt idx="0">
                  <c:v>34.710290623286419</c:v>
                </c:pt>
                <c:pt idx="1">
                  <c:v>37.561688905136172</c:v>
                </c:pt>
                <c:pt idx="2">
                  <c:v>27.728020471577409</c:v>
                </c:pt>
                <c:pt idx="3">
                  <c:v>65.289709376713574</c:v>
                </c:pt>
              </c:numCache>
            </c:numRef>
          </c:val>
        </c:ser>
        <c:ser>
          <c:idx val="3"/>
          <c:order val="3"/>
          <c:tx>
            <c:strRef>
              <c:f>내포외부유입율!$A$75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내포외부유입율!$C$71:$F$71</c:f>
              <c:strCache>
                <c:ptCount val="4"/>
                <c:pt idx="0">
                  <c:v>홍성군내</c:v>
                </c:pt>
                <c:pt idx="1">
                  <c:v>타시군</c:v>
                </c:pt>
                <c:pt idx="2">
                  <c:v>타시도</c:v>
                </c:pt>
                <c:pt idx="3">
                  <c:v>타시군+타시도</c:v>
                </c:pt>
              </c:strCache>
            </c:strRef>
          </c:cat>
          <c:val>
            <c:numRef>
              <c:f>내포외부유입율!$C$75:$F$75</c:f>
              <c:numCache>
                <c:formatCode>#,##0.0_ </c:formatCode>
                <c:ptCount val="4"/>
                <c:pt idx="0">
                  <c:v>22.005044136191675</c:v>
                </c:pt>
                <c:pt idx="1">
                  <c:v>38.272383354350566</c:v>
                </c:pt>
                <c:pt idx="2">
                  <c:v>39.722572509457756</c:v>
                </c:pt>
                <c:pt idx="3">
                  <c:v>77.994955863808329</c:v>
                </c:pt>
              </c:numCache>
            </c:numRef>
          </c:val>
        </c:ser>
        <c:dLbls/>
        <c:axId val="112523520"/>
        <c:axId val="112541696"/>
      </c:barChart>
      <c:catAx>
        <c:axId val="112523520"/>
        <c:scaling>
          <c:orientation val="minMax"/>
        </c:scaling>
        <c:axPos val="b"/>
        <c:tickLblPos val="nextTo"/>
        <c:crossAx val="112541696"/>
        <c:crosses val="autoZero"/>
        <c:auto val="1"/>
        <c:lblAlgn val="ctr"/>
        <c:lblOffset val="100"/>
      </c:catAx>
      <c:valAx>
        <c:axId val="112541696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o-KR"/>
                  <a:t>비율</a:t>
                </a:r>
                <a:r>
                  <a:rPr lang="en-US"/>
                  <a:t>(%)</a:t>
                </a:r>
                <a:endParaRPr lang="ko-KR"/>
              </a:p>
            </c:rich>
          </c:tx>
        </c:title>
        <c:numFmt formatCode="#,##0.0_ " sourceLinked="1"/>
        <c:tickLblPos val="nextTo"/>
        <c:crossAx val="11252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13287883675968"/>
          <c:y val="3.1947153162859072E-2"/>
          <c:w val="0.38171806501058786"/>
          <c:h val="0.1005603057443015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1400" b="0">
          <a:latin typeface="+mn-ea"/>
          <a:ea typeface="+mn-ea"/>
        </a:defRPr>
      </a:pPr>
      <a:endParaRPr lang="ko-K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exp"/>
            <c:dispEq val="1"/>
            <c:trendlineLbl>
              <c:layout>
                <c:manualLayout>
                  <c:x val="-0.22895025302292851"/>
                  <c:y val="0.12770225620692921"/>
                </c:manualLayout>
              </c:layout>
              <c:numFmt formatCode="General" sourceLinked="0"/>
            </c:trendlineLbl>
          </c:trendline>
          <c:xVal>
            <c:numRef>
              <c:f>내포외부유입율!$I$80:$I$83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내포외부유입율!$J$80:$J$83</c:f>
              <c:numCache>
                <c:formatCode>#,##0.0_ </c:formatCode>
                <c:ptCount val="4"/>
                <c:pt idx="0">
                  <c:v>37.952721752331378</c:v>
                </c:pt>
                <c:pt idx="1">
                  <c:v>35.455909318219703</c:v>
                </c:pt>
                <c:pt idx="2">
                  <c:v>34.710290623286419</c:v>
                </c:pt>
                <c:pt idx="3">
                  <c:v>22.005044136191675</c:v>
                </c:pt>
              </c:numCache>
            </c:numRef>
          </c:yVal>
        </c:ser>
        <c:dLbls/>
        <c:axId val="112553344"/>
        <c:axId val="112583808"/>
      </c:scatterChart>
      <c:valAx>
        <c:axId val="112553344"/>
        <c:scaling>
          <c:orientation val="minMax"/>
        </c:scaling>
        <c:axPos val="b"/>
        <c:numFmt formatCode="General" sourceLinked="1"/>
        <c:tickLblPos val="nextTo"/>
        <c:crossAx val="112583808"/>
        <c:crosses val="autoZero"/>
        <c:crossBetween val="midCat"/>
      </c:valAx>
      <c:valAx>
        <c:axId val="112583808"/>
        <c:scaling>
          <c:orientation val="minMax"/>
        </c:scaling>
        <c:axPos val="l"/>
        <c:majorGridlines/>
        <c:numFmt formatCode="#,##0.0_ " sourceLinked="1"/>
        <c:tickLblPos val="nextTo"/>
        <c:crossAx val="11255334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autoTitleDeleted val="1"/>
    <c:plotArea>
      <c:layout>
        <c:manualLayout>
          <c:layoutTarget val="inner"/>
          <c:xMode val="edge"/>
          <c:yMode val="edge"/>
          <c:x val="0.13523212986366739"/>
          <c:y val="4.8084681688491886E-2"/>
          <c:w val="0.84108992720814046"/>
          <c:h val="0.77351868321233652"/>
        </c:manualLayout>
      </c:layout>
      <c:scatterChart>
        <c:scatterStyle val="lineMarker"/>
        <c:ser>
          <c:idx val="0"/>
          <c:order val="0"/>
          <c:tx>
            <c:v>외부유입율</c:v>
          </c:tx>
          <c:spPr>
            <a:ln w="28575">
              <a:noFill/>
            </a:ln>
          </c:spPr>
          <c:dLbls>
            <c:dLblPos val="t"/>
            <c:showVal val="1"/>
          </c:dLbls>
          <c:trendline>
            <c:trendlineType val="power"/>
            <c:dispEq val="1"/>
            <c:trendlineLbl>
              <c:layout>
                <c:manualLayout>
                  <c:x val="6.4571620676706784E-2"/>
                  <c:y val="0.17716886454835021"/>
                </c:manualLayout>
              </c:layout>
              <c:numFmt formatCode="General" sourceLinked="0"/>
            </c:trendlineLbl>
          </c:trendline>
          <c:xVal>
            <c:numRef>
              <c:f>내포외부유입율!$I$95:$I$98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내포외부유입율!$J$95:$J$98</c:f>
              <c:numCache>
                <c:formatCode>#,##0.0_ </c:formatCode>
                <c:ptCount val="4"/>
                <c:pt idx="0">
                  <c:v>62.047278247668615</c:v>
                </c:pt>
                <c:pt idx="1">
                  <c:v>64.544090681780304</c:v>
                </c:pt>
                <c:pt idx="2">
                  <c:v>65.289709376713574</c:v>
                </c:pt>
                <c:pt idx="3">
                  <c:v>77.994955863808329</c:v>
                </c:pt>
              </c:numCache>
            </c:numRef>
          </c:yVal>
        </c:ser>
        <c:dLbls>
          <c:showVal val="1"/>
        </c:dLbls>
        <c:axId val="112614016"/>
        <c:axId val="112616192"/>
      </c:scatterChart>
      <c:valAx>
        <c:axId val="112614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ko-KR"/>
                  <a:t>경과년수</a:t>
                </a:r>
                <a:r>
                  <a:rPr lang="en-US"/>
                  <a:t>(</a:t>
                </a:r>
                <a:r>
                  <a:rPr lang="ko-KR"/>
                  <a:t>년</a:t>
                </a:r>
                <a:r>
                  <a:rPr lang="en-US"/>
                  <a:t>)</a:t>
                </a:r>
                <a:endParaRPr lang="ko-KR"/>
              </a:p>
            </c:rich>
          </c:tx>
        </c:title>
        <c:numFmt formatCode="General" sourceLinked="1"/>
        <c:tickLblPos val="nextTo"/>
        <c:crossAx val="112616192"/>
        <c:crosses val="autoZero"/>
        <c:crossBetween val="midCat"/>
      </c:valAx>
      <c:valAx>
        <c:axId val="112616192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o-KR"/>
                  <a:t>비율</a:t>
                </a:r>
                <a:r>
                  <a:rPr lang="en-US"/>
                  <a:t>(%)</a:t>
                </a:r>
                <a:endParaRPr lang="ko-KR"/>
              </a:p>
            </c:rich>
          </c:tx>
        </c:title>
        <c:numFmt formatCode="#,##0_ " sourceLinked="0"/>
        <c:tickLblPos val="nextTo"/>
        <c:crossAx val="112614016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17332252475890947"/>
          <c:y val="6.667251319309915E-2"/>
          <c:w val="0.25518611696721188"/>
          <c:h val="8.6068739410197909E-2"/>
        </c:manualLayout>
      </c:layout>
    </c:legend>
    <c:plotVisOnly val="1"/>
    <c:dispBlanksAs val="gap"/>
  </c:chart>
  <c:txPr>
    <a:bodyPr/>
    <a:lstStyle/>
    <a:p>
      <a:pPr>
        <a:defRPr sz="1050" b="0">
          <a:latin typeface="+mn-ea"/>
          <a:ea typeface="+mn-ea"/>
        </a:defRPr>
      </a:pPr>
      <a:endParaRPr lang="ko-K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autoTitleDeleted val="1"/>
    <c:plotArea>
      <c:layout>
        <c:manualLayout>
          <c:layoutTarget val="inner"/>
          <c:xMode val="edge"/>
          <c:yMode val="edge"/>
          <c:x val="0.13523212986366739"/>
          <c:y val="4.8084681688491906E-2"/>
          <c:w val="0.8410899272081408"/>
          <c:h val="0.7735186832123365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dLbls>
            <c:dLblPos val="t"/>
            <c:showVal val="1"/>
          </c:dLbls>
          <c:trendline>
            <c:trendlineType val="power"/>
            <c:dispEq val="1"/>
            <c:trendlineLbl>
              <c:layout>
                <c:manualLayout>
                  <c:x val="6.4571620676706784E-2"/>
                  <c:y val="0.17716886454835021"/>
                </c:manualLayout>
              </c:layout>
              <c:numFmt formatCode="General" sourceLinked="0"/>
            </c:trendlineLbl>
          </c:trendline>
          <c:xVal>
            <c:numRef>
              <c:f>내포외부유입율!$I$50:$I$53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내포외부유입율!$J$50:$J$53</c:f>
              <c:numCache>
                <c:formatCode>#,##0.0_ </c:formatCode>
                <c:ptCount val="4"/>
                <c:pt idx="0">
                  <c:v>62</c:v>
                </c:pt>
                <c:pt idx="1">
                  <c:v>63.5</c:v>
                </c:pt>
                <c:pt idx="2">
                  <c:v>64.400000000000006</c:v>
                </c:pt>
                <c:pt idx="3">
                  <c:v>65.3</c:v>
                </c:pt>
              </c:numCache>
            </c:numRef>
          </c:yVal>
        </c:ser>
        <c:dLbls>
          <c:showVal val="1"/>
        </c:dLbls>
        <c:axId val="112645632"/>
        <c:axId val="112647552"/>
      </c:scatterChart>
      <c:valAx>
        <c:axId val="112645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ko-KR"/>
                  <a:t>경과년수</a:t>
                </a:r>
                <a:r>
                  <a:rPr lang="en-US"/>
                  <a:t>(</a:t>
                </a:r>
                <a:r>
                  <a:rPr lang="ko-KR"/>
                  <a:t>년</a:t>
                </a:r>
                <a:r>
                  <a:rPr lang="en-US"/>
                  <a:t>)</a:t>
                </a:r>
                <a:endParaRPr lang="ko-KR"/>
              </a:p>
            </c:rich>
          </c:tx>
        </c:title>
        <c:numFmt formatCode="General" sourceLinked="1"/>
        <c:tickLblPos val="nextTo"/>
        <c:crossAx val="112647552"/>
        <c:crosses val="autoZero"/>
        <c:crossBetween val="midCat"/>
      </c:valAx>
      <c:valAx>
        <c:axId val="112647552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o-KR"/>
                  <a:t>비율</a:t>
                </a:r>
                <a:r>
                  <a:rPr lang="en-US"/>
                  <a:t>(%)</a:t>
                </a:r>
                <a:endParaRPr lang="ko-KR"/>
              </a:p>
            </c:rich>
          </c:tx>
        </c:title>
        <c:numFmt formatCode="#,##0_ " sourceLinked="0"/>
        <c:tickLblPos val="nextTo"/>
        <c:crossAx val="112645632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17332252475890939"/>
          <c:y val="6.667251319309915E-2"/>
          <c:w val="0.25518611696721188"/>
          <c:h val="8.6068739410197909E-2"/>
        </c:manualLayout>
      </c:layout>
    </c:legend>
    <c:plotVisOnly val="1"/>
    <c:dispBlanksAs val="gap"/>
  </c:chart>
  <c:txPr>
    <a:bodyPr/>
    <a:lstStyle/>
    <a:p>
      <a:pPr>
        <a:defRPr sz="1050" b="0">
          <a:latin typeface="+mn-ea"/>
          <a:ea typeface="+mn-ea"/>
        </a:defRPr>
      </a:pPr>
      <a:endParaRPr lang="ko-KR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autoTitleDeleted val="1"/>
    <c:plotArea>
      <c:layout>
        <c:manualLayout>
          <c:layoutTarget val="inner"/>
          <c:xMode val="edge"/>
          <c:yMode val="edge"/>
          <c:x val="0.13523212986366739"/>
          <c:y val="4.8084681688491906E-2"/>
          <c:w val="0.8410899272081408"/>
          <c:h val="0.77351868321233652"/>
        </c:manualLayout>
      </c:layout>
      <c:scatterChart>
        <c:scatterStyle val="lineMarker"/>
        <c:ser>
          <c:idx val="0"/>
          <c:order val="0"/>
          <c:tx>
            <c:v>외부유입율</c:v>
          </c:tx>
          <c:spPr>
            <a:ln w="28575">
              <a:noFill/>
            </a:ln>
          </c:spPr>
          <c:dLbls>
            <c:dLblPos val="t"/>
            <c:showVal val="1"/>
          </c:dLbls>
          <c:trendline>
            <c:trendlineType val="power"/>
            <c:dispEq val="1"/>
            <c:trendlineLbl>
              <c:layout>
                <c:manualLayout>
                  <c:x val="6.4571620676706784E-2"/>
                  <c:y val="0.17716886454835021"/>
                </c:manualLayout>
              </c:layout>
              <c:numFmt formatCode="General" sourceLinked="0"/>
            </c:trendlineLbl>
          </c:trendline>
          <c:xVal>
            <c:numRef>
              <c:f>내포외부유입율!$I$95:$I$98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내포외부유입율!$J$95:$J$98</c:f>
              <c:numCache>
                <c:formatCode>#,##0.0_ </c:formatCode>
                <c:ptCount val="4"/>
                <c:pt idx="0">
                  <c:v>62.047278247668615</c:v>
                </c:pt>
                <c:pt idx="1">
                  <c:v>64.544090681780304</c:v>
                </c:pt>
                <c:pt idx="2">
                  <c:v>65.289709376713574</c:v>
                </c:pt>
                <c:pt idx="3">
                  <c:v>77.994955863808329</c:v>
                </c:pt>
              </c:numCache>
            </c:numRef>
          </c:yVal>
        </c:ser>
        <c:dLbls>
          <c:showVal val="1"/>
        </c:dLbls>
        <c:axId val="112767360"/>
        <c:axId val="112769280"/>
      </c:scatterChart>
      <c:valAx>
        <c:axId val="112767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ko-KR"/>
                  <a:t>경과년수</a:t>
                </a:r>
                <a:r>
                  <a:rPr lang="en-US"/>
                  <a:t>(</a:t>
                </a:r>
                <a:r>
                  <a:rPr lang="ko-KR"/>
                  <a:t>년</a:t>
                </a:r>
                <a:r>
                  <a:rPr lang="en-US"/>
                  <a:t>)</a:t>
                </a:r>
                <a:endParaRPr lang="ko-KR"/>
              </a:p>
            </c:rich>
          </c:tx>
        </c:title>
        <c:numFmt formatCode="General" sourceLinked="1"/>
        <c:tickLblPos val="nextTo"/>
        <c:crossAx val="112769280"/>
        <c:crosses val="autoZero"/>
        <c:crossBetween val="midCat"/>
      </c:valAx>
      <c:valAx>
        <c:axId val="112769280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o-KR"/>
                  <a:t>비율</a:t>
                </a:r>
                <a:r>
                  <a:rPr lang="en-US"/>
                  <a:t>(%)</a:t>
                </a:r>
                <a:endParaRPr lang="ko-KR"/>
              </a:p>
            </c:rich>
          </c:tx>
        </c:title>
        <c:numFmt formatCode="#,##0_ " sourceLinked="0"/>
        <c:tickLblPos val="nextTo"/>
        <c:crossAx val="112767360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17332252475890939"/>
          <c:y val="6.667251319309915E-2"/>
          <c:w val="0.25518611696721188"/>
          <c:h val="8.6068739410197909E-2"/>
        </c:manualLayout>
      </c:layout>
    </c:legend>
    <c:plotVisOnly val="1"/>
    <c:dispBlanksAs val="gap"/>
  </c:chart>
  <c:txPr>
    <a:bodyPr/>
    <a:lstStyle/>
    <a:p>
      <a:pPr>
        <a:defRPr sz="1050" b="0">
          <a:latin typeface="+mn-ea"/>
          <a:ea typeface="+mn-ea"/>
        </a:defRPr>
      </a:pPr>
      <a:endParaRPr lang="ko-KR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17</xdr:row>
      <xdr:rowOff>0</xdr:rowOff>
    </xdr:from>
    <xdr:to>
      <xdr:col>9</xdr:col>
      <xdr:colOff>0</xdr:colOff>
      <xdr:row>19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23</xdr:row>
      <xdr:rowOff>76200</xdr:rowOff>
    </xdr:from>
    <xdr:to>
      <xdr:col>8</xdr:col>
      <xdr:colOff>647700</xdr:colOff>
      <xdr:row>43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44</xdr:row>
      <xdr:rowOff>76200</xdr:rowOff>
    </xdr:from>
    <xdr:to>
      <xdr:col>11</xdr:col>
      <xdr:colOff>0</xdr:colOff>
      <xdr:row>59</xdr:row>
      <xdr:rowOff>180975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54841</xdr:colOff>
      <xdr:row>44</xdr:row>
      <xdr:rowOff>69273</xdr:rowOff>
    </xdr:from>
    <xdr:to>
      <xdr:col>6</xdr:col>
      <xdr:colOff>1210235</xdr:colOff>
      <xdr:row>60</xdr:row>
      <xdr:rowOff>224118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77</xdr:row>
      <xdr:rowOff>129520</xdr:rowOff>
    </xdr:from>
    <xdr:to>
      <xdr:col>6</xdr:col>
      <xdr:colOff>1298577</xdr:colOff>
      <xdr:row>101</xdr:row>
      <xdr:rowOff>57897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426310</xdr:colOff>
      <xdr:row>77</xdr:row>
      <xdr:rowOff>201705</xdr:rowOff>
    </xdr:from>
    <xdr:to>
      <xdr:col>13</xdr:col>
      <xdr:colOff>1210722</xdr:colOff>
      <xdr:row>90</xdr:row>
      <xdr:rowOff>96467</xdr:rowOff>
    </xdr:to>
    <xdr:graphicFrame macro="">
      <xdr:nvGraphicFramePr>
        <xdr:cNvPr id="4" name="차트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361478</xdr:colOff>
      <xdr:row>95</xdr:row>
      <xdr:rowOff>76318</xdr:rowOff>
    </xdr:from>
    <xdr:to>
      <xdr:col>13</xdr:col>
      <xdr:colOff>1145890</xdr:colOff>
      <xdr:row>108</xdr:row>
      <xdr:rowOff>52722</xdr:rowOff>
    </xdr:to>
    <xdr:graphicFrame macro="">
      <xdr:nvGraphicFramePr>
        <xdr:cNvPr id="5" name="차트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795131</xdr:colOff>
      <xdr:row>52</xdr:row>
      <xdr:rowOff>107674</xdr:rowOff>
    </xdr:from>
    <xdr:to>
      <xdr:col>14</xdr:col>
      <xdr:colOff>925216</xdr:colOff>
      <xdr:row>62</xdr:row>
      <xdr:rowOff>42665</xdr:rowOff>
    </xdr:to>
    <xdr:graphicFrame macro="">
      <xdr:nvGraphicFramePr>
        <xdr:cNvPr id="6" name="차트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280146</xdr:colOff>
      <xdr:row>105</xdr:row>
      <xdr:rowOff>78441</xdr:rowOff>
    </xdr:from>
    <xdr:to>
      <xdr:col>6</xdr:col>
      <xdr:colOff>1120588</xdr:colOff>
      <xdr:row>119</xdr:row>
      <xdr:rowOff>189316</xdr:rowOff>
    </xdr:to>
    <xdr:graphicFrame macro="">
      <xdr:nvGraphicFramePr>
        <xdr:cNvPr id="7" name="차트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437;\&#54861;&#49457;&#44400;&#54616;&#49688;&#46020;&#51221;&#48708;&#44592;&#48376;&#44228;&#54925;\Project\&#51652;&#54665;&#44284;&#50629;\01%20&#51221;&#49440;&#44400;%20&#54616;&#49688;&#46020;&#51221;&#48708;&#44592;&#48376;&#44228;&#54925;%20&#48320;&#44221;&#50857;&#50669;\06%20&#44160;&#53664;&#51088;&#47308;\01%20&#51064;&#44396;&#44160;&#53664;&#51088;&#47308;\&#51221;&#49440;&#44400;%20&#51064;&#44396;&#48516;&#49437;(&#49688;&#54617;&#51201;&#52628;&#51221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2397;&#51452;&#49884;\&#52509;&#47049;&#44288;&#47144;%20&#50836;&#52397;&#51088;&#47308;\&#52397;&#51452;&#49884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1116;&#50689;\&#49688;&#47049;\W_EXCEL\ABUT\source\P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32;&#49437;\&#49688;&#46020;&#51221;&#48708;\&#49688;&#46020;&#51221;&#48708;\&#45224;&#54620;&#44053;&#44428;\V.%20&#49373;&#54876;&#50857;&#49688;%20&#49688;&#50836;&#47049;(&#51109;&#47000;&#44228;&#54925;&#51064;&#44396;&#51201;&#50857;)\&#49373;&#54876;&#50857;&#49688;&#49688;&#50836;&#47049;(&#44552;&#54924;&#52628;&#51221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2285;&#54840;\&#45824;&#44396;&#49688;&#46020;&#51221;&#48708;\EXCELVB\FINISHED\EVB4D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2397;&#51452;&#49884;\&#52509;&#47049;&#44288;&#47144;%20&#50836;&#52397;&#51088;&#47308;\&#52397;&#51452;&#49884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.2%20&#45236;&#54252;&#49888;&#46020;&#49884;%20&#51064;&#44396;&#44228;&#549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리별인구현황(2006년)"/>
      <sheetName val="과거인구자료"/>
      <sheetName val="인구추정"/>
      <sheetName val="과거자료"/>
      <sheetName val="정선군"/>
      <sheetName val="정선읍"/>
      <sheetName val="고한읍"/>
      <sheetName val="사북읍"/>
      <sheetName val="신동읍"/>
      <sheetName val="동면"/>
      <sheetName val="남면"/>
      <sheetName val="북면"/>
      <sheetName val="북평면"/>
      <sheetName val="임계면"/>
      <sheetName val="Module1"/>
      <sheetName val="Module2"/>
    </sheetNames>
    <sheetDataSet>
      <sheetData sheetId="0"/>
      <sheetData sheetId="1"/>
      <sheetData sheetId="2"/>
      <sheetData sheetId="3">
        <row r="12">
          <cell r="C12">
            <v>1</v>
          </cell>
          <cell r="D12">
            <v>2</v>
          </cell>
          <cell r="E12">
            <v>3</v>
          </cell>
          <cell r="F12">
            <v>4</v>
          </cell>
          <cell r="G12">
            <v>5</v>
          </cell>
          <cell r="H12">
            <v>6</v>
          </cell>
          <cell r="I12">
            <v>7</v>
          </cell>
          <cell r="J12">
            <v>8</v>
          </cell>
          <cell r="K12">
            <v>9</v>
          </cell>
          <cell r="L12">
            <v>10</v>
          </cell>
          <cell r="M12">
            <v>11</v>
          </cell>
          <cell r="N12">
            <v>12</v>
          </cell>
          <cell r="AX12">
            <v>2003</v>
          </cell>
          <cell r="AY12">
            <v>46362</v>
          </cell>
          <cell r="AZ12">
            <v>1.5</v>
          </cell>
          <cell r="BA12">
            <v>2.25</v>
          </cell>
          <cell r="BB12">
            <v>69543</v>
          </cell>
          <cell r="BH12">
            <v>6</v>
          </cell>
          <cell r="BI12">
            <v>0.77815125038364363</v>
          </cell>
          <cell r="BJ12">
            <v>0.60551936847362808</v>
          </cell>
          <cell r="BK12">
            <v>-8429</v>
          </cell>
          <cell r="BL12" t="e">
            <v>#NUM!</v>
          </cell>
          <cell r="BM12" t="e">
            <v>#NUM!</v>
          </cell>
          <cell r="BO12">
            <v>1.5</v>
          </cell>
          <cell r="BP12">
            <v>2.25</v>
          </cell>
          <cell r="BQ12">
            <v>69543</v>
          </cell>
          <cell r="BR12">
            <v>118011</v>
          </cell>
          <cell r="BS12">
            <v>4.6661621626286722</v>
          </cell>
          <cell r="BT12">
            <v>5.0719224904980473</v>
          </cell>
          <cell r="BU12">
            <v>-0.4057603278693751</v>
          </cell>
          <cell r="BV12">
            <v>-0.60864049180406266</v>
          </cell>
          <cell r="BW12">
            <v>0.6514349999917971</v>
          </cell>
        </row>
        <row r="30">
          <cell r="F30" t="str">
            <v>정선군</v>
          </cell>
        </row>
        <row r="35">
          <cell r="B35" t="str">
            <v>정선군</v>
          </cell>
        </row>
        <row r="57">
          <cell r="B57">
            <v>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gCode"/>
      <sheetName val="메인메뉴"/>
      <sheetName val="1.인구현황"/>
      <sheetName val="Variables"/>
      <sheetName val="hid_1.인구현황"/>
      <sheetName val="sum_인구현황"/>
      <sheetName val="sum_양식장현황"/>
      <sheetName val="sum_토지이용현황"/>
      <sheetName val="sum_농약및비료현황"/>
      <sheetName val="sum_생활용수공급현황 "/>
      <sheetName val="sum_공업용수공급현황"/>
      <sheetName val="sum_산업현황"/>
      <sheetName val="sum_축산현황"/>
    </sheetNames>
    <sheetDataSet>
      <sheetData sheetId="0">
        <row r="1">
          <cell r="B1" t="str">
            <v>충청북도</v>
          </cell>
        </row>
        <row r="101">
          <cell r="B101" t="str">
            <v>청주시흥덕구</v>
          </cell>
        </row>
        <row r="102">
          <cell r="B102" t="str">
            <v>가경동</v>
          </cell>
        </row>
        <row r="103">
          <cell r="B103" t="str">
            <v>강서동</v>
          </cell>
        </row>
        <row r="104">
          <cell r="B104" t="str">
            <v>개신동</v>
          </cell>
        </row>
        <row r="105">
          <cell r="B105" t="str">
            <v>남촌동</v>
          </cell>
        </row>
        <row r="106">
          <cell r="B106" t="str">
            <v>내곡동</v>
          </cell>
        </row>
        <row r="107">
          <cell r="B107" t="str">
            <v>동막동</v>
          </cell>
        </row>
        <row r="108">
          <cell r="B108" t="str">
            <v>모충동</v>
          </cell>
        </row>
        <row r="109">
          <cell r="B109" t="str">
            <v>문암동</v>
          </cell>
        </row>
        <row r="110">
          <cell r="B110" t="str">
            <v>미평동</v>
          </cell>
        </row>
        <row r="111">
          <cell r="B111" t="str">
            <v>복대동</v>
          </cell>
        </row>
        <row r="112">
          <cell r="B112" t="str">
            <v>봉명동</v>
          </cell>
        </row>
        <row r="113">
          <cell r="B113" t="str">
            <v>분평동</v>
          </cell>
        </row>
        <row r="114">
          <cell r="B114" t="str">
            <v>비하동</v>
          </cell>
        </row>
        <row r="115">
          <cell r="B115" t="str">
            <v>사직동</v>
          </cell>
        </row>
        <row r="116">
          <cell r="B116" t="str">
            <v>사창동</v>
          </cell>
        </row>
        <row r="117">
          <cell r="B117" t="str">
            <v>산남동</v>
          </cell>
        </row>
        <row r="118">
          <cell r="B118" t="str">
            <v>상신동</v>
          </cell>
        </row>
        <row r="119">
          <cell r="B119" t="str">
            <v>서촌동</v>
          </cell>
        </row>
        <row r="120">
          <cell r="B120" t="str">
            <v>석곡동</v>
          </cell>
        </row>
        <row r="121">
          <cell r="B121" t="str">
            <v>석소동</v>
          </cell>
        </row>
        <row r="122">
          <cell r="B122" t="str">
            <v>성화동</v>
          </cell>
        </row>
        <row r="123">
          <cell r="B123" t="str">
            <v>송절동</v>
          </cell>
        </row>
        <row r="124">
          <cell r="B124" t="str">
            <v>송정동</v>
          </cell>
        </row>
        <row r="125">
          <cell r="B125" t="str">
            <v>수곡동</v>
          </cell>
        </row>
        <row r="126">
          <cell r="B126" t="str">
            <v>수의동</v>
          </cell>
        </row>
        <row r="127">
          <cell r="B127" t="str">
            <v>신대동</v>
          </cell>
        </row>
        <row r="128">
          <cell r="B128" t="str">
            <v>신봉동</v>
          </cell>
        </row>
        <row r="129">
          <cell r="B129" t="str">
            <v>신성동</v>
          </cell>
        </row>
        <row r="130">
          <cell r="B130" t="str">
            <v>신전동</v>
          </cell>
        </row>
        <row r="131">
          <cell r="B131" t="str">
            <v>신촌동</v>
          </cell>
        </row>
        <row r="132">
          <cell r="B132" t="str">
            <v>외북동</v>
          </cell>
        </row>
        <row r="133">
          <cell r="B133" t="str">
            <v>운천동</v>
          </cell>
        </row>
        <row r="134">
          <cell r="B134" t="str">
            <v>원평동</v>
          </cell>
        </row>
        <row r="135">
          <cell r="B135" t="str">
            <v>장성동</v>
          </cell>
        </row>
        <row r="136">
          <cell r="B136" t="str">
            <v>장암동</v>
          </cell>
        </row>
        <row r="137">
          <cell r="B137" t="str">
            <v>정봉동</v>
          </cell>
        </row>
        <row r="138">
          <cell r="B138" t="str">
            <v>죽림동</v>
          </cell>
        </row>
        <row r="139">
          <cell r="B139" t="str">
            <v>지동동</v>
          </cell>
        </row>
        <row r="140">
          <cell r="B140" t="str">
            <v>평동</v>
          </cell>
        </row>
        <row r="141">
          <cell r="B141" t="str">
            <v>향정동</v>
          </cell>
        </row>
        <row r="142">
          <cell r="B142" t="str">
            <v>현암동</v>
          </cell>
        </row>
        <row r="143">
          <cell r="B143" t="str">
            <v>화계동</v>
          </cell>
        </row>
        <row r="144">
          <cell r="B144" t="str">
            <v>휴암동</v>
          </cell>
        </row>
        <row r="10002">
          <cell r="CQ10002" t="str">
            <v>수변구역</v>
          </cell>
        </row>
        <row r="10003">
          <cell r="CQ10003" t="str">
            <v>특정지역</v>
          </cell>
        </row>
        <row r="10004">
          <cell r="CQ10004" t="str">
            <v>일반지역</v>
          </cell>
        </row>
        <row r="10005">
          <cell r="CQ10005" t="str">
            <v>수변+특정지역</v>
          </cell>
        </row>
      </sheetData>
      <sheetData sheetId="1"/>
      <sheetData sheetId="2"/>
      <sheetData sheetId="3">
        <row r="1">
          <cell r="E1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설계조건 "/>
      <sheetName val="PILE "/>
      <sheetName val="6PILE  (돌출)"/>
      <sheetName val="빗물받이(910-510-410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생활용수수요량"/>
      <sheetName val="최종인구"/>
      <sheetName val="보급율선정"/>
      <sheetName val="첨두"/>
      <sheetName val="Sheet1"/>
      <sheetName val="원단위산정"/>
      <sheetName val="도로횡단-D3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K3" t="str">
            <v>91 Mercury Sable</v>
          </cell>
        </row>
        <row r="4">
          <cell r="K4" t="str">
            <v>88 Nissan Pulsar NX</v>
          </cell>
        </row>
        <row r="5">
          <cell r="K5" t="str">
            <v>90 Toyota Camry</v>
          </cell>
        </row>
        <row r="6">
          <cell r="K6" t="str">
            <v>88 Dodge Lancer ES</v>
          </cell>
        </row>
        <row r="7">
          <cell r="K7" t="str">
            <v>87 BMW 325</v>
          </cell>
        </row>
        <row r="8">
          <cell r="K8" t="str">
            <v>91 Chev Camaro</v>
          </cell>
        </row>
        <row r="9">
          <cell r="K9" t="str">
            <v>88 Mazda MX6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ongCode"/>
      <sheetName val="메인메뉴"/>
      <sheetName val="1.인구현황"/>
      <sheetName val="Variables"/>
      <sheetName val="hid_1.인구현황"/>
      <sheetName val="sum_인구현황"/>
      <sheetName val="sum_양식장현황"/>
      <sheetName val="sum_토지이용현황"/>
      <sheetName val="sum_농약및비료현황"/>
      <sheetName val="sum_생활용수공급현황 "/>
      <sheetName val="sum_공업용수공급현황"/>
      <sheetName val="sum_산업현황"/>
      <sheetName val="sum_축산현황"/>
    </sheetNames>
    <sheetDataSet>
      <sheetData sheetId="0">
        <row r="102">
          <cell r="B102" t="str">
            <v>금천동</v>
          </cell>
        </row>
        <row r="103">
          <cell r="B103" t="str">
            <v>남문로1가</v>
          </cell>
        </row>
        <row r="104">
          <cell r="B104" t="str">
            <v>남문로2가</v>
          </cell>
        </row>
        <row r="105">
          <cell r="B105" t="str">
            <v>남주동</v>
          </cell>
        </row>
        <row r="106">
          <cell r="B106" t="str">
            <v>내덕동</v>
          </cell>
        </row>
        <row r="107">
          <cell r="B107" t="str">
            <v>대성동</v>
          </cell>
        </row>
        <row r="108">
          <cell r="B108" t="str">
            <v>명암동</v>
          </cell>
        </row>
        <row r="109">
          <cell r="B109" t="str">
            <v>문화동</v>
          </cell>
        </row>
        <row r="110">
          <cell r="B110" t="str">
            <v>방서동</v>
          </cell>
        </row>
        <row r="111">
          <cell r="B111" t="str">
            <v>북문로1가</v>
          </cell>
        </row>
        <row r="112">
          <cell r="B112" t="str">
            <v>북문로2가</v>
          </cell>
        </row>
        <row r="113">
          <cell r="B113" t="str">
            <v>북문로3가</v>
          </cell>
        </row>
        <row r="114">
          <cell r="B114" t="str">
            <v>사천동</v>
          </cell>
        </row>
        <row r="115">
          <cell r="B115" t="str">
            <v>산성동</v>
          </cell>
        </row>
        <row r="116">
          <cell r="B116" t="str">
            <v>서문동</v>
          </cell>
        </row>
        <row r="117">
          <cell r="B117" t="str">
            <v>서운동</v>
          </cell>
        </row>
        <row r="118">
          <cell r="B118" t="str">
            <v>석교동</v>
          </cell>
        </row>
        <row r="119">
          <cell r="B119" t="str">
            <v>수동</v>
          </cell>
        </row>
        <row r="120">
          <cell r="B120" t="str">
            <v>영동</v>
          </cell>
        </row>
        <row r="121">
          <cell r="B121" t="str">
            <v>영운동</v>
          </cell>
        </row>
        <row r="122">
          <cell r="B122" t="str">
            <v>오동동</v>
          </cell>
        </row>
        <row r="123">
          <cell r="B123" t="str">
            <v>외남동</v>
          </cell>
        </row>
        <row r="124">
          <cell r="B124" t="str">
            <v>외평동</v>
          </cell>
        </row>
        <row r="125">
          <cell r="B125" t="str">
            <v>외하동</v>
          </cell>
        </row>
        <row r="126">
          <cell r="B126" t="str">
            <v>용담동</v>
          </cell>
        </row>
        <row r="127">
          <cell r="B127" t="str">
            <v>용암동</v>
          </cell>
        </row>
        <row r="128">
          <cell r="B128" t="str">
            <v>용정동</v>
          </cell>
        </row>
        <row r="129">
          <cell r="B129" t="str">
            <v>우암동</v>
          </cell>
        </row>
        <row r="130">
          <cell r="B130" t="str">
            <v>운동동</v>
          </cell>
        </row>
        <row r="131">
          <cell r="B131" t="str">
            <v>월오동</v>
          </cell>
        </row>
        <row r="132">
          <cell r="B132" t="str">
            <v>율량동</v>
          </cell>
        </row>
        <row r="133">
          <cell r="B133" t="str">
            <v>정북동</v>
          </cell>
        </row>
        <row r="134">
          <cell r="B134" t="str">
            <v>정상동</v>
          </cell>
        </row>
        <row r="135">
          <cell r="B135" t="str">
            <v>정하동</v>
          </cell>
        </row>
        <row r="136">
          <cell r="B136" t="str">
            <v>주성동</v>
          </cell>
        </row>
        <row r="137">
          <cell r="B137" t="str">
            <v>주중동</v>
          </cell>
        </row>
        <row r="138">
          <cell r="B138" t="str">
            <v>지북동</v>
          </cell>
        </row>
        <row r="139">
          <cell r="B139" t="str">
            <v>탑동</v>
          </cell>
        </row>
        <row r="140">
          <cell r="B140" t="str">
            <v>평촌동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.3 계획인구(내포신도시지역)"/>
      <sheetName val="내포신도시인구계획"/>
      <sheetName val="인구유입(NEW)"/>
      <sheetName val="추세선"/>
      <sheetName val="생활용수"/>
      <sheetName val="가정용수"/>
      <sheetName val="비가정용수"/>
      <sheetName val="출력안함☞"/>
      <sheetName val="블록별용적율및연면적"/>
      <sheetName val="내포신도시_비가정용수량"/>
      <sheetName val="Sheet5"/>
    </sheetNames>
    <sheetDataSet>
      <sheetData sheetId="0" refreshError="1"/>
      <sheetData sheetId="1">
        <row r="3">
          <cell r="D3">
            <v>10951</v>
          </cell>
        </row>
        <row r="27">
          <cell r="E27">
            <v>36500</v>
          </cell>
          <cell r="F27">
            <v>58200</v>
          </cell>
          <cell r="G27">
            <v>58200</v>
          </cell>
          <cell r="H27">
            <v>58200</v>
          </cell>
        </row>
      </sheetData>
      <sheetData sheetId="2">
        <row r="15">
          <cell r="AK15">
            <v>0</v>
          </cell>
        </row>
      </sheetData>
      <sheetData sheetId="3" refreshError="1"/>
      <sheetData sheetId="4">
        <row r="27">
          <cell r="C27">
            <v>0</v>
          </cell>
        </row>
      </sheetData>
      <sheetData sheetId="5">
        <row r="27">
          <cell r="C27">
            <v>0</v>
          </cell>
        </row>
      </sheetData>
      <sheetData sheetId="6">
        <row r="27">
          <cell r="C27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21"/>
  <sheetViews>
    <sheetView view="pageBreakPreview" zoomScaleSheetLayoutView="100" workbookViewId="0">
      <selection activeCell="O28" sqref="O28"/>
    </sheetView>
  </sheetViews>
  <sheetFormatPr defaultRowHeight="13.5"/>
  <cols>
    <col min="1" max="3" width="7.33203125" style="498" customWidth="1"/>
    <col min="4" max="8" width="8.88671875" style="498"/>
    <col min="9" max="9" width="15.77734375" style="498" customWidth="1"/>
    <col min="10" max="16384" width="8.88671875" style="498"/>
  </cols>
  <sheetData>
    <row r="1" spans="1:9" ht="14.25">
      <c r="A1" s="503" t="s">
        <v>1065</v>
      </c>
    </row>
    <row r="2" spans="1:9">
      <c r="A2" s="764" t="s">
        <v>1068</v>
      </c>
    </row>
    <row r="3" spans="1:9">
      <c r="A3" s="764" t="s">
        <v>1066</v>
      </c>
    </row>
    <row r="4" spans="1:9">
      <c r="A4" s="764" t="s">
        <v>1067</v>
      </c>
    </row>
    <row r="5" spans="1:9">
      <c r="A5" s="764" t="s">
        <v>1070</v>
      </c>
    </row>
    <row r="7" spans="1:9" ht="21.75" customHeight="1">
      <c r="A7" s="503" t="s">
        <v>976</v>
      </c>
      <c r="B7" s="495"/>
      <c r="C7" s="495"/>
      <c r="D7" s="496"/>
      <c r="E7" s="496"/>
      <c r="F7" s="496"/>
      <c r="G7" s="496"/>
      <c r="H7" s="496"/>
      <c r="I7" s="497"/>
    </row>
    <row r="8" spans="1:9" ht="34.5" customHeight="1">
      <c r="A8" s="786" t="s">
        <v>755</v>
      </c>
      <c r="B8" s="787"/>
      <c r="C8" s="787"/>
      <c r="D8" s="788" t="s">
        <v>587</v>
      </c>
      <c r="E8" s="788" t="s">
        <v>756</v>
      </c>
      <c r="F8" s="788" t="s">
        <v>757</v>
      </c>
      <c r="G8" s="788" t="s">
        <v>758</v>
      </c>
      <c r="H8" s="788" t="s">
        <v>759</v>
      </c>
      <c r="I8" s="789" t="s">
        <v>760</v>
      </c>
    </row>
    <row r="9" spans="1:9" ht="34.5" customHeight="1">
      <c r="A9" s="790" t="s">
        <v>761</v>
      </c>
      <c r="B9" s="783"/>
      <c r="C9" s="783"/>
      <c r="D9" s="784">
        <f>'생잔모형법(홍성군)'!B28</f>
        <v>83739</v>
      </c>
      <c r="E9" s="784">
        <f>'생잔모형법(홍성군)'!Z28</f>
        <v>83222</v>
      </c>
      <c r="F9" s="784">
        <f>'생잔모형법(홍성군)'!Z53</f>
        <v>83194</v>
      </c>
      <c r="G9" s="784">
        <f>'생잔모형법(홍성군)'!Z78</f>
        <v>82585</v>
      </c>
      <c r="H9" s="784">
        <f>'생잔모형법(홍성군)'!Z103</f>
        <v>81557</v>
      </c>
      <c r="I9" s="785"/>
    </row>
    <row r="10" spans="1:9" ht="34.5" customHeight="1">
      <c r="A10" s="775" t="s">
        <v>762</v>
      </c>
      <c r="B10" s="774"/>
      <c r="C10" s="774"/>
      <c r="D10" s="776">
        <f>'생잔모형법(충청남도)'!B28</f>
        <v>2077649</v>
      </c>
      <c r="E10" s="776">
        <f>'생잔모형법(충청남도)'!Z28</f>
        <v>2097267</v>
      </c>
      <c r="F10" s="776">
        <f>'생잔모형법(충청남도)'!Z53</f>
        <v>2126363</v>
      </c>
      <c r="G10" s="776">
        <f>'생잔모형법(충청남도)'!Z78</f>
        <v>2141501</v>
      </c>
      <c r="H10" s="776">
        <f>'생잔모형법(충청남도)'!Z103</f>
        <v>2144386</v>
      </c>
      <c r="I10" s="777"/>
    </row>
    <row r="11" spans="1:9" ht="34.5" customHeight="1">
      <c r="A11" s="775" t="s">
        <v>763</v>
      </c>
      <c r="B11" s="774"/>
      <c r="C11" s="774"/>
      <c r="D11" s="776">
        <f>D10</f>
        <v>2077649</v>
      </c>
      <c r="E11" s="776">
        <f>'통계청 장래인구 추계'!F4</f>
        <v>2170972</v>
      </c>
      <c r="F11" s="776">
        <f>'통계청 장래인구 추계'!I4</f>
        <v>2254010</v>
      </c>
      <c r="G11" s="776">
        <f>'통계청 장래인구 추계'!L4</f>
        <v>2323886</v>
      </c>
      <c r="H11" s="776">
        <f>'통계청 장래인구 추계'!O4</f>
        <v>2370653</v>
      </c>
      <c r="I11" s="778" t="s">
        <v>925</v>
      </c>
    </row>
    <row r="12" spans="1:9" ht="34.5" customHeight="1">
      <c r="A12" s="775" t="s">
        <v>764</v>
      </c>
      <c r="B12" s="774"/>
      <c r="C12" s="774"/>
      <c r="D12" s="776">
        <f>D9*(D11/D10)</f>
        <v>83739</v>
      </c>
      <c r="E12" s="776">
        <f t="shared" ref="E12:H12" si="0">E9*(E11/E10)</f>
        <v>86146.700340967553</v>
      </c>
      <c r="F12" s="776">
        <f t="shared" si="0"/>
        <v>88188.191733960761</v>
      </c>
      <c r="G12" s="776">
        <f t="shared" si="0"/>
        <v>89618.508378002152</v>
      </c>
      <c r="H12" s="776">
        <f t="shared" si="0"/>
        <v>90162.567150223898</v>
      </c>
      <c r="I12" s="777"/>
    </row>
    <row r="13" spans="1:9" ht="34.5" customHeight="1">
      <c r="A13" s="779" t="s">
        <v>765</v>
      </c>
      <c r="B13" s="780"/>
      <c r="C13" s="780"/>
      <c r="D13" s="781">
        <f>D9</f>
        <v>83739</v>
      </c>
      <c r="E13" s="781">
        <f>E9</f>
        <v>83222</v>
      </c>
      <c r="F13" s="781">
        <f>F9</f>
        <v>83194</v>
      </c>
      <c r="G13" s="781">
        <f>G9</f>
        <v>82585</v>
      </c>
      <c r="H13" s="781">
        <f>H9</f>
        <v>81557</v>
      </c>
      <c r="I13" s="782" t="s">
        <v>1069</v>
      </c>
    </row>
    <row r="14" spans="1:9" ht="12.75" customHeight="1">
      <c r="A14" s="496"/>
      <c r="B14" s="496"/>
      <c r="C14" s="496"/>
      <c r="D14" s="496"/>
      <c r="E14" s="496"/>
      <c r="F14" s="496"/>
      <c r="G14" s="496"/>
      <c r="H14" s="496"/>
      <c r="I14" s="497"/>
    </row>
    <row r="15" spans="1:9" ht="24.75" customHeight="1">
      <c r="A15" s="503" t="s">
        <v>1127</v>
      </c>
      <c r="B15" s="495"/>
      <c r="C15" s="495"/>
      <c r="D15" s="499"/>
      <c r="E15" s="499"/>
      <c r="F15" s="499"/>
      <c r="G15" s="499"/>
      <c r="H15" s="499"/>
      <c r="I15" s="455"/>
    </row>
    <row r="16" spans="1:9" ht="34.5" customHeight="1">
      <c r="A16" s="786" t="s">
        <v>755</v>
      </c>
      <c r="B16" s="787"/>
      <c r="C16" s="787"/>
      <c r="D16" s="788" t="s">
        <v>587</v>
      </c>
      <c r="E16" s="788" t="s">
        <v>756</v>
      </c>
      <c r="F16" s="788" t="s">
        <v>757</v>
      </c>
      <c r="G16" s="788" t="s">
        <v>758</v>
      </c>
      <c r="H16" s="788" t="s">
        <v>759</v>
      </c>
      <c r="I16" s="789" t="s">
        <v>760</v>
      </c>
    </row>
    <row r="17" spans="1:9" ht="34.5" customHeight="1">
      <c r="A17" s="794" t="s">
        <v>1128</v>
      </c>
      <c r="B17" s="795"/>
      <c r="C17" s="795"/>
      <c r="D17" s="848">
        <f>D13</f>
        <v>83739</v>
      </c>
      <c r="E17" s="849">
        <f>E13</f>
        <v>83222</v>
      </c>
      <c r="F17" s="849">
        <f>F13</f>
        <v>83194</v>
      </c>
      <c r="G17" s="849">
        <f>G13</f>
        <v>82585</v>
      </c>
      <c r="H17" s="849">
        <f>H13</f>
        <v>81557</v>
      </c>
      <c r="I17" s="796"/>
    </row>
    <row r="18" spans="1:9" ht="34.5" customHeight="1">
      <c r="A18" s="936" t="s">
        <v>1129</v>
      </c>
      <c r="B18" s="937"/>
      <c r="C18" s="937"/>
      <c r="D18" s="556">
        <v>1861</v>
      </c>
      <c r="E18" s="791">
        <v>1861</v>
      </c>
      <c r="F18" s="791">
        <v>1861</v>
      </c>
      <c r="G18" s="791">
        <v>1861</v>
      </c>
      <c r="H18" s="791">
        <v>1861</v>
      </c>
      <c r="I18" s="792"/>
    </row>
    <row r="19" spans="1:9" ht="34.5" customHeight="1">
      <c r="A19" s="938" t="s">
        <v>19</v>
      </c>
      <c r="B19" s="939"/>
      <c r="C19" s="939"/>
      <c r="D19" s="562">
        <f>D17+D18</f>
        <v>85600</v>
      </c>
      <c r="E19" s="562">
        <f t="shared" ref="E19:H19" si="1">E17+E18</f>
        <v>85083</v>
      </c>
      <c r="F19" s="562">
        <f t="shared" si="1"/>
        <v>85055</v>
      </c>
      <c r="G19" s="562">
        <f t="shared" si="1"/>
        <v>84446</v>
      </c>
      <c r="H19" s="562">
        <f t="shared" si="1"/>
        <v>83418</v>
      </c>
      <c r="I19" s="793"/>
    </row>
    <row r="20" spans="1:9">
      <c r="A20" s="500"/>
      <c r="B20" s="500"/>
      <c r="C20" s="500"/>
      <c r="D20" s="501"/>
      <c r="E20" s="501"/>
      <c r="F20" s="501"/>
      <c r="G20" s="501"/>
      <c r="H20" s="501"/>
      <c r="I20" s="500"/>
    </row>
    <row r="21" spans="1:9">
      <c r="D21" s="502"/>
      <c r="E21" s="502"/>
      <c r="F21" s="502"/>
      <c r="G21" s="502"/>
      <c r="H21" s="502"/>
    </row>
  </sheetData>
  <mergeCells count="2">
    <mergeCell ref="A18:C18"/>
    <mergeCell ref="A19:C19"/>
  </mergeCells>
  <phoneticPr fontId="10" type="noConversion"/>
  <pageMargins left="0.7" right="0.7" top="0.75" bottom="0.75" header="0.3" footer="0.3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22"/>
  <sheetViews>
    <sheetView view="pageBreakPreview" topLeftCell="A13" zoomScale="85" zoomScaleSheetLayoutView="85" workbookViewId="0">
      <selection activeCell="K34" sqref="K34:K35"/>
    </sheetView>
  </sheetViews>
  <sheetFormatPr defaultRowHeight="13.5"/>
  <cols>
    <col min="1" max="1" width="10.44140625" style="665" customWidth="1"/>
    <col min="2" max="2" width="15.44140625" style="665" customWidth="1"/>
    <col min="3" max="3" width="16.109375" style="665" customWidth="1"/>
    <col min="4" max="8" width="10.21875" style="665" customWidth="1"/>
    <col min="9" max="9" width="8.88671875" style="665" customWidth="1"/>
    <col min="10" max="16384" width="8.88671875" style="665"/>
  </cols>
  <sheetData>
    <row r="1" spans="1:10" ht="46.5" customHeight="1">
      <c r="A1" s="615" t="s">
        <v>1135</v>
      </c>
      <c r="C1" s="709"/>
      <c r="D1" s="709"/>
      <c r="E1" s="709"/>
      <c r="F1" s="709"/>
      <c r="G1" s="709"/>
      <c r="H1" s="709"/>
    </row>
    <row r="2" spans="1:10" ht="46.5" customHeight="1">
      <c r="A2" s="1013" t="s">
        <v>926</v>
      </c>
      <c r="B2" s="1013"/>
      <c r="C2" s="865" t="s">
        <v>927</v>
      </c>
      <c r="D2" s="865" t="s">
        <v>928</v>
      </c>
      <c r="E2" s="866" t="s">
        <v>1141</v>
      </c>
      <c r="F2" s="866" t="s">
        <v>1140</v>
      </c>
      <c r="G2" s="866" t="s">
        <v>1142</v>
      </c>
      <c r="H2" s="866" t="s">
        <v>1143</v>
      </c>
      <c r="I2" s="865" t="s">
        <v>1121</v>
      </c>
      <c r="J2" s="865" t="s">
        <v>1120</v>
      </c>
    </row>
    <row r="3" spans="1:10" ht="46.5" customHeight="1">
      <c r="A3" s="1015" t="s">
        <v>929</v>
      </c>
      <c r="B3" s="1015"/>
      <c r="C3" s="862"/>
      <c r="D3" s="862"/>
      <c r="E3" s="862">
        <f>SUM(E4:E8)</f>
        <v>9532</v>
      </c>
      <c r="F3" s="862"/>
      <c r="G3" s="862">
        <f>SUM(G4:G8)</f>
        <v>3861</v>
      </c>
      <c r="H3" s="862">
        <f>SUM(H4:H8)</f>
        <v>3529</v>
      </c>
      <c r="I3" s="835"/>
      <c r="J3" s="850"/>
    </row>
    <row r="4" spans="1:10" ht="46.5" customHeight="1">
      <c r="A4" s="1016" t="s">
        <v>1124</v>
      </c>
      <c r="B4" s="851" t="s">
        <v>1015</v>
      </c>
      <c r="C4" s="852" t="s">
        <v>930</v>
      </c>
      <c r="D4" s="852">
        <v>723</v>
      </c>
      <c r="E4" s="852">
        <v>2150</v>
      </c>
      <c r="F4" s="853">
        <f>외부유입율!B52</f>
        <v>39.9</v>
      </c>
      <c r="G4" s="852">
        <f>ROUND(E4*F4/100,0)</f>
        <v>858</v>
      </c>
      <c r="H4" s="852">
        <f>ROUND(G4,0)</f>
        <v>858</v>
      </c>
      <c r="I4" s="861" t="s">
        <v>931</v>
      </c>
      <c r="J4" s="850" t="s">
        <v>1117</v>
      </c>
    </row>
    <row r="5" spans="1:10" ht="46.5" customHeight="1">
      <c r="A5" s="1016"/>
      <c r="B5" s="851" t="s">
        <v>1004</v>
      </c>
      <c r="C5" s="852" t="s">
        <v>934</v>
      </c>
      <c r="D5" s="852">
        <v>360</v>
      </c>
      <c r="E5" s="852">
        <v>830</v>
      </c>
      <c r="F5" s="853">
        <f>외부유입율!B51</f>
        <v>40</v>
      </c>
      <c r="G5" s="852">
        <f>ROUND(E5*F5/100,0)</f>
        <v>332</v>
      </c>
      <c r="H5" s="852"/>
      <c r="I5" s="861" t="s">
        <v>932</v>
      </c>
      <c r="J5" s="850" t="s">
        <v>1118</v>
      </c>
    </row>
    <row r="6" spans="1:10" ht="46.5" customHeight="1">
      <c r="A6" s="1016"/>
      <c r="B6" s="851" t="s">
        <v>1005</v>
      </c>
      <c r="C6" s="852" t="s">
        <v>1010</v>
      </c>
      <c r="D6" s="852">
        <v>2096</v>
      </c>
      <c r="E6" s="852">
        <v>5661</v>
      </c>
      <c r="F6" s="853">
        <f>외부유입율!B50</f>
        <v>40.9</v>
      </c>
      <c r="G6" s="852">
        <f t="shared" ref="G6:G10" si="0">ROUND(E6*F6/100,0)</f>
        <v>2315</v>
      </c>
      <c r="H6" s="852">
        <f>ROUND(G6,0)</f>
        <v>2315</v>
      </c>
      <c r="I6" s="861" t="s">
        <v>933</v>
      </c>
      <c r="J6" s="850" t="s">
        <v>1119</v>
      </c>
    </row>
    <row r="7" spans="1:10" ht="46.5" customHeight="1">
      <c r="A7" s="1016"/>
      <c r="B7" s="851" t="s">
        <v>1006</v>
      </c>
      <c r="C7" s="852" t="s">
        <v>1011</v>
      </c>
      <c r="D7" s="852">
        <v>259</v>
      </c>
      <c r="E7" s="852">
        <v>699</v>
      </c>
      <c r="F7" s="853">
        <f>외부유입율!B52</f>
        <v>39.9</v>
      </c>
      <c r="G7" s="852">
        <f t="shared" si="0"/>
        <v>279</v>
      </c>
      <c r="H7" s="852">
        <f>ROUND(G7,0)</f>
        <v>279</v>
      </c>
      <c r="I7" s="861" t="s">
        <v>931</v>
      </c>
      <c r="J7" s="850" t="s">
        <v>1117</v>
      </c>
    </row>
    <row r="8" spans="1:10" ht="46.5" customHeight="1">
      <c r="A8" s="1016"/>
      <c r="B8" s="851" t="s">
        <v>1165</v>
      </c>
      <c r="C8" s="867" t="s">
        <v>1166</v>
      </c>
      <c r="D8" s="852">
        <v>71</v>
      </c>
      <c r="E8" s="852">
        <v>192</v>
      </c>
      <c r="F8" s="853">
        <f>외부유입율!B52</f>
        <v>39.9</v>
      </c>
      <c r="G8" s="852">
        <f t="shared" si="0"/>
        <v>77</v>
      </c>
      <c r="H8" s="852">
        <f>ROUND(G8,0)</f>
        <v>77</v>
      </c>
      <c r="I8" s="861" t="s">
        <v>1167</v>
      </c>
      <c r="J8" s="850" t="s">
        <v>1076</v>
      </c>
    </row>
    <row r="9" spans="1:10" ht="46.5" customHeight="1">
      <c r="A9" s="1014" t="s">
        <v>1009</v>
      </c>
      <c r="B9" s="851" t="s">
        <v>1007</v>
      </c>
      <c r="C9" s="852" t="s">
        <v>1012</v>
      </c>
      <c r="D9" s="852" t="s">
        <v>1014</v>
      </c>
      <c r="E9" s="852">
        <v>4366</v>
      </c>
      <c r="F9" s="852">
        <v>40</v>
      </c>
      <c r="G9" s="852">
        <f t="shared" si="0"/>
        <v>1746</v>
      </c>
      <c r="H9" s="852"/>
      <c r="I9" s="861"/>
      <c r="J9" s="861"/>
    </row>
    <row r="10" spans="1:10" ht="46.5" customHeight="1">
      <c r="A10" s="1014"/>
      <c r="B10" s="854" t="s">
        <v>1008</v>
      </c>
      <c r="C10" s="861" t="s">
        <v>1013</v>
      </c>
      <c r="D10" s="861" t="s">
        <v>1014</v>
      </c>
      <c r="E10" s="861">
        <v>1358</v>
      </c>
      <c r="F10" s="852">
        <v>40</v>
      </c>
      <c r="G10" s="852">
        <f t="shared" si="0"/>
        <v>543</v>
      </c>
      <c r="H10" s="852"/>
      <c r="I10" s="861"/>
      <c r="J10" s="861"/>
    </row>
    <row r="11" spans="1:10" ht="26.25" customHeight="1"/>
    <row r="12" spans="1:10" ht="35.25" customHeight="1">
      <c r="A12" s="615" t="s">
        <v>1136</v>
      </c>
      <c r="C12" s="709"/>
      <c r="D12" s="709"/>
      <c r="E12" s="709"/>
      <c r="F12" s="709"/>
      <c r="G12" s="709"/>
    </row>
    <row r="13" spans="1:10" ht="12.75" customHeight="1">
      <c r="A13" s="615"/>
      <c r="C13" s="709"/>
      <c r="D13" s="709"/>
      <c r="E13" s="709"/>
      <c r="F13" s="709"/>
      <c r="G13" s="709" t="s">
        <v>1144</v>
      </c>
    </row>
    <row r="14" spans="1:10" ht="46.5" customHeight="1">
      <c r="A14" s="1013" t="s">
        <v>1137</v>
      </c>
      <c r="B14" s="1013"/>
      <c r="C14" s="865">
        <v>2020</v>
      </c>
      <c r="D14" s="865">
        <v>2025</v>
      </c>
      <c r="E14" s="865">
        <v>2030</v>
      </c>
      <c r="F14" s="865">
        <v>2035</v>
      </c>
      <c r="G14" s="865" t="s">
        <v>1139</v>
      </c>
    </row>
    <row r="15" spans="1:10" ht="46.5" customHeight="1">
      <c r="A15" s="1015" t="s">
        <v>1138</v>
      </c>
      <c r="B15" s="1015"/>
      <c r="C15" s="862">
        <f>SUM(C16:C20)</f>
        <v>3529</v>
      </c>
      <c r="D15" s="880">
        <f t="shared" ref="D15:F15" si="1">SUM(D16:D20)</f>
        <v>3529</v>
      </c>
      <c r="E15" s="880">
        <f t="shared" si="1"/>
        <v>3529</v>
      </c>
      <c r="F15" s="880">
        <f t="shared" si="1"/>
        <v>3529</v>
      </c>
      <c r="G15" s="862"/>
    </row>
    <row r="16" spans="1:10" ht="46.5" customHeight="1">
      <c r="A16" s="1012" t="s">
        <v>1015</v>
      </c>
      <c r="B16" s="1012"/>
      <c r="C16" s="852">
        <f>H4</f>
        <v>858</v>
      </c>
      <c r="D16" s="852">
        <f>C16</f>
        <v>858</v>
      </c>
      <c r="E16" s="852">
        <f t="shared" ref="E16:F16" si="2">D16</f>
        <v>858</v>
      </c>
      <c r="F16" s="852">
        <f t="shared" si="2"/>
        <v>858</v>
      </c>
      <c r="G16" s="852"/>
    </row>
    <row r="17" spans="1:7" ht="46.5" customHeight="1">
      <c r="A17" s="1012" t="s">
        <v>1004</v>
      </c>
      <c r="B17" s="1012"/>
      <c r="C17" s="852">
        <f>H5</f>
        <v>0</v>
      </c>
      <c r="D17" s="852">
        <f t="shared" ref="D17:F19" si="3">C17</f>
        <v>0</v>
      </c>
      <c r="E17" s="852">
        <f t="shared" si="3"/>
        <v>0</v>
      </c>
      <c r="F17" s="852">
        <f t="shared" si="3"/>
        <v>0</v>
      </c>
      <c r="G17" s="852"/>
    </row>
    <row r="18" spans="1:7" ht="46.5" customHeight="1">
      <c r="A18" s="1012" t="s">
        <v>1005</v>
      </c>
      <c r="B18" s="1012"/>
      <c r="C18" s="852">
        <f>H6</f>
        <v>2315</v>
      </c>
      <c r="D18" s="852">
        <f t="shared" si="3"/>
        <v>2315</v>
      </c>
      <c r="E18" s="852">
        <f t="shared" si="3"/>
        <v>2315</v>
      </c>
      <c r="F18" s="852">
        <f t="shared" si="3"/>
        <v>2315</v>
      </c>
      <c r="G18" s="852"/>
    </row>
    <row r="19" spans="1:7" ht="46.5" customHeight="1">
      <c r="A19" s="1012" t="s">
        <v>1006</v>
      </c>
      <c r="B19" s="1012"/>
      <c r="C19" s="852">
        <f>H7</f>
        <v>279</v>
      </c>
      <c r="D19" s="852">
        <f t="shared" si="3"/>
        <v>279</v>
      </c>
      <c r="E19" s="852">
        <f t="shared" si="3"/>
        <v>279</v>
      </c>
      <c r="F19" s="852">
        <f t="shared" si="3"/>
        <v>279</v>
      </c>
      <c r="G19" s="852"/>
    </row>
    <row r="20" spans="1:7" ht="46.5" customHeight="1">
      <c r="A20" s="1012" t="s">
        <v>1164</v>
      </c>
      <c r="B20" s="1012"/>
      <c r="C20" s="852">
        <f>H8</f>
        <v>77</v>
      </c>
      <c r="D20" s="852">
        <f t="shared" ref="D20" si="4">C20</f>
        <v>77</v>
      </c>
      <c r="E20" s="852">
        <f t="shared" ref="E20" si="5">D20</f>
        <v>77</v>
      </c>
      <c r="F20" s="852">
        <f t="shared" ref="F20" si="6">E20</f>
        <v>77</v>
      </c>
      <c r="G20" s="852"/>
    </row>
    <row r="21" spans="1:7" ht="25.5" customHeight="1">
      <c r="A21" s="855" t="s">
        <v>1145</v>
      </c>
      <c r="B21" s="836"/>
      <c r="C21" s="856"/>
      <c r="D21" s="856"/>
      <c r="E21" s="856"/>
      <c r="F21" s="856"/>
      <c r="G21" s="856"/>
    </row>
    <row r="22" spans="1:7" ht="25.5" customHeight="1">
      <c r="A22" s="855" t="s">
        <v>1146</v>
      </c>
    </row>
  </sheetData>
  <mergeCells count="11">
    <mergeCell ref="A20:B20"/>
    <mergeCell ref="A2:B2"/>
    <mergeCell ref="A9:A10"/>
    <mergeCell ref="A3:B3"/>
    <mergeCell ref="A14:B14"/>
    <mergeCell ref="A4:A8"/>
    <mergeCell ref="A15:B15"/>
    <mergeCell ref="A16:B16"/>
    <mergeCell ref="A17:B17"/>
    <mergeCell ref="A18:B18"/>
    <mergeCell ref="A19:B19"/>
  </mergeCells>
  <phoneticPr fontId="10" type="noConversion"/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G86"/>
  <sheetViews>
    <sheetView view="pageBreakPreview" zoomScale="85" zoomScaleSheetLayoutView="85" workbookViewId="0">
      <selection activeCell="J40" sqref="J40"/>
    </sheetView>
  </sheetViews>
  <sheetFormatPr defaultRowHeight="13.5"/>
  <cols>
    <col min="1" max="1" width="17.88671875" style="665" customWidth="1"/>
    <col min="2" max="2" width="12.44140625" style="665" customWidth="1"/>
    <col min="3" max="7" width="11.33203125" style="665" customWidth="1"/>
    <col min="8" max="16384" width="8.88671875" style="665"/>
  </cols>
  <sheetData>
    <row r="1" spans="1:7" ht="15.75" customHeight="1"/>
    <row r="2" spans="1:7" ht="15.75" customHeight="1">
      <c r="A2" s="442" t="s">
        <v>1147</v>
      </c>
      <c r="B2" s="453"/>
      <c r="C2" s="453"/>
      <c r="D2" s="453"/>
      <c r="E2" s="453"/>
      <c r="F2" s="453"/>
      <c r="G2" s="453"/>
    </row>
    <row r="3" spans="1:7" ht="15.75" customHeight="1">
      <c r="A3" s="453" t="s">
        <v>1148</v>
      </c>
      <c r="B3" s="453"/>
      <c r="C3" s="453"/>
      <c r="D3" s="453"/>
      <c r="E3" s="453"/>
      <c r="F3" s="453"/>
      <c r="G3" s="453"/>
    </row>
    <row r="4" spans="1:7" ht="15.75" customHeight="1">
      <c r="A4" s="453" t="s">
        <v>1151</v>
      </c>
      <c r="B4" s="453"/>
      <c r="C4" s="453"/>
      <c r="D4" s="453"/>
      <c r="E4" s="453"/>
      <c r="F4" s="453"/>
      <c r="G4" s="453"/>
    </row>
    <row r="5" spans="1:7" ht="15.75" customHeight="1">
      <c r="A5" s="448" t="s">
        <v>936</v>
      </c>
      <c r="B5" s="448" t="s">
        <v>937</v>
      </c>
      <c r="C5" s="448" t="s">
        <v>936</v>
      </c>
      <c r="D5" s="448" t="s">
        <v>937</v>
      </c>
      <c r="E5" s="816"/>
      <c r="F5" s="817"/>
      <c r="G5" s="816"/>
    </row>
    <row r="6" spans="1:7" ht="15.75" customHeight="1">
      <c r="A6" s="447" t="s">
        <v>938</v>
      </c>
      <c r="B6" s="451" t="s">
        <v>939</v>
      </c>
      <c r="C6" s="451" t="s">
        <v>940</v>
      </c>
      <c r="D6" s="451" t="s">
        <v>941</v>
      </c>
      <c r="E6" s="816"/>
      <c r="F6" s="817"/>
      <c r="G6" s="816"/>
    </row>
    <row r="7" spans="1:7" ht="15.75" customHeight="1">
      <c r="A7" s="447" t="s">
        <v>942</v>
      </c>
      <c r="B7" s="451" t="s">
        <v>943</v>
      </c>
      <c r="C7" s="451" t="s">
        <v>944</v>
      </c>
      <c r="D7" s="451" t="s">
        <v>945</v>
      </c>
      <c r="E7" s="816"/>
      <c r="F7" s="817"/>
      <c r="G7" s="816"/>
    </row>
    <row r="8" spans="1:7" ht="15.75" customHeight="1">
      <c r="A8" s="447" t="s">
        <v>946</v>
      </c>
      <c r="B8" s="451" t="s">
        <v>947</v>
      </c>
      <c r="C8" s="452" t="s">
        <v>948</v>
      </c>
      <c r="D8" s="452" t="s">
        <v>949</v>
      </c>
      <c r="E8" s="818"/>
      <c r="F8" s="818"/>
      <c r="G8" s="815"/>
    </row>
    <row r="9" spans="1:7" ht="15.75" customHeight="1">
      <c r="A9" s="447" t="s">
        <v>950</v>
      </c>
      <c r="B9" s="451" t="s">
        <v>951</v>
      </c>
      <c r="C9" s="451" t="s">
        <v>952</v>
      </c>
      <c r="D9" s="451" t="s">
        <v>953</v>
      </c>
      <c r="E9" s="818"/>
      <c r="F9" s="818"/>
      <c r="G9" s="815"/>
    </row>
    <row r="10" spans="1:7" ht="15.75" customHeight="1">
      <c r="A10" s="447" t="s">
        <v>954</v>
      </c>
      <c r="B10" s="451" t="s">
        <v>955</v>
      </c>
      <c r="C10" s="446" t="s">
        <v>956</v>
      </c>
      <c r="D10" s="446" t="s">
        <v>957</v>
      </c>
      <c r="E10" s="818"/>
      <c r="F10" s="818"/>
      <c r="G10" s="815"/>
    </row>
    <row r="11" spans="1:7" ht="15.75" customHeight="1">
      <c r="A11" s="447" t="s">
        <v>958</v>
      </c>
      <c r="B11" s="451" t="s">
        <v>959</v>
      </c>
      <c r="C11" s="451" t="s">
        <v>960</v>
      </c>
      <c r="D11" s="451" t="s">
        <v>961</v>
      </c>
      <c r="E11" s="815"/>
      <c r="F11" s="815"/>
      <c r="G11" s="815"/>
    </row>
    <row r="12" spans="1:7" ht="15.75" customHeight="1">
      <c r="A12" s="447" t="s">
        <v>962</v>
      </c>
      <c r="B12" s="451" t="s">
        <v>963</v>
      </c>
      <c r="C12" s="451"/>
      <c r="D12" s="451"/>
      <c r="E12" s="818"/>
      <c r="F12" s="818"/>
      <c r="G12" s="815"/>
    </row>
    <row r="13" spans="1:7" ht="15.75" customHeight="1">
      <c r="A13" s="812" t="s">
        <v>1084</v>
      </c>
      <c r="B13" s="815"/>
      <c r="C13" s="815"/>
      <c r="D13" s="818"/>
      <c r="E13" s="818"/>
      <c r="F13" s="818"/>
      <c r="G13" s="815"/>
    </row>
    <row r="14" spans="1:7" ht="15.75" customHeight="1">
      <c r="A14" s="453" t="s">
        <v>1149</v>
      </c>
      <c r="B14" s="453"/>
      <c r="C14" s="453"/>
      <c r="D14" s="453"/>
      <c r="E14" s="453"/>
      <c r="F14" s="453"/>
      <c r="G14" s="453"/>
    </row>
    <row r="15" spans="1:7" ht="15.75" customHeight="1">
      <c r="A15" s="449" t="s">
        <v>1097</v>
      </c>
      <c r="B15" s="453"/>
      <c r="C15" s="453"/>
      <c r="D15" s="453"/>
      <c r="E15" s="453"/>
      <c r="F15" s="453"/>
      <c r="G15" s="453"/>
    </row>
    <row r="16" spans="1:7" ht="15.75" customHeight="1">
      <c r="A16" s="449" t="s">
        <v>1150</v>
      </c>
      <c r="B16" s="453"/>
      <c r="C16" s="453"/>
      <c r="D16" s="453"/>
      <c r="E16" s="453"/>
      <c r="F16" s="453"/>
      <c r="G16" s="453"/>
    </row>
    <row r="17" spans="1:7" ht="15.75" customHeight="1">
      <c r="A17" s="1017" t="s">
        <v>1085</v>
      </c>
      <c r="B17" s="1017" t="s">
        <v>1098</v>
      </c>
      <c r="C17" s="1017"/>
      <c r="D17" s="1017"/>
      <c r="E17" s="1017"/>
      <c r="F17" s="1017"/>
      <c r="G17" s="1017"/>
    </row>
    <row r="18" spans="1:7" ht="15.75" customHeight="1">
      <c r="A18" s="1017"/>
      <c r="B18" s="814" t="s">
        <v>1099</v>
      </c>
      <c r="C18" s="814" t="s">
        <v>1106</v>
      </c>
      <c r="D18" s="814" t="s">
        <v>1107</v>
      </c>
      <c r="E18" s="799" t="s">
        <v>1108</v>
      </c>
      <c r="F18" s="799" t="s">
        <v>1109</v>
      </c>
      <c r="G18" s="799" t="s">
        <v>1110</v>
      </c>
    </row>
    <row r="19" spans="1:7" ht="15.75" customHeight="1">
      <c r="A19" s="1017"/>
      <c r="B19" s="819" t="s">
        <v>1100</v>
      </c>
      <c r="C19" s="819" t="s">
        <v>1101</v>
      </c>
      <c r="D19" s="819" t="s">
        <v>1102</v>
      </c>
      <c r="E19" s="819" t="s">
        <v>1103</v>
      </c>
      <c r="F19" s="819" t="s">
        <v>1104</v>
      </c>
      <c r="G19" s="819" t="s">
        <v>1105</v>
      </c>
    </row>
    <row r="20" spans="1:7" ht="15.75" customHeight="1">
      <c r="A20" s="813" t="s">
        <v>1086</v>
      </c>
      <c r="B20" s="820">
        <v>51.7</v>
      </c>
      <c r="C20" s="820">
        <v>43.2</v>
      </c>
      <c r="D20" s="820">
        <v>42.5</v>
      </c>
      <c r="E20" s="820">
        <v>27.9</v>
      </c>
      <c r="F20" s="820">
        <v>27.1</v>
      </c>
      <c r="G20" s="820">
        <v>22.9</v>
      </c>
    </row>
    <row r="21" spans="1:7" ht="15.75" customHeight="1">
      <c r="A21" s="813" t="s">
        <v>1111</v>
      </c>
      <c r="B21" s="820">
        <v>24.4</v>
      </c>
      <c r="C21" s="820">
        <v>23.5</v>
      </c>
      <c r="D21" s="820">
        <v>23.4</v>
      </c>
      <c r="E21" s="820">
        <v>21.9</v>
      </c>
      <c r="F21" s="820">
        <v>21.8</v>
      </c>
      <c r="G21" s="820">
        <v>21.4</v>
      </c>
    </row>
    <row r="22" spans="1:7" ht="15.75" customHeight="1">
      <c r="A22" s="813" t="s">
        <v>1087</v>
      </c>
      <c r="B22" s="820">
        <v>37.700000000000003</v>
      </c>
      <c r="C22" s="820">
        <v>36.4</v>
      </c>
      <c r="D22" s="820">
        <v>36.299999999999997</v>
      </c>
      <c r="E22" s="820">
        <v>34.1</v>
      </c>
      <c r="F22" s="820">
        <v>33.9</v>
      </c>
      <c r="G22" s="820">
        <v>33.299999999999997</v>
      </c>
    </row>
    <row r="23" spans="1:7" ht="15.75" customHeight="1">
      <c r="A23" s="813" t="s">
        <v>1088</v>
      </c>
      <c r="B23" s="820">
        <v>25.9</v>
      </c>
      <c r="C23" s="820">
        <v>25.1</v>
      </c>
      <c r="D23" s="820">
        <v>25</v>
      </c>
      <c r="E23" s="820">
        <v>23.6</v>
      </c>
      <c r="F23" s="820">
        <v>23.5</v>
      </c>
      <c r="G23" s="820">
        <v>23.1</v>
      </c>
    </row>
    <row r="24" spans="1:7" ht="15.75" customHeight="1">
      <c r="A24" s="813" t="s">
        <v>1089</v>
      </c>
      <c r="B24" s="820">
        <v>31.3</v>
      </c>
      <c r="C24" s="820">
        <v>30.7</v>
      </c>
      <c r="D24" s="820">
        <v>30.6</v>
      </c>
      <c r="E24" s="820">
        <v>29.5</v>
      </c>
      <c r="F24" s="820">
        <v>29.4</v>
      </c>
      <c r="G24" s="820">
        <v>29.1</v>
      </c>
    </row>
    <row r="25" spans="1:7" ht="15.75" customHeight="1">
      <c r="A25" s="813" t="s">
        <v>1112</v>
      </c>
      <c r="B25" s="820">
        <v>34.799999999999997</v>
      </c>
      <c r="C25" s="820">
        <v>34</v>
      </c>
      <c r="D25" s="820">
        <v>34</v>
      </c>
      <c r="E25" s="820">
        <v>32.6</v>
      </c>
      <c r="F25" s="820">
        <v>32.6</v>
      </c>
      <c r="G25" s="820">
        <v>32.200000000000003</v>
      </c>
    </row>
    <row r="26" spans="1:7" ht="15.75" customHeight="1">
      <c r="A26" s="813" t="s">
        <v>1090</v>
      </c>
      <c r="B26" s="820">
        <v>33.700000000000003</v>
      </c>
      <c r="C26" s="820">
        <v>33.299999999999997</v>
      </c>
      <c r="D26" s="820">
        <v>33.200000000000003</v>
      </c>
      <c r="E26" s="820">
        <v>32.5</v>
      </c>
      <c r="F26" s="820">
        <v>32.4</v>
      </c>
      <c r="G26" s="820">
        <v>32.200000000000003</v>
      </c>
    </row>
    <row r="27" spans="1:7" ht="15.75" customHeight="1">
      <c r="A27" s="813" t="s">
        <v>1091</v>
      </c>
      <c r="B27" s="820">
        <v>43.4</v>
      </c>
      <c r="C27" s="820">
        <v>38.700000000000003</v>
      </c>
      <c r="D27" s="820">
        <v>38.299999999999997</v>
      </c>
      <c r="E27" s="820">
        <v>30.2</v>
      </c>
      <c r="F27" s="820">
        <v>39.799999999999997</v>
      </c>
      <c r="G27" s="820">
        <v>27.4</v>
      </c>
    </row>
    <row r="28" spans="1:7" ht="15.75" customHeight="1">
      <c r="A28" s="813" t="s">
        <v>1094</v>
      </c>
      <c r="B28" s="820">
        <v>41.6</v>
      </c>
      <c r="C28" s="820">
        <v>37.9</v>
      </c>
      <c r="D28" s="820">
        <v>37.6</v>
      </c>
      <c r="E28" s="820">
        <v>31.2</v>
      </c>
      <c r="F28" s="820">
        <v>30.9</v>
      </c>
      <c r="G28" s="820">
        <v>29</v>
      </c>
    </row>
    <row r="29" spans="1:7" ht="15.75" customHeight="1">
      <c r="A29" s="813" t="s">
        <v>1095</v>
      </c>
      <c r="B29" s="820">
        <v>41.8</v>
      </c>
      <c r="C29" s="820">
        <v>35.700000000000003</v>
      </c>
      <c r="D29" s="820">
        <v>35.200000000000003</v>
      </c>
      <c r="E29" s="820">
        <v>24.7</v>
      </c>
      <c r="F29" s="820">
        <v>24.1</v>
      </c>
      <c r="G29" s="820">
        <v>21.1</v>
      </c>
    </row>
    <row r="30" spans="1:7" ht="15.75" customHeight="1">
      <c r="A30" s="813" t="s">
        <v>1096</v>
      </c>
      <c r="B30" s="821">
        <v>29.5</v>
      </c>
      <c r="C30" s="821">
        <v>25.4</v>
      </c>
      <c r="D30" s="821">
        <v>25.1</v>
      </c>
      <c r="E30" s="825">
        <v>18</v>
      </c>
      <c r="F30" s="825">
        <v>17.600000000000001</v>
      </c>
      <c r="G30" s="825">
        <v>15.6</v>
      </c>
    </row>
    <row r="31" spans="1:7" ht="15.75" customHeight="1">
      <c r="A31" s="822" t="s">
        <v>1092</v>
      </c>
      <c r="B31" s="824">
        <v>40.9</v>
      </c>
      <c r="C31" s="824">
        <v>40</v>
      </c>
      <c r="D31" s="824">
        <v>39.9</v>
      </c>
      <c r="E31" s="827">
        <v>38.299999999999997</v>
      </c>
      <c r="F31" s="827">
        <v>38.200000000000003</v>
      </c>
      <c r="G31" s="827">
        <v>37.700000000000003</v>
      </c>
    </row>
    <row r="32" spans="1:7" ht="15.75" customHeight="1">
      <c r="A32" s="822" t="s">
        <v>1093</v>
      </c>
      <c r="B32" s="823">
        <v>26.8</v>
      </c>
      <c r="C32" s="821">
        <v>26.1</v>
      </c>
      <c r="D32" s="821">
        <v>26.1</v>
      </c>
      <c r="E32" s="826">
        <v>24.9</v>
      </c>
      <c r="F32" s="826">
        <v>24.8</v>
      </c>
      <c r="G32" s="826">
        <v>24.5</v>
      </c>
    </row>
    <row r="33" spans="1:7" ht="15.75" customHeight="1">
      <c r="A33" s="453"/>
      <c r="B33" s="453"/>
      <c r="C33" s="453"/>
      <c r="D33" s="453"/>
      <c r="E33" s="453"/>
      <c r="F33" s="453"/>
      <c r="G33" s="453"/>
    </row>
    <row r="34" spans="1:7" ht="15.75" customHeight="1">
      <c r="A34" s="857" t="s">
        <v>1152</v>
      </c>
      <c r="B34" s="453"/>
      <c r="C34" s="453"/>
      <c r="D34" s="453"/>
      <c r="E34" s="453"/>
      <c r="F34" s="453"/>
      <c r="G34" s="453"/>
    </row>
    <row r="35" spans="1:7">
      <c r="A35" s="449" t="s">
        <v>1072</v>
      </c>
      <c r="B35" s="453"/>
      <c r="C35" s="453"/>
      <c r="D35" s="453"/>
      <c r="E35" s="453"/>
      <c r="F35" s="453"/>
    </row>
    <row r="36" spans="1:7">
      <c r="A36" s="1022" t="s">
        <v>964</v>
      </c>
      <c r="B36" s="448" t="s">
        <v>965</v>
      </c>
      <c r="C36" s="1020" t="s">
        <v>966</v>
      </c>
      <c r="D36" s="1021"/>
      <c r="E36" s="1020" t="s">
        <v>967</v>
      </c>
      <c r="F36" s="1021"/>
    </row>
    <row r="37" spans="1:7">
      <c r="A37" s="1023"/>
      <c r="B37" s="448" t="s">
        <v>968</v>
      </c>
      <c r="C37" s="491" t="s">
        <v>968</v>
      </c>
      <c r="D37" s="491" t="s">
        <v>969</v>
      </c>
      <c r="E37" s="491" t="s">
        <v>968</v>
      </c>
      <c r="F37" s="491" t="s">
        <v>970</v>
      </c>
    </row>
    <row r="38" spans="1:7">
      <c r="A38" s="490" t="s">
        <v>1113</v>
      </c>
      <c r="B38" s="445">
        <v>12001</v>
      </c>
      <c r="C38" s="445">
        <v>3055</v>
      </c>
      <c r="D38" s="444">
        <v>25.5</v>
      </c>
      <c r="E38" s="445">
        <v>6048</v>
      </c>
      <c r="F38" s="450">
        <v>50.4</v>
      </c>
    </row>
    <row r="39" spans="1:7">
      <c r="A39" s="449" t="s">
        <v>1073</v>
      </c>
      <c r="B39" s="453"/>
      <c r="C39" s="453"/>
      <c r="D39" s="453"/>
      <c r="E39" s="453"/>
      <c r="F39" s="453"/>
    </row>
    <row r="40" spans="1:7">
      <c r="A40" s="449"/>
      <c r="B40" s="453"/>
      <c r="C40" s="453"/>
      <c r="D40" s="453"/>
      <c r="E40" s="453"/>
      <c r="F40" s="453"/>
    </row>
    <row r="41" spans="1:7">
      <c r="A41" s="857" t="s">
        <v>1153</v>
      </c>
      <c r="B41" s="453"/>
      <c r="C41" s="453"/>
      <c r="D41" s="453"/>
      <c r="E41" s="453"/>
      <c r="F41" s="453"/>
    </row>
    <row r="42" spans="1:7">
      <c r="A42" s="1019" t="s">
        <v>964</v>
      </c>
      <c r="B42" s="1019"/>
      <c r="C42" s="799" t="s">
        <v>1077</v>
      </c>
      <c r="D42" s="799" t="s">
        <v>1078</v>
      </c>
      <c r="E42" s="453"/>
      <c r="F42" s="453"/>
    </row>
    <row r="43" spans="1:7" ht="27" customHeight="1">
      <c r="A43" s="1018" t="s">
        <v>1074</v>
      </c>
      <c r="B43" s="800" t="s">
        <v>1076</v>
      </c>
      <c r="C43" s="801">
        <v>25</v>
      </c>
      <c r="D43" s="801"/>
      <c r="E43" s="453"/>
      <c r="F43" s="453"/>
    </row>
    <row r="44" spans="1:7">
      <c r="A44" s="1018"/>
      <c r="B44" s="800" t="s">
        <v>1075</v>
      </c>
      <c r="C44" s="801">
        <v>40</v>
      </c>
      <c r="D44" s="801"/>
      <c r="E44" s="453"/>
      <c r="F44" s="453"/>
    </row>
    <row r="45" spans="1:7">
      <c r="A45" s="797"/>
      <c r="B45" s="798"/>
      <c r="C45" s="453"/>
      <c r="D45" s="453"/>
      <c r="E45" s="453"/>
      <c r="F45" s="453"/>
    </row>
    <row r="46" spans="1:7">
      <c r="A46" s="857" t="s">
        <v>1154</v>
      </c>
      <c r="B46" s="453"/>
      <c r="C46" s="453"/>
      <c r="D46" s="453"/>
      <c r="E46" s="453"/>
      <c r="F46" s="453"/>
    </row>
    <row r="47" spans="1:7">
      <c r="A47" s="449" t="s">
        <v>1114</v>
      </c>
      <c r="B47" s="453"/>
      <c r="C47" s="453"/>
      <c r="D47" s="453"/>
      <c r="E47" s="453"/>
      <c r="F47" s="453"/>
    </row>
    <row r="48" spans="1:7">
      <c r="A48" s="449"/>
      <c r="B48" s="453"/>
      <c r="C48" s="453"/>
      <c r="D48" s="453"/>
      <c r="E48" s="453"/>
      <c r="F48" s="453"/>
    </row>
    <row r="49" spans="1:2">
      <c r="A49" s="811" t="s">
        <v>964</v>
      </c>
      <c r="B49" s="799" t="s">
        <v>972</v>
      </c>
    </row>
    <row r="50" spans="1:2">
      <c r="A50" s="810" t="s">
        <v>1115</v>
      </c>
      <c r="B50" s="801">
        <f>B31</f>
        <v>40.9</v>
      </c>
    </row>
    <row r="51" spans="1:2">
      <c r="A51" s="801" t="s">
        <v>1116</v>
      </c>
      <c r="B51" s="801">
        <f>C31</f>
        <v>40</v>
      </c>
    </row>
    <row r="52" spans="1:2">
      <c r="A52" s="828" t="s">
        <v>1107</v>
      </c>
      <c r="B52" s="829">
        <f>D31</f>
        <v>39.9</v>
      </c>
    </row>
    <row r="53" spans="1:2">
      <c r="A53" s="449"/>
      <c r="B53" s="453"/>
    </row>
    <row r="54" spans="1:2">
      <c r="A54" s="449"/>
      <c r="B54" s="453"/>
    </row>
    <row r="55" spans="1:2">
      <c r="A55" s="449"/>
      <c r="B55" s="453"/>
    </row>
    <row r="56" spans="1:2">
      <c r="A56" s="449"/>
      <c r="B56" s="453"/>
    </row>
    <row r="57" spans="1:2">
      <c r="A57" s="449"/>
      <c r="B57" s="453"/>
    </row>
    <row r="58" spans="1:2">
      <c r="A58" s="449"/>
      <c r="B58" s="453"/>
    </row>
    <row r="59" spans="1:2">
      <c r="A59" s="449"/>
      <c r="B59" s="453"/>
    </row>
    <row r="60" spans="1:2">
      <c r="A60" s="449"/>
      <c r="B60" s="453"/>
    </row>
    <row r="61" spans="1:2">
      <c r="A61" s="449"/>
      <c r="B61" s="453"/>
    </row>
    <row r="62" spans="1:2">
      <c r="A62" s="449"/>
      <c r="B62" s="453"/>
    </row>
    <row r="63" spans="1:2">
      <c r="A63" s="449"/>
      <c r="B63" s="453"/>
    </row>
    <row r="64" spans="1:2">
      <c r="A64" s="449"/>
      <c r="B64" s="453"/>
    </row>
    <row r="65" spans="1:1">
      <c r="A65" s="449"/>
    </row>
    <row r="66" spans="1:1">
      <c r="A66" s="449"/>
    </row>
    <row r="67" spans="1:1">
      <c r="A67" s="449"/>
    </row>
    <row r="68" spans="1:1">
      <c r="A68" s="449"/>
    </row>
    <row r="69" spans="1:1">
      <c r="A69" s="449"/>
    </row>
    <row r="70" spans="1:1">
      <c r="A70" s="449"/>
    </row>
    <row r="71" spans="1:1">
      <c r="A71" s="449"/>
    </row>
    <row r="72" spans="1:1">
      <c r="A72" s="449"/>
    </row>
    <row r="73" spans="1:1">
      <c r="A73" s="449"/>
    </row>
    <row r="74" spans="1:1">
      <c r="A74" s="449"/>
    </row>
    <row r="75" spans="1:1">
      <c r="A75" s="449"/>
    </row>
    <row r="76" spans="1:1">
      <c r="A76" s="449"/>
    </row>
    <row r="77" spans="1:1">
      <c r="A77" s="449"/>
    </row>
    <row r="78" spans="1:1">
      <c r="A78" s="449"/>
    </row>
    <row r="79" spans="1:1">
      <c r="A79" s="449"/>
    </row>
    <row r="80" spans="1:1">
      <c r="A80" s="449"/>
    </row>
    <row r="81" spans="1:1">
      <c r="A81" s="449"/>
    </row>
    <row r="82" spans="1:1">
      <c r="A82" s="449"/>
    </row>
    <row r="83" spans="1:1">
      <c r="A83" s="449"/>
    </row>
    <row r="84" spans="1:1">
      <c r="A84" s="449"/>
    </row>
    <row r="85" spans="1:1">
      <c r="A85" s="449"/>
    </row>
    <row r="86" spans="1:1">
      <c r="A86" s="449"/>
    </row>
  </sheetData>
  <mergeCells count="7">
    <mergeCell ref="B17:G17"/>
    <mergeCell ref="A17:A19"/>
    <mergeCell ref="A43:A44"/>
    <mergeCell ref="A42:B42"/>
    <mergeCell ref="E36:F36"/>
    <mergeCell ref="A36:A37"/>
    <mergeCell ref="C36:D36"/>
  </mergeCells>
  <phoneticPr fontId="10" type="noConversion"/>
  <pageMargins left="0.7" right="0.7" top="0.75" bottom="0.75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35"/>
  <sheetViews>
    <sheetView view="pageBreakPreview" zoomScale="85" zoomScaleNormal="85" zoomScaleSheetLayoutView="85" workbookViewId="0">
      <pane ySplit="3" topLeftCell="A8" activePane="bottomLeft" state="frozen"/>
      <selection pane="bottomLeft" activeCell="J41" sqref="J41"/>
    </sheetView>
  </sheetViews>
  <sheetFormatPr defaultRowHeight="16.5"/>
  <cols>
    <col min="1" max="2" width="16.44140625" style="911" customWidth="1"/>
    <col min="3" max="5" width="16.44140625" style="912" customWidth="1"/>
    <col min="6" max="7" width="16.44140625" style="882" customWidth="1"/>
    <col min="8" max="8" width="17.21875" style="882" customWidth="1"/>
    <col min="9" max="12" width="14.44140625" style="882" customWidth="1"/>
    <col min="13" max="14" width="22.109375" style="882" customWidth="1"/>
    <col min="15" max="15" width="14.109375" style="882" customWidth="1"/>
    <col min="16" max="26" width="8.109375" style="882" bestFit="1" customWidth="1"/>
    <col min="27" max="16384" width="8.88671875" style="882"/>
  </cols>
  <sheetData>
    <row r="1" spans="1:23" ht="38.25" customHeight="1">
      <c r="A1" s="1025" t="s">
        <v>1179</v>
      </c>
      <c r="B1" s="1025"/>
      <c r="C1" s="1025"/>
      <c r="D1" s="1025"/>
      <c r="E1" s="1025"/>
      <c r="F1" s="1025"/>
      <c r="G1" s="881" t="s">
        <v>1180</v>
      </c>
      <c r="O1" s="883"/>
    </row>
    <row r="2" spans="1:23">
      <c r="A2" s="1024" t="s">
        <v>1181</v>
      </c>
      <c r="B2" s="1024"/>
      <c r="C2" s="1027" t="s">
        <v>1182</v>
      </c>
      <c r="D2" s="1027"/>
      <c r="E2" s="1027"/>
      <c r="F2" s="1027"/>
      <c r="G2" s="1027"/>
    </row>
    <row r="3" spans="1:23">
      <c r="A3" s="1024"/>
      <c r="B3" s="1024"/>
      <c r="C3" s="884" t="s">
        <v>1183</v>
      </c>
      <c r="D3" s="884" t="s">
        <v>1184</v>
      </c>
      <c r="E3" s="884" t="s">
        <v>1185</v>
      </c>
      <c r="F3" s="885" t="s">
        <v>1186</v>
      </c>
      <c r="G3" s="886" t="s">
        <v>1187</v>
      </c>
    </row>
    <row r="4" spans="1:23">
      <c r="A4" s="1024" t="s">
        <v>1188</v>
      </c>
      <c r="B4" s="887" t="s">
        <v>1189</v>
      </c>
      <c r="C4" s="884">
        <v>36</v>
      </c>
      <c r="D4" s="884">
        <v>37</v>
      </c>
      <c r="E4" s="884">
        <v>46</v>
      </c>
      <c r="F4" s="884">
        <f t="shared" ref="F4:F42" si="0">SUM(D4,E4)</f>
        <v>83</v>
      </c>
      <c r="G4" s="886">
        <f t="shared" ref="G4:G24" si="1">SUM(C4:E4)</f>
        <v>119</v>
      </c>
    </row>
    <row r="5" spans="1:23">
      <c r="A5" s="1024"/>
      <c r="B5" s="887" t="s">
        <v>1190</v>
      </c>
      <c r="C5" s="884">
        <v>50</v>
      </c>
      <c r="D5" s="884">
        <v>51</v>
      </c>
      <c r="E5" s="884">
        <v>89</v>
      </c>
      <c r="F5" s="884">
        <f t="shared" si="0"/>
        <v>140</v>
      </c>
      <c r="G5" s="886">
        <f t="shared" si="1"/>
        <v>190</v>
      </c>
    </row>
    <row r="6" spans="1:23">
      <c r="A6" s="1024"/>
      <c r="B6" s="887" t="s">
        <v>1191</v>
      </c>
      <c r="C6" s="884">
        <v>58</v>
      </c>
      <c r="D6" s="884">
        <v>60</v>
      </c>
      <c r="E6" s="884">
        <v>48</v>
      </c>
      <c r="F6" s="884">
        <f t="shared" si="0"/>
        <v>108</v>
      </c>
      <c r="G6" s="886">
        <f t="shared" si="1"/>
        <v>166</v>
      </c>
    </row>
    <row r="7" spans="1:23">
      <c r="A7" s="1024"/>
      <c r="B7" s="887" t="s">
        <v>1192</v>
      </c>
      <c r="C7" s="884">
        <v>31</v>
      </c>
      <c r="D7" s="884">
        <v>38</v>
      </c>
      <c r="E7" s="884">
        <v>42</v>
      </c>
      <c r="F7" s="884">
        <f t="shared" si="0"/>
        <v>80</v>
      </c>
      <c r="G7" s="886">
        <f t="shared" si="1"/>
        <v>111</v>
      </c>
    </row>
    <row r="8" spans="1:23">
      <c r="A8" s="1024"/>
      <c r="B8" s="887" t="s">
        <v>1193</v>
      </c>
      <c r="C8" s="884">
        <v>143</v>
      </c>
      <c r="D8" s="884">
        <v>126</v>
      </c>
      <c r="E8" s="884">
        <v>164</v>
      </c>
      <c r="F8" s="884">
        <f t="shared" si="0"/>
        <v>290</v>
      </c>
      <c r="G8" s="886">
        <f t="shared" si="1"/>
        <v>433</v>
      </c>
    </row>
    <row r="9" spans="1:23">
      <c r="A9" s="1024"/>
      <c r="B9" s="887" t="s">
        <v>1194</v>
      </c>
      <c r="C9" s="884">
        <v>194</v>
      </c>
      <c r="D9" s="884">
        <v>138</v>
      </c>
      <c r="E9" s="884">
        <v>153</v>
      </c>
      <c r="F9" s="884">
        <f t="shared" si="0"/>
        <v>291</v>
      </c>
      <c r="G9" s="886">
        <f t="shared" si="1"/>
        <v>485</v>
      </c>
    </row>
    <row r="10" spans="1:23">
      <c r="A10" s="1024"/>
      <c r="B10" s="887" t="s">
        <v>1195</v>
      </c>
      <c r="C10" s="884">
        <v>190</v>
      </c>
      <c r="D10" s="884">
        <v>117</v>
      </c>
      <c r="E10" s="884">
        <v>84</v>
      </c>
      <c r="F10" s="884">
        <f t="shared" si="0"/>
        <v>201</v>
      </c>
      <c r="G10" s="886">
        <f t="shared" si="1"/>
        <v>391</v>
      </c>
    </row>
    <row r="11" spans="1:23">
      <c r="A11" s="1024"/>
      <c r="B11" s="887" t="s">
        <v>1196</v>
      </c>
      <c r="C11" s="884">
        <v>139</v>
      </c>
      <c r="D11" s="884">
        <v>128</v>
      </c>
      <c r="E11" s="884">
        <v>134</v>
      </c>
      <c r="F11" s="884">
        <f t="shared" si="0"/>
        <v>262</v>
      </c>
      <c r="G11" s="886">
        <f t="shared" si="1"/>
        <v>401</v>
      </c>
    </row>
    <row r="12" spans="1:23">
      <c r="A12" s="1024"/>
      <c r="B12" s="887" t="s">
        <v>1197</v>
      </c>
      <c r="C12" s="884">
        <v>102</v>
      </c>
      <c r="D12" s="884">
        <v>126</v>
      </c>
      <c r="E12" s="884">
        <v>75</v>
      </c>
      <c r="F12" s="884">
        <f t="shared" si="0"/>
        <v>201</v>
      </c>
      <c r="G12" s="886">
        <f t="shared" si="1"/>
        <v>303</v>
      </c>
    </row>
    <row r="13" spans="1:23">
      <c r="A13" s="1024"/>
      <c r="B13" s="887" t="s">
        <v>1198</v>
      </c>
      <c r="C13" s="884">
        <v>363</v>
      </c>
      <c r="D13" s="884">
        <v>320</v>
      </c>
      <c r="E13" s="884">
        <v>209</v>
      </c>
      <c r="F13" s="884">
        <f t="shared" si="0"/>
        <v>529</v>
      </c>
      <c r="G13" s="886">
        <f t="shared" si="1"/>
        <v>892</v>
      </c>
    </row>
    <row r="14" spans="1:23">
      <c r="A14" s="1024"/>
      <c r="B14" s="887" t="s">
        <v>1199</v>
      </c>
      <c r="C14" s="884">
        <v>211</v>
      </c>
      <c r="D14" s="884">
        <v>190</v>
      </c>
      <c r="E14" s="884">
        <v>156</v>
      </c>
      <c r="F14" s="884">
        <f t="shared" si="0"/>
        <v>346</v>
      </c>
      <c r="G14" s="886">
        <f t="shared" si="1"/>
        <v>557</v>
      </c>
    </row>
    <row r="15" spans="1:23">
      <c r="A15" s="1024"/>
      <c r="B15" s="887" t="s">
        <v>1200</v>
      </c>
      <c r="C15" s="884">
        <v>233</v>
      </c>
      <c r="D15" s="884">
        <v>162</v>
      </c>
      <c r="E15" s="884">
        <v>168</v>
      </c>
      <c r="F15" s="884">
        <f t="shared" si="0"/>
        <v>330</v>
      </c>
      <c r="G15" s="886">
        <f t="shared" si="1"/>
        <v>563</v>
      </c>
      <c r="O15" s="888"/>
      <c r="P15" s="888"/>
      <c r="Q15" s="888"/>
      <c r="R15" s="888"/>
      <c r="S15" s="888"/>
      <c r="T15" s="888"/>
      <c r="U15" s="888"/>
      <c r="V15" s="888"/>
      <c r="W15" s="889"/>
    </row>
    <row r="16" spans="1:23">
      <c r="A16" s="1024" t="s">
        <v>1201</v>
      </c>
      <c r="B16" s="887" t="s">
        <v>1189</v>
      </c>
      <c r="C16" s="884">
        <v>193</v>
      </c>
      <c r="D16" s="884">
        <v>194</v>
      </c>
      <c r="E16" s="884">
        <v>159</v>
      </c>
      <c r="F16" s="884">
        <f t="shared" si="0"/>
        <v>353</v>
      </c>
      <c r="G16" s="886">
        <f t="shared" si="1"/>
        <v>546</v>
      </c>
      <c r="O16" s="890"/>
      <c r="P16" s="890"/>
      <c r="Q16" s="890"/>
      <c r="R16" s="890"/>
      <c r="S16" s="890"/>
      <c r="T16" s="890"/>
      <c r="U16" s="890"/>
      <c r="V16" s="890"/>
      <c r="W16" s="889"/>
    </row>
    <row r="17" spans="1:23">
      <c r="A17" s="1024"/>
      <c r="B17" s="887" t="s">
        <v>1190</v>
      </c>
      <c r="C17" s="884">
        <v>121</v>
      </c>
      <c r="D17" s="884">
        <v>208</v>
      </c>
      <c r="E17" s="884">
        <v>202</v>
      </c>
      <c r="F17" s="884">
        <f t="shared" si="0"/>
        <v>410</v>
      </c>
      <c r="G17" s="886">
        <f t="shared" si="1"/>
        <v>531</v>
      </c>
      <c r="O17" s="888"/>
      <c r="P17" s="888"/>
      <c r="Q17" s="888"/>
      <c r="R17" s="888"/>
      <c r="S17" s="888"/>
      <c r="T17" s="888"/>
      <c r="U17" s="888"/>
      <c r="V17" s="888"/>
      <c r="W17" s="889"/>
    </row>
    <row r="18" spans="1:23">
      <c r="A18" s="1024"/>
      <c r="B18" s="887" t="s">
        <v>1191</v>
      </c>
      <c r="C18" s="884">
        <v>106</v>
      </c>
      <c r="D18" s="884">
        <v>153</v>
      </c>
      <c r="E18" s="884">
        <v>145</v>
      </c>
      <c r="F18" s="884">
        <f t="shared" si="0"/>
        <v>298</v>
      </c>
      <c r="G18" s="886">
        <f t="shared" si="1"/>
        <v>404</v>
      </c>
      <c r="O18" s="888"/>
      <c r="P18" s="888"/>
      <c r="Q18" s="888"/>
      <c r="R18" s="888"/>
      <c r="S18" s="888"/>
      <c r="T18" s="888"/>
      <c r="U18" s="888"/>
      <c r="V18" s="888"/>
      <c r="W18" s="889"/>
    </row>
    <row r="19" spans="1:23">
      <c r="A19" s="1024"/>
      <c r="B19" s="887" t="s">
        <v>1192</v>
      </c>
      <c r="C19" s="884">
        <v>90</v>
      </c>
      <c r="D19" s="884">
        <v>83</v>
      </c>
      <c r="E19" s="884">
        <v>102</v>
      </c>
      <c r="F19" s="884">
        <f t="shared" si="0"/>
        <v>185</v>
      </c>
      <c r="G19" s="886">
        <f t="shared" si="1"/>
        <v>275</v>
      </c>
      <c r="O19" s="888"/>
      <c r="P19" s="888"/>
      <c r="Q19" s="888"/>
      <c r="R19" s="891"/>
      <c r="S19" s="892"/>
      <c r="T19" s="892"/>
      <c r="U19" s="888"/>
      <c r="V19" s="888"/>
      <c r="W19" s="889"/>
    </row>
    <row r="20" spans="1:23">
      <c r="A20" s="1024"/>
      <c r="B20" s="887" t="s">
        <v>1193</v>
      </c>
      <c r="C20" s="884">
        <v>72</v>
      </c>
      <c r="D20" s="884">
        <v>44</v>
      </c>
      <c r="E20" s="884">
        <v>82</v>
      </c>
      <c r="F20" s="884">
        <f t="shared" si="0"/>
        <v>126</v>
      </c>
      <c r="G20" s="886">
        <f t="shared" si="1"/>
        <v>198</v>
      </c>
      <c r="O20" s="893"/>
      <c r="P20" s="893"/>
      <c r="Q20" s="893"/>
      <c r="R20" s="894"/>
      <c r="S20" s="893"/>
      <c r="T20" s="893"/>
      <c r="U20" s="894"/>
      <c r="V20" s="894"/>
      <c r="W20" s="889"/>
    </row>
    <row r="21" spans="1:23">
      <c r="A21" s="1024"/>
      <c r="B21" s="887" t="s">
        <v>1194</v>
      </c>
      <c r="C21" s="884">
        <v>66</v>
      </c>
      <c r="D21" s="884">
        <v>69</v>
      </c>
      <c r="E21" s="884">
        <v>83</v>
      </c>
      <c r="F21" s="884">
        <f t="shared" si="0"/>
        <v>152</v>
      </c>
      <c r="G21" s="886">
        <f t="shared" si="1"/>
        <v>218</v>
      </c>
      <c r="O21" s="895"/>
      <c r="P21" s="895"/>
      <c r="Q21" s="895"/>
      <c r="R21" s="894"/>
      <c r="S21" s="893"/>
      <c r="T21" s="893"/>
      <c r="U21" s="893"/>
      <c r="V21" s="893"/>
      <c r="W21" s="889"/>
    </row>
    <row r="22" spans="1:23">
      <c r="A22" s="1024"/>
      <c r="B22" s="887" t="s">
        <v>1195</v>
      </c>
      <c r="C22" s="884">
        <v>38</v>
      </c>
      <c r="D22" s="884">
        <v>59</v>
      </c>
      <c r="E22" s="884">
        <v>58</v>
      </c>
      <c r="F22" s="884">
        <f t="shared" si="0"/>
        <v>117</v>
      </c>
      <c r="G22" s="886">
        <f t="shared" si="1"/>
        <v>155</v>
      </c>
      <c r="O22" s="896"/>
      <c r="P22" s="896"/>
      <c r="Q22" s="896"/>
      <c r="R22" s="896"/>
      <c r="S22" s="897"/>
      <c r="T22" s="896"/>
      <c r="U22" s="897"/>
      <c r="V22" s="897"/>
      <c r="W22" s="889"/>
    </row>
    <row r="23" spans="1:23">
      <c r="A23" s="1024"/>
      <c r="B23" s="887" t="s">
        <v>1196</v>
      </c>
      <c r="C23" s="884">
        <v>47</v>
      </c>
      <c r="D23" s="884">
        <v>53</v>
      </c>
      <c r="E23" s="884">
        <v>91</v>
      </c>
      <c r="F23" s="884">
        <f t="shared" si="0"/>
        <v>144</v>
      </c>
      <c r="G23" s="886">
        <f t="shared" si="1"/>
        <v>191</v>
      </c>
      <c r="O23" s="896"/>
      <c r="P23" s="896"/>
      <c r="Q23" s="896"/>
      <c r="R23" s="896"/>
      <c r="S23" s="897"/>
      <c r="T23" s="896"/>
      <c r="U23" s="897"/>
      <c r="V23" s="897"/>
      <c r="W23" s="889"/>
    </row>
    <row r="24" spans="1:23">
      <c r="A24" s="1024"/>
      <c r="B24" s="887" t="s">
        <v>1197</v>
      </c>
      <c r="C24" s="884">
        <v>329</v>
      </c>
      <c r="D24" s="884">
        <v>270</v>
      </c>
      <c r="E24" s="884">
        <v>157</v>
      </c>
      <c r="F24" s="884">
        <f t="shared" si="0"/>
        <v>427</v>
      </c>
      <c r="G24" s="886">
        <f t="shared" si="1"/>
        <v>756</v>
      </c>
      <c r="O24" s="896"/>
      <c r="P24" s="896"/>
      <c r="Q24" s="896"/>
      <c r="R24" s="896"/>
      <c r="S24" s="897"/>
      <c r="T24" s="896"/>
      <c r="U24" s="897"/>
      <c r="V24" s="897"/>
      <c r="W24" s="889"/>
    </row>
    <row r="25" spans="1:23">
      <c r="A25" s="1024"/>
      <c r="B25" s="887" t="s">
        <v>1198</v>
      </c>
      <c r="C25" s="884">
        <v>508</v>
      </c>
      <c r="D25" s="884">
        <v>430</v>
      </c>
      <c r="E25" s="884">
        <v>224</v>
      </c>
      <c r="F25" s="884">
        <f t="shared" si="0"/>
        <v>654</v>
      </c>
      <c r="G25" s="886">
        <f t="shared" ref="G25:G42" si="2">SUM(C25:E25)</f>
        <v>1162</v>
      </c>
      <c r="H25" s="898"/>
      <c r="O25" s="896"/>
      <c r="P25" s="896"/>
      <c r="Q25" s="896"/>
      <c r="R25" s="896"/>
      <c r="S25" s="897"/>
      <c r="T25" s="896"/>
      <c r="U25" s="897"/>
      <c r="V25" s="897"/>
      <c r="W25" s="889"/>
    </row>
    <row r="26" spans="1:23">
      <c r="A26" s="1024"/>
      <c r="B26" s="887" t="s">
        <v>1199</v>
      </c>
      <c r="C26" s="884">
        <v>372</v>
      </c>
      <c r="D26" s="884">
        <v>356</v>
      </c>
      <c r="E26" s="884">
        <v>191</v>
      </c>
      <c r="F26" s="884">
        <f t="shared" si="0"/>
        <v>547</v>
      </c>
      <c r="G26" s="886">
        <f t="shared" si="2"/>
        <v>919</v>
      </c>
      <c r="H26" s="898"/>
      <c r="O26" s="896"/>
      <c r="P26" s="896"/>
      <c r="Q26" s="896"/>
      <c r="R26" s="896"/>
      <c r="S26" s="897"/>
      <c r="T26" s="896"/>
      <c r="U26" s="897"/>
      <c r="V26" s="897"/>
      <c r="W26" s="889"/>
    </row>
    <row r="27" spans="1:23">
      <c r="A27" s="1024"/>
      <c r="B27" s="887" t="s">
        <v>1200</v>
      </c>
      <c r="C27" s="884">
        <v>185</v>
      </c>
      <c r="D27" s="884">
        <v>243</v>
      </c>
      <c r="E27" s="884">
        <v>216</v>
      </c>
      <c r="F27" s="884">
        <f t="shared" si="0"/>
        <v>459</v>
      </c>
      <c r="G27" s="886">
        <f t="shared" si="2"/>
        <v>644</v>
      </c>
      <c r="H27" s="898"/>
      <c r="I27" s="898"/>
      <c r="J27" s="898"/>
      <c r="K27" s="888"/>
      <c r="L27" s="897"/>
      <c r="M27" s="897"/>
      <c r="N27" s="897"/>
      <c r="O27" s="896"/>
      <c r="P27" s="896"/>
      <c r="Q27" s="896"/>
      <c r="R27" s="896"/>
      <c r="S27" s="897"/>
      <c r="T27" s="896"/>
      <c r="U27" s="897"/>
      <c r="V27" s="897"/>
      <c r="W27" s="889"/>
    </row>
    <row r="28" spans="1:23">
      <c r="A28" s="1024" t="s">
        <v>931</v>
      </c>
      <c r="B28" s="887" t="s">
        <v>1202</v>
      </c>
      <c r="C28" s="884">
        <v>160</v>
      </c>
      <c r="D28" s="884">
        <v>185</v>
      </c>
      <c r="E28" s="884">
        <v>166</v>
      </c>
      <c r="F28" s="884">
        <f t="shared" si="0"/>
        <v>351</v>
      </c>
      <c r="G28" s="886">
        <f t="shared" si="2"/>
        <v>511</v>
      </c>
      <c r="H28" s="898"/>
      <c r="I28" s="898"/>
      <c r="J28" s="898"/>
      <c r="K28" s="888"/>
      <c r="L28" s="897"/>
      <c r="M28" s="897"/>
      <c r="N28" s="897"/>
      <c r="O28" s="896"/>
      <c r="P28" s="896"/>
      <c r="Q28" s="896"/>
      <c r="R28" s="896"/>
      <c r="S28" s="897"/>
      <c r="T28" s="896"/>
      <c r="U28" s="897"/>
      <c r="V28" s="897"/>
      <c r="W28" s="889"/>
    </row>
    <row r="29" spans="1:23">
      <c r="A29" s="1024"/>
      <c r="B29" s="887" t="s">
        <v>1190</v>
      </c>
      <c r="C29" s="884">
        <v>345</v>
      </c>
      <c r="D29" s="884">
        <v>422</v>
      </c>
      <c r="E29" s="884">
        <v>302</v>
      </c>
      <c r="F29" s="884">
        <f t="shared" si="0"/>
        <v>724</v>
      </c>
      <c r="G29" s="886">
        <f t="shared" si="2"/>
        <v>1069</v>
      </c>
      <c r="H29" s="898"/>
      <c r="I29" s="898"/>
      <c r="J29" s="898"/>
      <c r="K29" s="888"/>
      <c r="L29" s="897"/>
      <c r="M29" s="897"/>
      <c r="N29" s="897"/>
      <c r="O29" s="898"/>
      <c r="P29" s="898"/>
      <c r="Q29" s="898"/>
      <c r="R29" s="896"/>
      <c r="S29" s="897"/>
      <c r="T29" s="896"/>
      <c r="U29" s="897"/>
      <c r="V29" s="897"/>
      <c r="W29" s="889"/>
    </row>
    <row r="30" spans="1:23">
      <c r="A30" s="1024"/>
      <c r="B30" s="887" t="s">
        <v>1191</v>
      </c>
      <c r="C30" s="884">
        <v>264</v>
      </c>
      <c r="D30" s="884">
        <v>275</v>
      </c>
      <c r="E30" s="884">
        <v>159</v>
      </c>
      <c r="F30" s="884">
        <f t="shared" si="0"/>
        <v>434</v>
      </c>
      <c r="G30" s="886">
        <f t="shared" si="2"/>
        <v>698</v>
      </c>
      <c r="H30" s="898"/>
      <c r="I30" s="898"/>
      <c r="J30" s="898"/>
      <c r="K30" s="888"/>
      <c r="L30" s="897"/>
      <c r="M30" s="897"/>
      <c r="N30" s="897"/>
      <c r="O30" s="898"/>
      <c r="P30" s="896"/>
      <c r="Q30" s="896"/>
      <c r="R30" s="896"/>
      <c r="S30" s="897"/>
      <c r="T30" s="896"/>
      <c r="U30" s="897"/>
      <c r="V30" s="897"/>
      <c r="W30" s="889"/>
    </row>
    <row r="31" spans="1:23">
      <c r="A31" s="1024"/>
      <c r="B31" s="887" t="s">
        <v>1192</v>
      </c>
      <c r="C31" s="884">
        <v>195</v>
      </c>
      <c r="D31" s="884">
        <v>193</v>
      </c>
      <c r="E31" s="884">
        <v>179</v>
      </c>
      <c r="F31" s="884">
        <f t="shared" si="0"/>
        <v>372</v>
      </c>
      <c r="G31" s="886">
        <f t="shared" si="2"/>
        <v>567</v>
      </c>
      <c r="H31" s="898"/>
      <c r="I31" s="898"/>
      <c r="J31" s="898"/>
      <c r="K31" s="888"/>
      <c r="L31" s="897"/>
      <c r="M31" s="897"/>
      <c r="N31" s="897"/>
      <c r="O31" s="898"/>
      <c r="P31" s="898"/>
      <c r="Q31" s="896"/>
      <c r="R31" s="896"/>
      <c r="S31" s="897"/>
      <c r="T31" s="896"/>
      <c r="U31" s="897"/>
      <c r="V31" s="897"/>
      <c r="W31" s="889"/>
    </row>
    <row r="32" spans="1:23">
      <c r="A32" s="1024"/>
      <c r="B32" s="887" t="s">
        <v>1193</v>
      </c>
      <c r="C32" s="884">
        <v>997</v>
      </c>
      <c r="D32" s="884">
        <v>902</v>
      </c>
      <c r="E32" s="884">
        <v>340</v>
      </c>
      <c r="F32" s="884">
        <f t="shared" si="0"/>
        <v>1242</v>
      </c>
      <c r="G32" s="886">
        <f t="shared" si="2"/>
        <v>2239</v>
      </c>
      <c r="H32" s="898"/>
      <c r="I32" s="899"/>
      <c r="J32" s="899"/>
      <c r="K32" s="899"/>
      <c r="L32" s="897"/>
      <c r="M32" s="898"/>
      <c r="N32" s="898"/>
      <c r="O32" s="898"/>
      <c r="P32" s="896"/>
      <c r="Q32" s="896"/>
      <c r="R32" s="896"/>
      <c r="S32" s="897"/>
      <c r="T32" s="896"/>
      <c r="U32" s="897"/>
      <c r="V32" s="897"/>
      <c r="W32" s="889"/>
    </row>
    <row r="33" spans="1:26">
      <c r="A33" s="1024"/>
      <c r="B33" s="887" t="s">
        <v>1194</v>
      </c>
      <c r="C33" s="884">
        <v>518</v>
      </c>
      <c r="D33" s="884">
        <v>560</v>
      </c>
      <c r="E33" s="884">
        <v>334</v>
      </c>
      <c r="F33" s="884">
        <f t="shared" si="0"/>
        <v>894</v>
      </c>
      <c r="G33" s="886">
        <f t="shared" si="2"/>
        <v>1412</v>
      </c>
      <c r="H33" s="898"/>
      <c r="I33" s="898"/>
      <c r="J33" s="898"/>
      <c r="K33" s="888"/>
      <c r="L33" s="897"/>
      <c r="M33" s="898"/>
      <c r="N33" s="898"/>
      <c r="O33" s="896"/>
      <c r="P33" s="896"/>
      <c r="Q33" s="896"/>
      <c r="R33" s="896"/>
      <c r="S33" s="897"/>
      <c r="T33" s="896"/>
      <c r="U33" s="897"/>
      <c r="V33" s="897"/>
      <c r="W33" s="889"/>
    </row>
    <row r="34" spans="1:26">
      <c r="A34" s="1024"/>
      <c r="B34" s="887" t="s">
        <v>1195</v>
      </c>
      <c r="C34" s="884">
        <v>302</v>
      </c>
      <c r="D34" s="884">
        <v>342</v>
      </c>
      <c r="E34" s="884">
        <v>242</v>
      </c>
      <c r="F34" s="884">
        <f t="shared" si="0"/>
        <v>584</v>
      </c>
      <c r="G34" s="886">
        <f t="shared" si="2"/>
        <v>886</v>
      </c>
      <c r="H34" s="898"/>
      <c r="I34" s="898"/>
      <c r="J34" s="898"/>
      <c r="K34" s="889"/>
      <c r="L34" s="889"/>
      <c r="M34" s="898"/>
      <c r="N34" s="889"/>
      <c r="O34" s="889"/>
      <c r="P34" s="889"/>
      <c r="Q34" s="889"/>
      <c r="R34" s="889"/>
      <c r="S34" s="889"/>
      <c r="T34" s="889"/>
      <c r="U34" s="889"/>
      <c r="V34" s="889"/>
      <c r="W34" s="889"/>
    </row>
    <row r="35" spans="1:26">
      <c r="A35" s="1024"/>
      <c r="B35" s="887" t="s">
        <v>1196</v>
      </c>
      <c r="C35" s="884">
        <v>276</v>
      </c>
      <c r="D35" s="884">
        <v>356</v>
      </c>
      <c r="E35" s="884">
        <v>315</v>
      </c>
      <c r="F35" s="884">
        <f t="shared" si="0"/>
        <v>671</v>
      </c>
      <c r="G35" s="884">
        <f t="shared" si="2"/>
        <v>947</v>
      </c>
      <c r="H35" s="898"/>
      <c r="I35" s="898"/>
      <c r="J35" s="898"/>
      <c r="K35" s="888"/>
      <c r="L35" s="888"/>
      <c r="M35" s="888"/>
      <c r="N35" s="888"/>
      <c r="O35" s="888"/>
      <c r="P35" s="888"/>
      <c r="Q35" s="898"/>
      <c r="R35" s="899"/>
      <c r="S35" s="899"/>
      <c r="T35" s="899"/>
      <c r="U35" s="888"/>
      <c r="V35" s="888"/>
      <c r="W35" s="889"/>
    </row>
    <row r="36" spans="1:26">
      <c r="A36" s="1024"/>
      <c r="B36" s="887" t="s">
        <v>1197</v>
      </c>
      <c r="C36" s="884">
        <v>180</v>
      </c>
      <c r="D36" s="884">
        <v>204</v>
      </c>
      <c r="E36" s="884">
        <v>230</v>
      </c>
      <c r="F36" s="884">
        <f t="shared" si="0"/>
        <v>434</v>
      </c>
      <c r="G36" s="884">
        <f t="shared" si="2"/>
        <v>614</v>
      </c>
      <c r="H36" s="898"/>
      <c r="I36" s="898"/>
      <c r="J36" s="898"/>
      <c r="K36" s="900"/>
      <c r="L36" s="900"/>
      <c r="M36" s="899"/>
      <c r="N36" s="899"/>
      <c r="O36" s="899"/>
      <c r="P36" s="900"/>
      <c r="Q36" s="898"/>
      <c r="R36" s="898"/>
      <c r="S36" s="900"/>
      <c r="T36" s="900"/>
      <c r="U36" s="900"/>
      <c r="V36" s="900"/>
      <c r="W36" s="900"/>
      <c r="X36" s="901"/>
      <c r="Y36" s="901"/>
      <c r="Z36" s="901"/>
    </row>
    <row r="37" spans="1:26">
      <c r="A37" s="1024"/>
      <c r="B37" s="887" t="s">
        <v>1198</v>
      </c>
      <c r="C37" s="884">
        <v>238</v>
      </c>
      <c r="D37" s="884">
        <v>230</v>
      </c>
      <c r="E37" s="884">
        <v>244</v>
      </c>
      <c r="F37" s="884">
        <f t="shared" si="0"/>
        <v>474</v>
      </c>
      <c r="G37" s="884">
        <f t="shared" si="2"/>
        <v>712</v>
      </c>
      <c r="H37" s="898"/>
      <c r="I37" s="898"/>
      <c r="J37" s="898"/>
      <c r="K37" s="902"/>
      <c r="L37" s="903"/>
      <c r="M37" s="898"/>
      <c r="N37" s="903"/>
      <c r="O37" s="903"/>
      <c r="P37" s="903"/>
      <c r="Q37" s="898"/>
      <c r="R37" s="898"/>
      <c r="S37" s="903"/>
      <c r="T37" s="903"/>
      <c r="U37" s="903"/>
      <c r="V37" s="903"/>
      <c r="W37" s="903"/>
      <c r="X37" s="903"/>
      <c r="Y37" s="904"/>
      <c r="Z37" s="904"/>
    </row>
    <row r="38" spans="1:26">
      <c r="A38" s="1024"/>
      <c r="B38" s="887" t="s">
        <v>1199</v>
      </c>
      <c r="C38" s="884">
        <v>181</v>
      </c>
      <c r="D38" s="884">
        <v>220</v>
      </c>
      <c r="E38" s="884">
        <v>237</v>
      </c>
      <c r="F38" s="884">
        <f t="shared" si="0"/>
        <v>457</v>
      </c>
      <c r="G38" s="884">
        <f t="shared" si="2"/>
        <v>638</v>
      </c>
      <c r="H38" s="898"/>
      <c r="I38" s="898"/>
      <c r="J38" s="898"/>
      <c r="K38" s="904"/>
      <c r="L38" s="904"/>
      <c r="M38" s="898"/>
      <c r="N38" s="904"/>
      <c r="O38" s="904"/>
      <c r="P38" s="904"/>
      <c r="Q38" s="904"/>
      <c r="R38" s="904"/>
      <c r="S38" s="904"/>
      <c r="T38" s="904"/>
      <c r="U38" s="904"/>
      <c r="V38" s="904"/>
      <c r="W38" s="904"/>
      <c r="X38" s="904"/>
      <c r="Y38" s="904"/>
      <c r="Z38" s="904"/>
    </row>
    <row r="39" spans="1:26">
      <c r="A39" s="1024"/>
      <c r="B39" s="887" t="s">
        <v>1200</v>
      </c>
      <c r="C39" s="884">
        <v>142</v>
      </c>
      <c r="D39" s="884">
        <v>221</v>
      </c>
      <c r="E39" s="884">
        <v>286</v>
      </c>
      <c r="F39" s="884">
        <f t="shared" si="0"/>
        <v>507</v>
      </c>
      <c r="G39" s="884">
        <f t="shared" si="2"/>
        <v>649</v>
      </c>
      <c r="H39" s="898"/>
      <c r="I39" s="898"/>
      <c r="J39" s="898"/>
      <c r="K39" s="905"/>
      <c r="L39" s="903"/>
      <c r="M39" s="903"/>
      <c r="N39" s="903"/>
      <c r="O39" s="904"/>
      <c r="P39" s="904"/>
      <c r="Q39" s="904"/>
      <c r="R39" s="904"/>
      <c r="S39" s="904"/>
      <c r="T39" s="904"/>
      <c r="U39" s="904"/>
      <c r="V39" s="904"/>
      <c r="W39" s="904"/>
      <c r="X39" s="904"/>
      <c r="Y39" s="904"/>
      <c r="Z39" s="904"/>
    </row>
    <row r="40" spans="1:26" ht="16.5" customHeight="1">
      <c r="A40" s="1024" t="s">
        <v>1203</v>
      </c>
      <c r="B40" s="887" t="s">
        <v>1189</v>
      </c>
      <c r="C40" s="884">
        <v>135</v>
      </c>
      <c r="D40" s="884">
        <v>245</v>
      </c>
      <c r="E40" s="884">
        <v>242</v>
      </c>
      <c r="F40" s="884">
        <f t="shared" si="0"/>
        <v>487</v>
      </c>
      <c r="G40" s="884">
        <f t="shared" si="2"/>
        <v>622</v>
      </c>
      <c r="H40" s="898"/>
      <c r="I40" s="898"/>
      <c r="J40" s="898"/>
      <c r="K40" s="905"/>
      <c r="L40" s="903"/>
      <c r="M40" s="899"/>
      <c r="N40" s="899"/>
      <c r="O40" s="899"/>
      <c r="P40" s="904"/>
      <c r="Q40" s="904"/>
      <c r="R40" s="904"/>
      <c r="S40" s="904"/>
      <c r="T40" s="904"/>
      <c r="U40" s="904"/>
      <c r="V40" s="905"/>
      <c r="W40" s="903"/>
      <c r="X40" s="903"/>
      <c r="Y40" s="904"/>
      <c r="Z40" s="904"/>
    </row>
    <row r="41" spans="1:26">
      <c r="A41" s="1024"/>
      <c r="B41" s="887" t="s">
        <v>1190</v>
      </c>
      <c r="C41" s="884">
        <v>133</v>
      </c>
      <c r="D41" s="884">
        <v>241</v>
      </c>
      <c r="E41" s="884">
        <v>254</v>
      </c>
      <c r="F41" s="884">
        <f t="shared" si="0"/>
        <v>495</v>
      </c>
      <c r="G41" s="884">
        <f t="shared" si="2"/>
        <v>628</v>
      </c>
      <c r="H41" s="899"/>
      <c r="I41" s="899"/>
      <c r="J41" s="898"/>
      <c r="K41" s="906"/>
      <c r="L41" s="903"/>
      <c r="M41" s="898"/>
      <c r="N41" s="903"/>
      <c r="O41" s="907"/>
      <c r="P41" s="907"/>
      <c r="Q41" s="907"/>
      <c r="R41" s="907"/>
      <c r="S41" s="907"/>
      <c r="T41" s="907"/>
      <c r="U41" s="907"/>
      <c r="V41" s="907"/>
      <c r="W41" s="907"/>
      <c r="X41" s="907"/>
      <c r="Y41" s="907"/>
      <c r="Z41" s="907"/>
    </row>
    <row r="42" spans="1:26">
      <c r="A42" s="1024"/>
      <c r="B42" s="887" t="s">
        <v>1204</v>
      </c>
      <c r="C42" s="884">
        <v>81</v>
      </c>
      <c r="D42" s="884">
        <v>121</v>
      </c>
      <c r="E42" s="884">
        <v>134</v>
      </c>
      <c r="F42" s="884">
        <f t="shared" si="0"/>
        <v>255</v>
      </c>
      <c r="G42" s="886">
        <f t="shared" si="2"/>
        <v>336</v>
      </c>
      <c r="H42" s="898"/>
      <c r="I42" s="898"/>
      <c r="J42" s="898"/>
      <c r="K42" s="905"/>
      <c r="L42" s="903"/>
      <c r="M42" s="898"/>
      <c r="N42" s="903"/>
      <c r="O42" s="908"/>
      <c r="P42" s="908"/>
      <c r="Q42" s="908"/>
      <c r="R42" s="908"/>
      <c r="S42" s="908"/>
      <c r="T42" s="908"/>
      <c r="U42" s="908"/>
      <c r="V42" s="908"/>
      <c r="W42" s="908"/>
      <c r="X42" s="908"/>
      <c r="Y42" s="908"/>
      <c r="Z42" s="908"/>
    </row>
    <row r="43" spans="1:26">
      <c r="A43" s="887" t="s">
        <v>1205</v>
      </c>
      <c r="B43" s="887"/>
      <c r="C43" s="884">
        <f>SUM(C4:C42)</f>
        <v>8024</v>
      </c>
      <c r="D43" s="884">
        <f>SUM(D4:D42)</f>
        <v>8372</v>
      </c>
      <c r="E43" s="884">
        <f>SUM(E4:E42)</f>
        <v>6742</v>
      </c>
      <c r="F43" s="884">
        <f>SUM(D43,E43)</f>
        <v>15114</v>
      </c>
      <c r="G43" s="884">
        <f>SUM(G4:G42)</f>
        <v>23138</v>
      </c>
      <c r="H43" s="898"/>
      <c r="I43" s="898"/>
      <c r="J43" s="898"/>
      <c r="K43" s="905"/>
      <c r="L43" s="903"/>
      <c r="M43" s="903"/>
      <c r="N43" s="903"/>
      <c r="O43" s="908"/>
      <c r="P43" s="908"/>
      <c r="Q43" s="908"/>
      <c r="R43" s="908"/>
      <c r="S43" s="908"/>
      <c r="T43" s="908"/>
      <c r="U43" s="908"/>
      <c r="V43" s="908"/>
      <c r="W43" s="908"/>
      <c r="X43" s="908"/>
      <c r="Y43" s="908"/>
      <c r="Z43" s="908"/>
    </row>
    <row r="44" spans="1:26">
      <c r="A44" s="887" t="s">
        <v>1206</v>
      </c>
      <c r="B44" s="887"/>
      <c r="C44" s="909">
        <f>ROUND(C43/$G$43*100,1)</f>
        <v>34.700000000000003</v>
      </c>
      <c r="D44" s="909">
        <f>ROUND(D43/$G$43*100,1)</f>
        <v>36.200000000000003</v>
      </c>
      <c r="E44" s="909">
        <f>ROUND(E43/$G$43*100,1)</f>
        <v>29.1</v>
      </c>
      <c r="F44" s="910"/>
      <c r="G44" s="886"/>
      <c r="H44" s="898"/>
      <c r="I44" s="898"/>
      <c r="J44" s="898"/>
      <c r="K44" s="905"/>
      <c r="L44" s="903"/>
      <c r="M44" s="903"/>
      <c r="N44" s="903"/>
      <c r="O44" s="908"/>
      <c r="P44" s="908"/>
      <c r="Q44" s="908"/>
      <c r="R44" s="908"/>
      <c r="S44" s="908"/>
      <c r="T44" s="908"/>
      <c r="U44" s="908"/>
      <c r="V44" s="908"/>
      <c r="W44" s="908"/>
      <c r="X44" s="908"/>
      <c r="Y44" s="908"/>
      <c r="Z44" s="908"/>
    </row>
    <row r="45" spans="1:26" ht="21.75" customHeight="1">
      <c r="J45" s="913"/>
      <c r="K45" s="905"/>
      <c r="L45" s="903"/>
      <c r="M45" s="903"/>
      <c r="N45" s="903"/>
      <c r="O45" s="908"/>
      <c r="P45" s="908"/>
      <c r="Q45" s="908"/>
      <c r="R45" s="899"/>
      <c r="S45" s="899"/>
      <c r="T45" s="899"/>
      <c r="U45" s="908"/>
      <c r="V45" s="908"/>
      <c r="W45" s="908"/>
      <c r="X45" s="908"/>
      <c r="Y45" s="908"/>
      <c r="Z45" s="908"/>
    </row>
    <row r="46" spans="1:26" ht="21.75" customHeight="1">
      <c r="J46" s="913"/>
      <c r="K46" s="914"/>
      <c r="L46" s="915"/>
      <c r="M46" s="916"/>
      <c r="N46" s="917"/>
      <c r="O46" s="918"/>
      <c r="P46" s="918"/>
      <c r="Q46" s="918"/>
      <c r="R46" s="898"/>
      <c r="S46" s="918"/>
      <c r="T46" s="918"/>
      <c r="U46" s="918"/>
      <c r="V46" s="918"/>
      <c r="W46" s="918"/>
      <c r="X46" s="918"/>
      <c r="Y46" s="918"/>
      <c r="Z46" s="918"/>
    </row>
    <row r="47" spans="1:26" ht="21.75" customHeight="1">
      <c r="J47" s="913"/>
      <c r="K47" s="903"/>
      <c r="L47" s="917"/>
      <c r="M47" s="916"/>
      <c r="N47" s="917"/>
      <c r="O47" s="918"/>
      <c r="P47" s="918"/>
      <c r="Q47" s="918"/>
      <c r="S47" s="918"/>
      <c r="T47" s="918"/>
      <c r="U47" s="918"/>
      <c r="V47" s="918"/>
      <c r="W47" s="918"/>
      <c r="X47" s="918"/>
      <c r="Y47" s="918"/>
      <c r="Z47" s="918"/>
    </row>
    <row r="48" spans="1:26" ht="21.75" customHeight="1">
      <c r="J48" s="913"/>
      <c r="K48" s="903"/>
      <c r="L48" s="917"/>
      <c r="M48" s="916"/>
      <c r="N48" s="917"/>
      <c r="O48" s="918"/>
      <c r="P48" s="918"/>
      <c r="Q48" s="918"/>
      <c r="R48" s="918"/>
      <c r="S48" s="918"/>
      <c r="T48" s="918"/>
      <c r="U48" s="918"/>
      <c r="V48" s="918"/>
      <c r="W48" s="918"/>
      <c r="X48" s="918"/>
      <c r="Y48" s="918"/>
      <c r="Z48" s="918"/>
    </row>
    <row r="49" spans="1:26" ht="21.75" customHeight="1">
      <c r="J49" s="913"/>
      <c r="K49" s="903"/>
      <c r="L49" s="917"/>
      <c r="M49" s="916"/>
      <c r="N49" s="919"/>
      <c r="O49" s="918"/>
      <c r="P49" s="918"/>
      <c r="Q49" s="918"/>
      <c r="R49" s="918"/>
      <c r="S49" s="918"/>
      <c r="T49" s="918"/>
      <c r="U49" s="918"/>
      <c r="V49" s="918"/>
      <c r="W49" s="918"/>
      <c r="X49" s="918"/>
      <c r="Y49" s="918"/>
      <c r="Z49" s="918"/>
    </row>
    <row r="50" spans="1:26" ht="21.75" customHeight="1">
      <c r="H50" s="882">
        <v>2014</v>
      </c>
      <c r="I50" s="882">
        <v>1</v>
      </c>
      <c r="J50" s="913">
        <f>K72</f>
        <v>62</v>
      </c>
      <c r="K50" s="903"/>
      <c r="L50" s="917"/>
      <c r="M50" s="917"/>
      <c r="N50" s="919"/>
      <c r="O50" s="918"/>
      <c r="P50" s="918"/>
      <c r="Q50" s="918"/>
      <c r="R50" s="918"/>
      <c r="S50" s="918"/>
      <c r="T50" s="918"/>
      <c r="U50" s="918"/>
      <c r="V50" s="918"/>
      <c r="W50" s="918"/>
      <c r="X50" s="918"/>
      <c r="Y50" s="918"/>
      <c r="Z50" s="918"/>
    </row>
    <row r="51" spans="1:26" ht="21.75" customHeight="1">
      <c r="H51" s="882">
        <v>2015</v>
      </c>
      <c r="I51" s="882">
        <v>2</v>
      </c>
      <c r="J51" s="913">
        <f>K73</f>
        <v>63.5</v>
      </c>
      <c r="K51" s="903"/>
      <c r="L51" s="917"/>
      <c r="M51" s="916"/>
      <c r="N51" s="917"/>
      <c r="O51" s="918"/>
      <c r="P51" s="918"/>
      <c r="Q51" s="918"/>
      <c r="R51" s="918"/>
      <c r="S51" s="918"/>
      <c r="T51" s="918"/>
      <c r="U51" s="918"/>
      <c r="V51" s="918"/>
      <c r="W51" s="918"/>
      <c r="X51" s="918"/>
      <c r="Y51" s="918"/>
      <c r="Z51" s="918"/>
    </row>
    <row r="52" spans="1:26" ht="21.75" customHeight="1">
      <c r="H52" s="882">
        <v>2016</v>
      </c>
      <c r="I52" s="882">
        <v>3</v>
      </c>
      <c r="J52" s="913">
        <f>K74</f>
        <v>64.400000000000006</v>
      </c>
      <c r="K52" s="903"/>
      <c r="L52" s="905"/>
      <c r="M52" s="903"/>
      <c r="N52" s="903"/>
      <c r="O52" s="908"/>
      <c r="P52" s="908"/>
      <c r="Q52" s="908"/>
      <c r="R52" s="908"/>
      <c r="S52" s="908"/>
      <c r="T52" s="908"/>
      <c r="U52" s="908"/>
      <c r="V52" s="908"/>
      <c r="W52" s="908"/>
      <c r="X52" s="908"/>
      <c r="Y52" s="908"/>
      <c r="Z52" s="908"/>
    </row>
    <row r="53" spans="1:26" ht="21.75" customHeight="1">
      <c r="A53" s="882"/>
      <c r="B53" s="882"/>
      <c r="C53" s="882"/>
      <c r="D53" s="882"/>
      <c r="E53" s="882"/>
      <c r="H53" s="882">
        <v>2017</v>
      </c>
      <c r="I53" s="882">
        <v>4</v>
      </c>
      <c r="J53" s="913">
        <f>K75</f>
        <v>65.3</v>
      </c>
      <c r="K53" s="903"/>
      <c r="L53" s="905"/>
      <c r="M53" s="903"/>
      <c r="N53" s="903"/>
      <c r="O53" s="908"/>
      <c r="P53" s="908"/>
      <c r="Q53" s="908"/>
      <c r="R53" s="908"/>
      <c r="S53" s="908"/>
      <c r="T53" s="908"/>
      <c r="U53" s="908"/>
      <c r="V53" s="908"/>
      <c r="W53" s="908"/>
      <c r="X53" s="908"/>
      <c r="Y53" s="908"/>
      <c r="Z53" s="908"/>
    </row>
    <row r="54" spans="1:26" ht="21.75" customHeight="1">
      <c r="A54" s="882"/>
      <c r="B54" s="882"/>
      <c r="C54" s="882"/>
      <c r="D54" s="882"/>
      <c r="E54" s="882"/>
      <c r="H54" s="882">
        <v>2018</v>
      </c>
      <c r="I54" s="882">
        <v>5</v>
      </c>
      <c r="J54" s="913">
        <f t="shared" ref="J54:J61" si="3">61.95*I54^0.036</f>
        <v>65.645389705108784</v>
      </c>
      <c r="K54" s="903"/>
      <c r="L54" s="905"/>
      <c r="M54" s="903"/>
      <c r="N54" s="903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</row>
    <row r="55" spans="1:26" ht="21.75" customHeight="1">
      <c r="A55" s="882"/>
      <c r="B55" s="882"/>
      <c r="C55" s="882"/>
      <c r="D55" s="882"/>
      <c r="E55" s="882"/>
      <c r="H55" s="882">
        <v>2019</v>
      </c>
      <c r="I55" s="882">
        <v>6</v>
      </c>
      <c r="J55" s="913">
        <f t="shared" si="3"/>
        <v>66.077675330278012</v>
      </c>
      <c r="K55" s="903"/>
      <c r="L55" s="905"/>
      <c r="M55" s="903"/>
      <c r="N55" s="903"/>
      <c r="O55" s="908"/>
      <c r="P55" s="908"/>
      <c r="Q55" s="908"/>
      <c r="R55" s="908"/>
      <c r="S55" s="908"/>
      <c r="T55" s="908"/>
      <c r="U55" s="908"/>
      <c r="V55" s="908"/>
      <c r="W55" s="908"/>
      <c r="X55" s="908"/>
      <c r="Y55" s="908"/>
      <c r="Z55" s="908"/>
    </row>
    <row r="56" spans="1:26" ht="21.75" customHeight="1">
      <c r="A56" s="882"/>
      <c r="B56" s="882"/>
      <c r="C56" s="882"/>
      <c r="D56" s="882"/>
      <c r="E56" s="882"/>
      <c r="H56" s="882">
        <v>2020</v>
      </c>
      <c r="I56" s="882">
        <v>7</v>
      </c>
      <c r="J56" s="913">
        <f t="shared" si="3"/>
        <v>66.445387751405391</v>
      </c>
      <c r="K56" s="903"/>
      <c r="L56" s="905"/>
      <c r="M56" s="903"/>
      <c r="N56" s="903"/>
      <c r="O56" s="908"/>
      <c r="P56" s="908"/>
      <c r="Q56" s="908"/>
      <c r="R56" s="908"/>
      <c r="S56" s="908"/>
      <c r="T56" s="908"/>
      <c r="U56" s="908"/>
      <c r="V56" s="908"/>
      <c r="W56" s="908"/>
      <c r="X56" s="908"/>
      <c r="Y56" s="908"/>
      <c r="Z56" s="908"/>
    </row>
    <row r="57" spans="1:26" ht="21.75" customHeight="1">
      <c r="A57" s="882"/>
      <c r="B57" s="882"/>
      <c r="C57" s="882"/>
      <c r="D57" s="882"/>
      <c r="E57" s="882"/>
      <c r="H57" s="882">
        <v>2021</v>
      </c>
      <c r="I57" s="882">
        <v>8</v>
      </c>
      <c r="J57" s="913">
        <f t="shared" si="3"/>
        <v>66.765568335455413</v>
      </c>
      <c r="K57" s="914"/>
      <c r="L57" s="905"/>
      <c r="M57" s="905"/>
      <c r="N57" s="903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</row>
    <row r="58" spans="1:26" ht="21.75" customHeight="1">
      <c r="A58" s="882"/>
      <c r="B58" s="882"/>
      <c r="C58" s="882"/>
      <c r="D58" s="882"/>
      <c r="E58" s="882"/>
      <c r="H58" s="882">
        <v>2022</v>
      </c>
      <c r="I58" s="882">
        <v>9</v>
      </c>
      <c r="J58" s="913">
        <f t="shared" si="3"/>
        <v>67.049268027967059</v>
      </c>
      <c r="L58" s="905"/>
      <c r="M58" s="905"/>
      <c r="N58" s="903"/>
      <c r="O58" s="908"/>
      <c r="P58" s="908"/>
      <c r="Q58" s="908"/>
      <c r="R58" s="908"/>
      <c r="S58" s="908"/>
      <c r="T58" s="908"/>
      <c r="U58" s="908"/>
      <c r="V58" s="908"/>
      <c r="W58" s="908"/>
      <c r="X58" s="908"/>
      <c r="Y58" s="908"/>
      <c r="Z58" s="908"/>
    </row>
    <row r="59" spans="1:26" ht="21.75" customHeight="1">
      <c r="A59" s="882"/>
      <c r="B59" s="882"/>
      <c r="C59" s="882"/>
      <c r="D59" s="882"/>
      <c r="E59" s="882"/>
      <c r="H59" s="882">
        <v>2023</v>
      </c>
      <c r="I59" s="882">
        <v>10</v>
      </c>
      <c r="J59" s="913">
        <f t="shared" si="3"/>
        <v>67.304067383077211</v>
      </c>
      <c r="L59" s="905"/>
      <c r="M59" s="905"/>
      <c r="N59" s="903"/>
      <c r="O59" s="908"/>
      <c r="P59" s="908"/>
      <c r="Q59" s="908"/>
      <c r="R59" s="908"/>
      <c r="S59" s="908"/>
      <c r="T59" s="908"/>
      <c r="U59" s="908"/>
      <c r="V59" s="908"/>
      <c r="W59" s="908"/>
      <c r="X59" s="908"/>
      <c r="Y59" s="908"/>
      <c r="Z59" s="908"/>
    </row>
    <row r="60" spans="1:26" ht="21.75" customHeight="1">
      <c r="A60" s="882"/>
      <c r="B60" s="882"/>
      <c r="C60" s="882"/>
      <c r="D60" s="882"/>
      <c r="E60" s="882"/>
      <c r="H60" s="882">
        <v>2024</v>
      </c>
      <c r="I60" s="882">
        <v>11</v>
      </c>
      <c r="J60" s="913">
        <f t="shared" si="3"/>
        <v>67.535395478227514</v>
      </c>
      <c r="K60" s="903"/>
      <c r="L60" s="903"/>
      <c r="M60" s="905"/>
      <c r="N60" s="920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</row>
    <row r="61" spans="1:26" ht="21.75" customHeight="1">
      <c r="A61" s="882"/>
      <c r="B61" s="882"/>
      <c r="C61" s="882"/>
      <c r="D61" s="882"/>
      <c r="E61" s="882"/>
      <c r="H61" s="882">
        <v>2025</v>
      </c>
      <c r="I61" s="882">
        <v>12</v>
      </c>
      <c r="J61" s="913">
        <f t="shared" si="3"/>
        <v>67.747275671973398</v>
      </c>
      <c r="K61" s="903"/>
      <c r="L61" s="903"/>
      <c r="M61" s="903"/>
      <c r="N61" s="920"/>
      <c r="O61" s="908"/>
      <c r="P61" s="908"/>
      <c r="Q61" s="908"/>
      <c r="R61" s="908"/>
      <c r="S61" s="908"/>
      <c r="T61" s="908"/>
      <c r="U61" s="908"/>
      <c r="V61" s="908"/>
      <c r="W61" s="908"/>
      <c r="X61" s="908"/>
      <c r="Y61" s="908"/>
      <c r="Z61" s="908"/>
    </row>
    <row r="62" spans="1:26" ht="21.75" customHeight="1">
      <c r="A62" s="882"/>
      <c r="B62" s="882"/>
      <c r="C62" s="882"/>
      <c r="D62" s="882"/>
      <c r="E62" s="882"/>
      <c r="K62" s="903"/>
      <c r="L62" s="903"/>
      <c r="M62" s="905"/>
      <c r="N62" s="903"/>
      <c r="O62" s="908"/>
      <c r="P62" s="908"/>
      <c r="Q62" s="908"/>
      <c r="R62" s="908"/>
      <c r="S62" s="908"/>
      <c r="T62" s="908"/>
      <c r="U62" s="908"/>
      <c r="V62" s="908"/>
      <c r="W62" s="908"/>
      <c r="X62" s="908"/>
      <c r="Y62" s="908"/>
      <c r="Z62" s="908"/>
    </row>
    <row r="63" spans="1:26">
      <c r="A63" s="1026" t="s">
        <v>1207</v>
      </c>
      <c r="B63" s="1026"/>
      <c r="C63" s="1026"/>
      <c r="D63" s="1026"/>
      <c r="E63" s="1026"/>
      <c r="F63" s="1026"/>
      <c r="G63" s="881" t="s">
        <v>1180</v>
      </c>
      <c r="H63" s="921" t="s">
        <v>1208</v>
      </c>
      <c r="K63" s="903"/>
      <c r="L63" s="905"/>
      <c r="M63" s="903"/>
      <c r="N63" s="903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</row>
    <row r="64" spans="1:26">
      <c r="A64" s="1024" t="s">
        <v>1209</v>
      </c>
      <c r="B64" s="1024"/>
      <c r="C64" s="884" t="s">
        <v>1183</v>
      </c>
      <c r="D64" s="884" t="s">
        <v>1184</v>
      </c>
      <c r="E64" s="884" t="s">
        <v>1185</v>
      </c>
      <c r="F64" s="885" t="s">
        <v>1186</v>
      </c>
      <c r="G64" s="886" t="s">
        <v>1210</v>
      </c>
      <c r="H64" s="1024" t="s">
        <v>1209</v>
      </c>
      <c r="I64" s="1024"/>
      <c r="J64" s="884" t="s">
        <v>1183</v>
      </c>
      <c r="K64" s="885" t="s">
        <v>1186</v>
      </c>
      <c r="L64" s="886" t="s">
        <v>1187</v>
      </c>
      <c r="M64" s="903"/>
      <c r="N64" s="903"/>
      <c r="O64" s="908"/>
      <c r="P64" s="908"/>
      <c r="Q64" s="908"/>
      <c r="R64" s="908"/>
      <c r="S64" s="908"/>
      <c r="T64" s="908"/>
      <c r="U64" s="908"/>
      <c r="V64" s="908"/>
      <c r="W64" s="908"/>
      <c r="X64" s="908"/>
      <c r="Y64" s="908"/>
      <c r="Z64" s="908"/>
    </row>
    <row r="65" spans="1:26">
      <c r="A65" s="1024">
        <v>2014</v>
      </c>
      <c r="B65" s="1024"/>
      <c r="C65" s="909">
        <f>SUM(C4:C15)</f>
        <v>1750</v>
      </c>
      <c r="D65" s="909">
        <f>SUM(D4:D15)</f>
        <v>1493</v>
      </c>
      <c r="E65" s="909">
        <f>SUM(E4:E15)</f>
        <v>1368</v>
      </c>
      <c r="F65" s="909">
        <f>D65+E65</f>
        <v>2861</v>
      </c>
      <c r="G65" s="886">
        <f>SUM(C65:E65)</f>
        <v>4611</v>
      </c>
      <c r="H65" s="1024">
        <v>2014</v>
      </c>
      <c r="I65" s="1024"/>
      <c r="J65" s="913">
        <f>C65</f>
        <v>1750</v>
      </c>
      <c r="K65" s="922">
        <f>F65</f>
        <v>2861</v>
      </c>
      <c r="L65" s="923">
        <f>J65+K65</f>
        <v>4611</v>
      </c>
      <c r="M65" s="903"/>
      <c r="N65" s="903"/>
      <c r="O65" s="908"/>
      <c r="P65" s="908"/>
      <c r="Q65" s="908"/>
      <c r="R65" s="908"/>
      <c r="S65" s="908"/>
      <c r="T65" s="908"/>
      <c r="U65" s="908"/>
      <c r="V65" s="908"/>
      <c r="W65" s="908"/>
      <c r="X65" s="908"/>
      <c r="Y65" s="908"/>
      <c r="Z65" s="908"/>
    </row>
    <row r="66" spans="1:26">
      <c r="A66" s="1024">
        <v>2015</v>
      </c>
      <c r="B66" s="1024"/>
      <c r="C66" s="909">
        <f>SUM(C16:C27)</f>
        <v>2127</v>
      </c>
      <c r="D66" s="909">
        <f>SUM(D16:D27)</f>
        <v>2162</v>
      </c>
      <c r="E66" s="909">
        <f>SUM(E16:E27)</f>
        <v>1710</v>
      </c>
      <c r="F66" s="909">
        <f>D66+E66</f>
        <v>3872</v>
      </c>
      <c r="G66" s="886">
        <f>SUM(C66:E66)</f>
        <v>5999</v>
      </c>
      <c r="H66" s="1024">
        <v>2015</v>
      </c>
      <c r="I66" s="1024"/>
      <c r="J66" s="913">
        <f>J65+C66</f>
        <v>3877</v>
      </c>
      <c r="K66" s="922">
        <f>K65+F66</f>
        <v>6733</v>
      </c>
      <c r="L66" s="923">
        <f>J66+K66</f>
        <v>10610</v>
      </c>
      <c r="M66" s="903"/>
      <c r="N66" s="903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</row>
    <row r="67" spans="1:26">
      <c r="A67" s="1024">
        <v>2016</v>
      </c>
      <c r="B67" s="1024"/>
      <c r="C67" s="909">
        <f>SUM(C28:C39)</f>
        <v>3798</v>
      </c>
      <c r="D67" s="909">
        <f>SUM(D28:D39)</f>
        <v>4110</v>
      </c>
      <c r="E67" s="909">
        <f>SUM(E28:E39)</f>
        <v>3034</v>
      </c>
      <c r="F67" s="909">
        <f t="shared" ref="F67" si="4">D67+E67</f>
        <v>7144</v>
      </c>
      <c r="G67" s="886">
        <f t="shared" ref="G67:G68" si="5">SUM(C67:E67)</f>
        <v>10942</v>
      </c>
      <c r="H67" s="1024">
        <v>2016</v>
      </c>
      <c r="I67" s="1024"/>
      <c r="J67" s="913">
        <f>J66+C67</f>
        <v>7675</v>
      </c>
      <c r="K67" s="922">
        <f>K66+F67</f>
        <v>13877</v>
      </c>
      <c r="L67" s="923">
        <f>J67+K67</f>
        <v>21552</v>
      </c>
      <c r="M67" s="903"/>
      <c r="N67" s="903"/>
      <c r="O67" s="908"/>
      <c r="P67" s="908"/>
      <c r="Q67" s="908"/>
      <c r="R67" s="908"/>
      <c r="S67" s="908"/>
      <c r="T67" s="908"/>
      <c r="U67" s="908"/>
      <c r="V67" s="908"/>
      <c r="W67" s="908"/>
      <c r="X67" s="908"/>
      <c r="Y67" s="908"/>
      <c r="Z67" s="908"/>
    </row>
    <row r="68" spans="1:26">
      <c r="A68" s="1024">
        <v>2017</v>
      </c>
      <c r="B68" s="1024"/>
      <c r="C68" s="909">
        <f>SUM(C40:C42)</f>
        <v>349</v>
      </c>
      <c r="D68" s="909">
        <f>SUM(D40:D42)</f>
        <v>607</v>
      </c>
      <c r="E68" s="909">
        <f>SUM(E40:E42)</f>
        <v>630</v>
      </c>
      <c r="F68" s="909">
        <f>SUM(F40:F42)</f>
        <v>1237</v>
      </c>
      <c r="G68" s="886">
        <f t="shared" si="5"/>
        <v>1586</v>
      </c>
      <c r="H68" s="1024">
        <v>2017</v>
      </c>
      <c r="I68" s="1024"/>
      <c r="J68" s="913">
        <f>J67+C68</f>
        <v>8024</v>
      </c>
      <c r="K68" s="922">
        <f>K67+F68</f>
        <v>15114</v>
      </c>
      <c r="L68" s="923">
        <f>J68+K68</f>
        <v>23138</v>
      </c>
      <c r="M68" s="903"/>
      <c r="N68" s="903"/>
      <c r="O68" s="908"/>
      <c r="P68" s="908"/>
      <c r="Q68" s="908"/>
      <c r="R68" s="908"/>
      <c r="S68" s="908"/>
      <c r="T68" s="908"/>
      <c r="U68" s="908"/>
      <c r="V68" s="908"/>
      <c r="W68" s="908"/>
      <c r="X68" s="908"/>
      <c r="Y68" s="908"/>
      <c r="Z68" s="908"/>
    </row>
    <row r="69" spans="1:26">
      <c r="A69" s="924"/>
      <c r="B69" s="924"/>
      <c r="C69" s="924"/>
      <c r="D69" s="924"/>
      <c r="E69" s="924"/>
      <c r="F69" s="924"/>
      <c r="K69" s="905"/>
      <c r="L69" s="903"/>
      <c r="M69" s="903"/>
      <c r="N69" s="903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</row>
    <row r="70" spans="1:26">
      <c r="A70" s="1025" t="s">
        <v>1211</v>
      </c>
      <c r="B70" s="1025"/>
      <c r="C70" s="1025"/>
      <c r="D70" s="1025"/>
      <c r="E70" s="1025"/>
      <c r="F70" s="1025"/>
      <c r="G70" s="881" t="s">
        <v>1212</v>
      </c>
      <c r="K70" s="905"/>
      <c r="L70" s="903"/>
      <c r="M70" s="903"/>
      <c r="N70" s="903"/>
      <c r="O70" s="908"/>
      <c r="P70" s="908"/>
      <c r="Q70" s="908"/>
      <c r="R70" s="908"/>
      <c r="S70" s="908"/>
      <c r="T70" s="908"/>
      <c r="U70" s="908"/>
      <c r="V70" s="908"/>
      <c r="W70" s="908"/>
      <c r="X70" s="908"/>
      <c r="Y70" s="908"/>
      <c r="Z70" s="908"/>
    </row>
    <row r="71" spans="1:26">
      <c r="A71" s="1024" t="s">
        <v>1209</v>
      </c>
      <c r="B71" s="1024"/>
      <c r="C71" s="884" t="s">
        <v>1213</v>
      </c>
      <c r="D71" s="884" t="s">
        <v>1214</v>
      </c>
      <c r="E71" s="884" t="s">
        <v>1215</v>
      </c>
      <c r="F71" s="885" t="s">
        <v>1216</v>
      </c>
      <c r="G71" s="886" t="s">
        <v>1210</v>
      </c>
      <c r="H71" s="1024" t="s">
        <v>1217</v>
      </c>
      <c r="I71" s="1024"/>
      <c r="J71" s="884" t="s">
        <v>1218</v>
      </c>
      <c r="K71" s="885" t="s">
        <v>1219</v>
      </c>
      <c r="L71" s="886" t="s">
        <v>1220</v>
      </c>
      <c r="M71" s="903"/>
      <c r="N71" s="903"/>
      <c r="O71" s="908"/>
      <c r="P71" s="908"/>
      <c r="Q71" s="908"/>
      <c r="R71" s="908"/>
      <c r="S71" s="908"/>
      <c r="T71" s="908"/>
      <c r="U71" s="908"/>
      <c r="V71" s="908"/>
      <c r="W71" s="908"/>
      <c r="X71" s="908"/>
      <c r="Y71" s="908"/>
      <c r="Z71" s="908"/>
    </row>
    <row r="72" spans="1:26">
      <c r="A72" s="1024">
        <v>2014</v>
      </c>
      <c r="B72" s="1024"/>
      <c r="C72" s="909">
        <f t="shared" ref="C72:F75" si="6">C65/$G65*100</f>
        <v>37.952721752331378</v>
      </c>
      <c r="D72" s="909">
        <f t="shared" si="6"/>
        <v>32.379093472131856</v>
      </c>
      <c r="E72" s="909">
        <f t="shared" si="6"/>
        <v>29.668184775536758</v>
      </c>
      <c r="F72" s="909">
        <f t="shared" si="6"/>
        <v>62.047278247668615</v>
      </c>
      <c r="G72" s="909">
        <f t="shared" ref="G72:G76" si="7">F72+C72</f>
        <v>100</v>
      </c>
      <c r="H72" s="1024">
        <v>2014</v>
      </c>
      <c r="I72" s="1024"/>
      <c r="J72" s="913">
        <f>ROUND(J65/L65*100,1)</f>
        <v>38</v>
      </c>
      <c r="K72" s="913">
        <f>ROUND(K65/L65*100,1)</f>
        <v>62</v>
      </c>
      <c r="L72" s="923">
        <f>J72+K72</f>
        <v>100</v>
      </c>
    </row>
    <row r="73" spans="1:26">
      <c r="A73" s="1024">
        <v>2015</v>
      </c>
      <c r="B73" s="1024"/>
      <c r="C73" s="909">
        <f t="shared" si="6"/>
        <v>35.455909318219703</v>
      </c>
      <c r="D73" s="909">
        <f t="shared" si="6"/>
        <v>36.039339889981662</v>
      </c>
      <c r="E73" s="909">
        <f t="shared" si="6"/>
        <v>28.504750791798632</v>
      </c>
      <c r="F73" s="909">
        <f t="shared" si="6"/>
        <v>64.544090681780304</v>
      </c>
      <c r="G73" s="909">
        <f t="shared" si="7"/>
        <v>100</v>
      </c>
      <c r="H73" s="1024">
        <v>2015</v>
      </c>
      <c r="I73" s="1024"/>
      <c r="J73" s="913">
        <f>ROUND(J66/L66*100,1)</f>
        <v>36.5</v>
      </c>
      <c r="K73" s="913">
        <f>ROUND(K66/L66*100,1)</f>
        <v>63.5</v>
      </c>
      <c r="L73" s="923">
        <f>J73+K73</f>
        <v>100</v>
      </c>
    </row>
    <row r="74" spans="1:26">
      <c r="A74" s="1024">
        <v>2016</v>
      </c>
      <c r="B74" s="1024"/>
      <c r="C74" s="909">
        <f t="shared" si="6"/>
        <v>34.710290623286419</v>
      </c>
      <c r="D74" s="909">
        <f t="shared" si="6"/>
        <v>37.561688905136172</v>
      </c>
      <c r="E74" s="909">
        <f t="shared" si="6"/>
        <v>27.728020471577409</v>
      </c>
      <c r="F74" s="909">
        <f t="shared" si="6"/>
        <v>65.289709376713574</v>
      </c>
      <c r="G74" s="909">
        <f t="shared" si="7"/>
        <v>100</v>
      </c>
      <c r="H74" s="1024">
        <v>2016</v>
      </c>
      <c r="I74" s="1024"/>
      <c r="J74" s="913">
        <f>ROUND(J67/L67*100,1)</f>
        <v>35.6</v>
      </c>
      <c r="K74" s="913">
        <f>ROUND(K67/L67*100,1)</f>
        <v>64.400000000000006</v>
      </c>
      <c r="L74" s="923">
        <f>J74+K74</f>
        <v>100</v>
      </c>
    </row>
    <row r="75" spans="1:26">
      <c r="A75" s="1024">
        <v>2017</v>
      </c>
      <c r="B75" s="1024"/>
      <c r="C75" s="909">
        <f t="shared" si="6"/>
        <v>22.005044136191675</v>
      </c>
      <c r="D75" s="909">
        <f t="shared" si="6"/>
        <v>38.272383354350566</v>
      </c>
      <c r="E75" s="909">
        <f t="shared" si="6"/>
        <v>39.722572509457756</v>
      </c>
      <c r="F75" s="909">
        <f t="shared" si="6"/>
        <v>77.994955863808329</v>
      </c>
      <c r="G75" s="909">
        <f t="shared" si="7"/>
        <v>100</v>
      </c>
      <c r="H75" s="1024">
        <v>2017</v>
      </c>
      <c r="I75" s="1024"/>
      <c r="J75" s="913">
        <f>ROUND(J68/L68*100,1)</f>
        <v>34.700000000000003</v>
      </c>
      <c r="K75" s="913">
        <f>ROUND(K68/L68*100,1)</f>
        <v>65.3</v>
      </c>
      <c r="L75" s="923">
        <f>J75+K75</f>
        <v>100</v>
      </c>
    </row>
    <row r="76" spans="1:26">
      <c r="A76" s="1024" t="s">
        <v>1221</v>
      </c>
      <c r="B76" s="1024"/>
      <c r="C76" s="909">
        <f>AVERAGE(C72:C75)</f>
        <v>32.530991457507298</v>
      </c>
      <c r="D76" s="909">
        <f>AVERAGE(D72:D75)</f>
        <v>36.06312640540007</v>
      </c>
      <c r="E76" s="909">
        <f>AVERAGE(E72:E75)</f>
        <v>31.40588213709264</v>
      </c>
      <c r="F76" s="909">
        <f>AVERAGE(F72:F75)</f>
        <v>67.469008542492702</v>
      </c>
      <c r="G76" s="909">
        <f t="shared" si="7"/>
        <v>100</v>
      </c>
    </row>
    <row r="77" spans="1:26">
      <c r="A77" s="882"/>
      <c r="B77" s="882"/>
      <c r="C77" s="882"/>
      <c r="D77" s="882"/>
      <c r="E77" s="882"/>
    </row>
    <row r="78" spans="1:26">
      <c r="A78" s="882"/>
      <c r="B78" s="882"/>
      <c r="C78" s="882"/>
      <c r="D78" s="882"/>
      <c r="E78" s="882"/>
    </row>
    <row r="79" spans="1:26">
      <c r="A79" s="882"/>
      <c r="B79" s="882"/>
      <c r="C79" s="882"/>
      <c r="D79" s="882"/>
      <c r="E79" s="882"/>
    </row>
    <row r="80" spans="1:26">
      <c r="A80" s="882"/>
      <c r="B80" s="882"/>
      <c r="C80" s="882"/>
      <c r="D80" s="882"/>
      <c r="E80" s="882"/>
      <c r="H80" s="882">
        <v>2014</v>
      </c>
      <c r="I80" s="882">
        <v>1</v>
      </c>
      <c r="J80" s="913">
        <f>C72</f>
        <v>37.952721752331378</v>
      </c>
    </row>
    <row r="81" spans="1:11">
      <c r="A81" s="882"/>
      <c r="B81" s="882"/>
      <c r="C81" s="882"/>
      <c r="D81" s="882"/>
      <c r="E81" s="882"/>
      <c r="H81" s="882">
        <v>2015</v>
      </c>
      <c r="I81" s="882">
        <v>2</v>
      </c>
      <c r="J81" s="913">
        <f>C73</f>
        <v>35.455909318219703</v>
      </c>
    </row>
    <row r="82" spans="1:11">
      <c r="A82" s="882"/>
      <c r="B82" s="882"/>
      <c r="C82" s="882"/>
      <c r="D82" s="882"/>
      <c r="E82" s="882"/>
      <c r="H82" s="882">
        <v>2016</v>
      </c>
      <c r="I82" s="882">
        <v>3</v>
      </c>
      <c r="J82" s="913">
        <f>C74</f>
        <v>34.710290623286419</v>
      </c>
    </row>
    <row r="83" spans="1:11">
      <c r="A83" s="882"/>
      <c r="B83" s="882"/>
      <c r="C83" s="882"/>
      <c r="D83" s="882"/>
      <c r="E83" s="882"/>
      <c r="H83" s="882">
        <v>2017</v>
      </c>
      <c r="I83" s="882">
        <v>4</v>
      </c>
      <c r="J83" s="913">
        <f>C75</f>
        <v>22.005044136191675</v>
      </c>
    </row>
    <row r="84" spans="1:11">
      <c r="A84" s="882"/>
      <c r="B84" s="882"/>
      <c r="C84" s="882"/>
      <c r="D84" s="882"/>
      <c r="E84" s="882"/>
      <c r="H84" s="882">
        <v>2018</v>
      </c>
      <c r="I84" s="882">
        <v>5</v>
      </c>
      <c r="J84" s="882">
        <f t="shared" ref="J84:J91" si="8">48.17*EXP(-0.16*I84)</f>
        <v>21.644176201526562</v>
      </c>
    </row>
    <row r="85" spans="1:11">
      <c r="A85" s="882"/>
      <c r="B85" s="882"/>
      <c r="C85" s="882"/>
      <c r="D85" s="882"/>
      <c r="E85" s="882"/>
      <c r="H85" s="882">
        <v>2019</v>
      </c>
      <c r="I85" s="882">
        <v>6</v>
      </c>
      <c r="J85" s="882">
        <f t="shared" si="8"/>
        <v>18.443950317421148</v>
      </c>
    </row>
    <row r="86" spans="1:11">
      <c r="A86" s="882"/>
      <c r="B86" s="882"/>
      <c r="C86" s="882"/>
      <c r="D86" s="882"/>
      <c r="E86" s="882"/>
      <c r="H86" s="882">
        <v>2020</v>
      </c>
      <c r="I86" s="882">
        <v>7</v>
      </c>
      <c r="J86" s="882">
        <f t="shared" si="8"/>
        <v>15.716897706991812</v>
      </c>
    </row>
    <row r="87" spans="1:11">
      <c r="A87" s="882"/>
      <c r="B87" s="882"/>
      <c r="C87" s="882"/>
      <c r="D87" s="882"/>
      <c r="E87" s="882"/>
      <c r="H87" s="882">
        <v>2021</v>
      </c>
      <c r="I87" s="882">
        <v>8</v>
      </c>
      <c r="J87" s="882">
        <f t="shared" si="8"/>
        <v>13.393056762830362</v>
      </c>
    </row>
    <row r="88" spans="1:11">
      <c r="A88" s="882"/>
      <c r="B88" s="882"/>
      <c r="C88" s="882"/>
      <c r="D88" s="882"/>
      <c r="E88" s="882"/>
      <c r="H88" s="882">
        <v>2022</v>
      </c>
      <c r="I88" s="882">
        <v>9</v>
      </c>
      <c r="J88" s="882">
        <f t="shared" si="8"/>
        <v>11.412810135717805</v>
      </c>
    </row>
    <row r="89" spans="1:11">
      <c r="A89" s="882"/>
      <c r="B89" s="882"/>
      <c r="C89" s="888"/>
      <c r="D89" s="888"/>
      <c r="E89" s="888"/>
      <c r="F89" s="888"/>
      <c r="H89" s="882">
        <v>2023</v>
      </c>
      <c r="I89" s="882">
        <v>10</v>
      </c>
      <c r="J89" s="882">
        <f t="shared" si="8"/>
        <v>9.7253552718025507</v>
      </c>
    </row>
    <row r="90" spans="1:11">
      <c r="A90" s="882"/>
      <c r="B90" s="882"/>
      <c r="C90" s="890"/>
      <c r="D90" s="890"/>
      <c r="E90" s="890"/>
      <c r="F90" s="890"/>
      <c r="H90" s="882">
        <v>2024</v>
      </c>
      <c r="I90" s="882">
        <v>11</v>
      </c>
      <c r="J90" s="882">
        <f t="shared" si="8"/>
        <v>8.2874010903563455</v>
      </c>
    </row>
    <row r="91" spans="1:11">
      <c r="A91" s="882"/>
      <c r="B91" s="882"/>
      <c r="C91" s="888"/>
      <c r="D91" s="888"/>
      <c r="E91" s="888"/>
      <c r="F91" s="888"/>
      <c r="H91" s="882">
        <v>2025</v>
      </c>
      <c r="I91" s="882">
        <v>12</v>
      </c>
      <c r="J91" s="882">
        <f t="shared" si="8"/>
        <v>7.0620573658189674</v>
      </c>
    </row>
    <row r="92" spans="1:11">
      <c r="A92" s="882"/>
      <c r="B92" s="882"/>
      <c r="C92" s="925"/>
      <c r="D92" s="925"/>
      <c r="E92" s="925"/>
      <c r="F92" s="888"/>
    </row>
    <row r="93" spans="1:11">
      <c r="A93" s="882"/>
      <c r="B93" s="882"/>
      <c r="C93" s="925"/>
      <c r="D93" s="925"/>
      <c r="E93" s="925"/>
      <c r="F93" s="888"/>
    </row>
    <row r="94" spans="1:11">
      <c r="A94" s="882"/>
      <c r="B94" s="882"/>
      <c r="C94" s="893"/>
      <c r="D94" s="893"/>
      <c r="E94" s="893"/>
      <c r="F94" s="893"/>
    </row>
    <row r="95" spans="1:11">
      <c r="A95" s="882"/>
      <c r="B95" s="882"/>
      <c r="C95" s="893"/>
      <c r="D95" s="895"/>
      <c r="E95" s="895"/>
      <c r="F95" s="895"/>
      <c r="H95" s="882">
        <v>2014</v>
      </c>
      <c r="I95" s="882">
        <v>1</v>
      </c>
      <c r="J95" s="913">
        <f>F72</f>
        <v>62.047278247668615</v>
      </c>
      <c r="K95" s="913">
        <f>J95</f>
        <v>62.047278247668615</v>
      </c>
    </row>
    <row r="96" spans="1:11">
      <c r="A96" s="882"/>
      <c r="B96" s="882"/>
      <c r="C96" s="888"/>
      <c r="D96" s="897"/>
      <c r="E96" s="897"/>
      <c r="F96" s="897"/>
      <c r="H96" s="882">
        <v>2015</v>
      </c>
      <c r="I96" s="882">
        <v>2</v>
      </c>
      <c r="J96" s="913">
        <f>F73</f>
        <v>64.544090681780304</v>
      </c>
      <c r="K96" s="913">
        <f>J96</f>
        <v>64.544090681780304</v>
      </c>
    </row>
    <row r="97" spans="1:11">
      <c r="A97" s="882"/>
      <c r="B97" s="882"/>
      <c r="C97" s="888"/>
      <c r="D97" s="897"/>
      <c r="E97" s="897"/>
      <c r="F97" s="897"/>
      <c r="H97" s="882">
        <v>2016</v>
      </c>
      <c r="I97" s="882">
        <v>3</v>
      </c>
      <c r="J97" s="913">
        <f>F74</f>
        <v>65.289709376713574</v>
      </c>
      <c r="K97" s="913">
        <f>J97</f>
        <v>65.289709376713574</v>
      </c>
    </row>
    <row r="98" spans="1:11">
      <c r="A98" s="882"/>
      <c r="B98" s="882"/>
      <c r="C98" s="888"/>
      <c r="D98" s="897"/>
      <c r="E98" s="897"/>
      <c r="F98" s="897"/>
      <c r="H98" s="882">
        <v>2017</v>
      </c>
      <c r="I98" s="882">
        <v>4</v>
      </c>
      <c r="J98" s="913">
        <f>F75</f>
        <v>77.994955863808329</v>
      </c>
      <c r="K98" s="913">
        <f>J98</f>
        <v>77.994955863808329</v>
      </c>
    </row>
    <row r="99" spans="1:11">
      <c r="A99" s="898"/>
      <c r="B99" s="898"/>
      <c r="C99" s="888"/>
      <c r="D99" s="897"/>
      <c r="E99" s="897"/>
      <c r="F99" s="897"/>
      <c r="H99" s="882">
        <v>2018</v>
      </c>
      <c r="I99" s="882">
        <v>5</v>
      </c>
      <c r="J99" s="913">
        <f t="shared" ref="J99:J106" si="9">60.34*I99^0.135</f>
        <v>74.983594672484102</v>
      </c>
      <c r="K99" s="882">
        <f t="shared" ref="K99:K106" si="10">9.38*LN(I99)+60.01</f>
        <v>75.106527618631858</v>
      </c>
    </row>
    <row r="100" spans="1:11">
      <c r="A100" s="898"/>
      <c r="B100" s="898"/>
      <c r="C100" s="888"/>
      <c r="D100" s="897"/>
      <c r="E100" s="897"/>
      <c r="F100" s="897"/>
      <c r="H100" s="882">
        <v>2019</v>
      </c>
      <c r="I100" s="882">
        <v>6</v>
      </c>
      <c r="J100" s="913">
        <f t="shared" si="9"/>
        <v>76.852097425899146</v>
      </c>
      <c r="K100" s="882">
        <f t="shared" si="10"/>
        <v>76.816703821359155</v>
      </c>
    </row>
    <row r="101" spans="1:11">
      <c r="H101" s="882">
        <v>2020</v>
      </c>
      <c r="I101" s="882">
        <v>7</v>
      </c>
      <c r="J101" s="913">
        <f t="shared" si="9"/>
        <v>78.468173060285366</v>
      </c>
      <c r="K101" s="882">
        <f t="shared" si="10"/>
        <v>78.262637198138833</v>
      </c>
    </row>
    <row r="102" spans="1:11">
      <c r="H102" s="882">
        <v>2021</v>
      </c>
      <c r="I102" s="882">
        <v>8</v>
      </c>
      <c r="J102" s="913">
        <f t="shared" si="9"/>
        <v>79.89552485325828</v>
      </c>
      <c r="K102" s="882">
        <f t="shared" si="10"/>
        <v>79.515161660956863</v>
      </c>
    </row>
    <row r="103" spans="1:11">
      <c r="H103" s="882">
        <v>2022</v>
      </c>
      <c r="I103" s="882">
        <v>9</v>
      </c>
      <c r="J103" s="913">
        <f t="shared" si="9"/>
        <v>81.17607425127656</v>
      </c>
      <c r="K103" s="882">
        <f t="shared" si="10"/>
        <v>80.619966535413738</v>
      </c>
    </row>
    <row r="104" spans="1:11">
      <c r="A104" s="442" t="s">
        <v>1230</v>
      </c>
      <c r="H104" s="882">
        <v>2023</v>
      </c>
      <c r="I104" s="882">
        <v>10</v>
      </c>
      <c r="J104" s="913">
        <f t="shared" si="9"/>
        <v>82.338946461775706</v>
      </c>
      <c r="K104" s="882">
        <f t="shared" si="10"/>
        <v>81.608248172284149</v>
      </c>
    </row>
    <row r="105" spans="1:11">
      <c r="H105" s="882">
        <v>2024</v>
      </c>
      <c r="I105" s="882">
        <v>11</v>
      </c>
      <c r="J105" s="913">
        <f t="shared" si="9"/>
        <v>83.405236532968374</v>
      </c>
      <c r="K105" s="882">
        <f t="shared" si="10"/>
        <v>82.50225765884872</v>
      </c>
    </row>
    <row r="106" spans="1:11">
      <c r="A106" s="882"/>
      <c r="B106" s="882"/>
      <c r="C106" s="913"/>
      <c r="H106" s="882">
        <v>2025</v>
      </c>
      <c r="I106" s="882">
        <v>12</v>
      </c>
      <c r="J106" s="913">
        <f t="shared" si="9"/>
        <v>84.390735907842085</v>
      </c>
      <c r="K106" s="882">
        <f t="shared" si="10"/>
        <v>83.318424375011446</v>
      </c>
    </row>
    <row r="107" spans="1:11">
      <c r="A107" s="932" t="s">
        <v>1231</v>
      </c>
      <c r="B107" s="932" t="s">
        <v>1232</v>
      </c>
      <c r="C107" s="934" t="s">
        <v>1233</v>
      </c>
    </row>
    <row r="108" spans="1:11">
      <c r="A108" s="935">
        <v>2014</v>
      </c>
      <c r="B108" s="935">
        <v>1</v>
      </c>
      <c r="C108" s="933">
        <f>F72</f>
        <v>62.047278247668615</v>
      </c>
      <c r="I108" s="882" t="s">
        <v>1222</v>
      </c>
      <c r="J108" s="913">
        <f>AVERAGE(J95:J106)</f>
        <v>75.948868111313359</v>
      </c>
      <c r="K108" s="913">
        <f>AVERAGE(K95:K106)</f>
        <v>75.635496767551288</v>
      </c>
    </row>
    <row r="109" spans="1:11">
      <c r="A109" s="935">
        <v>2015</v>
      </c>
      <c r="B109" s="935">
        <v>2</v>
      </c>
      <c r="C109" s="933">
        <f>F73</f>
        <v>64.544090681780304</v>
      </c>
    </row>
    <row r="110" spans="1:11">
      <c r="A110" s="935">
        <v>2016</v>
      </c>
      <c r="B110" s="935">
        <v>3</v>
      </c>
      <c r="C110" s="933">
        <f>F74</f>
        <v>65.289709376713574</v>
      </c>
      <c r="K110" s="882">
        <v>58200</v>
      </c>
    </row>
    <row r="111" spans="1:11">
      <c r="A111" s="935">
        <v>2017</v>
      </c>
      <c r="B111" s="935">
        <v>4</v>
      </c>
      <c r="C111" s="933">
        <f>F75</f>
        <v>77.994955863808329</v>
      </c>
      <c r="K111" s="882">
        <f>ROUND(K110*J108/100,0)</f>
        <v>44202</v>
      </c>
    </row>
    <row r="112" spans="1:11">
      <c r="A112" s="935">
        <v>2018</v>
      </c>
      <c r="B112" s="935">
        <v>5</v>
      </c>
      <c r="C112" s="933">
        <f t="shared" ref="C112:C119" si="11">60.34*B112^0.135</f>
        <v>74.983594672484102</v>
      </c>
      <c r="K112" s="882">
        <f>K110-K111</f>
        <v>13998</v>
      </c>
    </row>
    <row r="113" spans="1:12">
      <c r="A113" s="935">
        <v>2019</v>
      </c>
      <c r="B113" s="935">
        <v>6</v>
      </c>
      <c r="C113" s="933">
        <f t="shared" si="11"/>
        <v>76.852097425899146</v>
      </c>
    </row>
    <row r="114" spans="1:12">
      <c r="A114" s="935">
        <v>2020</v>
      </c>
      <c r="B114" s="935">
        <v>7</v>
      </c>
      <c r="C114" s="933">
        <f t="shared" si="11"/>
        <v>78.468173060285366</v>
      </c>
    </row>
    <row r="115" spans="1:12">
      <c r="A115" s="935">
        <v>2021</v>
      </c>
      <c r="B115" s="935">
        <v>8</v>
      </c>
      <c r="C115" s="933">
        <f t="shared" si="11"/>
        <v>79.89552485325828</v>
      </c>
      <c r="K115" s="882">
        <v>36500</v>
      </c>
    </row>
    <row r="116" spans="1:12">
      <c r="A116" s="935">
        <v>2022</v>
      </c>
      <c r="B116" s="935">
        <v>9</v>
      </c>
      <c r="C116" s="933">
        <f t="shared" si="11"/>
        <v>81.17607425127656</v>
      </c>
      <c r="K116" s="882">
        <f>ROUND(K115*75.9/100,0)</f>
        <v>27704</v>
      </c>
    </row>
    <row r="117" spans="1:12">
      <c r="A117" s="935">
        <v>2023</v>
      </c>
      <c r="B117" s="935">
        <v>10</v>
      </c>
      <c r="C117" s="933">
        <f t="shared" si="11"/>
        <v>82.338946461775706</v>
      </c>
      <c r="K117" s="882">
        <f>K115-K116</f>
        <v>8796</v>
      </c>
    </row>
    <row r="118" spans="1:12">
      <c r="A118" s="935">
        <v>2024</v>
      </c>
      <c r="B118" s="935">
        <v>11</v>
      </c>
      <c r="C118" s="933">
        <f t="shared" si="11"/>
        <v>83.405236532968374</v>
      </c>
    </row>
    <row r="119" spans="1:12">
      <c r="A119" s="935">
        <v>2025</v>
      </c>
      <c r="B119" s="935">
        <v>12</v>
      </c>
      <c r="C119" s="933">
        <f t="shared" si="11"/>
        <v>84.390735907842085</v>
      </c>
      <c r="K119" s="882">
        <f>2500*408/1000</f>
        <v>1020</v>
      </c>
    </row>
    <row r="120" spans="1:12">
      <c r="A120" s="932" t="s">
        <v>1234</v>
      </c>
      <c r="B120" s="932"/>
      <c r="C120" s="933">
        <f>AVERAGE(C108:C119)</f>
        <v>75.948868111313359</v>
      </c>
    </row>
    <row r="122" spans="1:12">
      <c r="H122" s="926" t="s">
        <v>1223</v>
      </c>
      <c r="I122" s="927">
        <v>2020</v>
      </c>
      <c r="J122" s="927">
        <v>2025</v>
      </c>
      <c r="K122" s="927">
        <v>2030</v>
      </c>
      <c r="L122" s="927">
        <v>2035</v>
      </c>
    </row>
    <row r="123" spans="1:12">
      <c r="H123" s="926" t="s">
        <v>1224</v>
      </c>
      <c r="I123" s="927">
        <v>36500</v>
      </c>
      <c r="J123" s="927">
        <v>58200</v>
      </c>
      <c r="K123" s="927">
        <v>58200</v>
      </c>
      <c r="L123" s="927">
        <v>58200</v>
      </c>
    </row>
    <row r="124" spans="1:12">
      <c r="H124" s="926" t="s">
        <v>1225</v>
      </c>
      <c r="I124" s="928">
        <v>75.900000000000006</v>
      </c>
      <c r="J124" s="928">
        <v>75.900000000000006</v>
      </c>
      <c r="K124" s="928">
        <v>75.900000000000006</v>
      </c>
      <c r="L124" s="928">
        <v>75.900000000000006</v>
      </c>
    </row>
    <row r="125" spans="1:12">
      <c r="H125" s="926" t="s">
        <v>1226</v>
      </c>
      <c r="I125" s="928">
        <f>ROUND(I123*I124/100,0)</f>
        <v>27704</v>
      </c>
      <c r="J125" s="928">
        <f>ROUND(J123*J124/100,0)</f>
        <v>44174</v>
      </c>
      <c r="K125" s="928">
        <f>ROUND(K123*K124/100,0)</f>
        <v>44174</v>
      </c>
      <c r="L125" s="928">
        <f>ROUND(L123*L124/100,0)</f>
        <v>44174</v>
      </c>
    </row>
    <row r="126" spans="1:12">
      <c r="H126" s="926" t="s">
        <v>1227</v>
      </c>
      <c r="I126" s="927">
        <f>I123-I125</f>
        <v>8796</v>
      </c>
      <c r="J126" s="927">
        <f>J123-J125</f>
        <v>14026</v>
      </c>
      <c r="K126" s="927">
        <f>K123-K125</f>
        <v>14026</v>
      </c>
      <c r="L126" s="927">
        <f>L123-L125</f>
        <v>14026</v>
      </c>
    </row>
    <row r="127" spans="1:12">
      <c r="I127" s="929">
        <v>79739</v>
      </c>
      <c r="J127" s="930">
        <v>74481</v>
      </c>
      <c r="K127" s="929">
        <v>73872</v>
      </c>
      <c r="L127" s="929">
        <v>72844</v>
      </c>
    </row>
    <row r="128" spans="1:12">
      <c r="H128" s="926" t="s">
        <v>1209</v>
      </c>
      <c r="I128" s="927">
        <v>2020</v>
      </c>
      <c r="J128" s="927">
        <v>2025</v>
      </c>
      <c r="K128" s="927">
        <v>2030</v>
      </c>
      <c r="L128" s="927">
        <v>2035</v>
      </c>
    </row>
    <row r="129" spans="8:12">
      <c r="H129" s="926" t="s">
        <v>1228</v>
      </c>
      <c r="I129" s="927">
        <v>36500</v>
      </c>
      <c r="J129" s="927">
        <v>58200</v>
      </c>
      <c r="K129" s="927">
        <v>58200</v>
      </c>
      <c r="L129" s="927">
        <v>58200</v>
      </c>
    </row>
    <row r="130" spans="8:12">
      <c r="H130" s="926" t="s">
        <v>1229</v>
      </c>
      <c r="I130" s="928">
        <v>67.5</v>
      </c>
      <c r="J130" s="928">
        <v>67.5</v>
      </c>
      <c r="K130" s="928">
        <v>67.5</v>
      </c>
      <c r="L130" s="928">
        <v>67.5</v>
      </c>
    </row>
    <row r="131" spans="8:12">
      <c r="H131" s="926" t="s">
        <v>1226</v>
      </c>
      <c r="I131" s="928">
        <f>ROUND(I129*I130/100,0)</f>
        <v>24638</v>
      </c>
      <c r="J131" s="928">
        <f>ROUND(J129*J130/100,0)</f>
        <v>39285</v>
      </c>
      <c r="K131" s="928">
        <f>ROUND(K129*K130/100,0)</f>
        <v>39285</v>
      </c>
      <c r="L131" s="928">
        <f>ROUND(L129*L130/100,0)</f>
        <v>39285</v>
      </c>
    </row>
    <row r="132" spans="8:12">
      <c r="H132" s="926" t="s">
        <v>1227</v>
      </c>
      <c r="I132" s="927">
        <f>I129-I131</f>
        <v>11862</v>
      </c>
      <c r="J132" s="927">
        <f>J129-J131</f>
        <v>18915</v>
      </c>
      <c r="K132" s="927">
        <f>K129-K131</f>
        <v>18915</v>
      </c>
      <c r="L132" s="927">
        <f>L129-L131</f>
        <v>18915</v>
      </c>
    </row>
    <row r="133" spans="8:12">
      <c r="I133" s="931">
        <f>I126+I127-I132</f>
        <v>76673</v>
      </c>
      <c r="J133" s="931">
        <f>J126+J127-J132</f>
        <v>69592</v>
      </c>
      <c r="K133" s="931">
        <f>K126+K127-K132</f>
        <v>68983</v>
      </c>
      <c r="L133" s="931">
        <f>L126+L127-L132</f>
        <v>67955</v>
      </c>
    </row>
    <row r="135" spans="8:12">
      <c r="J135" s="913"/>
      <c r="K135" s="913"/>
    </row>
  </sheetData>
  <mergeCells count="30">
    <mergeCell ref="A28:A39"/>
    <mergeCell ref="A1:F1"/>
    <mergeCell ref="A2:B3"/>
    <mergeCell ref="C2:G2"/>
    <mergeCell ref="A4:A15"/>
    <mergeCell ref="A16:A27"/>
    <mergeCell ref="A40:A42"/>
    <mergeCell ref="A63:F63"/>
    <mergeCell ref="A64:B64"/>
    <mergeCell ref="H64:I64"/>
    <mergeCell ref="A65:B65"/>
    <mergeCell ref="H65:I65"/>
    <mergeCell ref="A73:B73"/>
    <mergeCell ref="H73:I73"/>
    <mergeCell ref="A66:B66"/>
    <mergeCell ref="H66:I66"/>
    <mergeCell ref="A67:B67"/>
    <mergeCell ref="H67:I67"/>
    <mergeCell ref="A68:B68"/>
    <mergeCell ref="H68:I68"/>
    <mergeCell ref="A70:F70"/>
    <mergeCell ref="A71:B71"/>
    <mergeCell ref="H71:I71"/>
    <mergeCell ref="A72:B72"/>
    <mergeCell ref="H72:I72"/>
    <mergeCell ref="A74:B74"/>
    <mergeCell ref="H74:I74"/>
    <mergeCell ref="A75:B75"/>
    <mergeCell ref="H75:I75"/>
    <mergeCell ref="A76:B7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rowBreaks count="1" manualBreakCount="1">
    <brk id="62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4" sqref="F34"/>
    </sheetView>
  </sheetViews>
  <sheetFormatPr defaultRowHeight="13.5"/>
  <sheetData/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B1:U153"/>
  <sheetViews>
    <sheetView view="pageBreakPreview" topLeftCell="A74" zoomScale="85" zoomScaleSheetLayoutView="85" workbookViewId="0">
      <selection activeCell="L106" sqref="L106"/>
    </sheetView>
  </sheetViews>
  <sheetFormatPr defaultRowHeight="13.5" outlineLevelRow="1"/>
  <cols>
    <col min="1" max="1" width="0.77734375" style="709" customWidth="1"/>
    <col min="2" max="2" width="31.44140625" style="709" customWidth="1"/>
    <col min="3" max="3" width="12.6640625" style="709" customWidth="1"/>
    <col min="4" max="10" width="13.33203125" style="709" customWidth="1"/>
    <col min="11" max="13" width="9.21875" style="709" bestFit="1" customWidth="1"/>
    <col min="14" max="16384" width="8.88671875" style="709"/>
  </cols>
  <sheetData>
    <row r="1" spans="2:17" ht="18.75" customHeight="1">
      <c r="B1" s="713" t="s">
        <v>1053</v>
      </c>
    </row>
    <row r="2" spans="2:17" ht="18.75" customHeight="1">
      <c r="B2" s="714" t="s">
        <v>1155</v>
      </c>
      <c r="C2" s="714"/>
    </row>
    <row r="3" spans="2:17" ht="18.75" customHeight="1">
      <c r="B3" s="1053" t="s">
        <v>755</v>
      </c>
      <c r="C3" s="1053"/>
      <c r="D3" s="715" t="s">
        <v>589</v>
      </c>
      <c r="E3" s="715" t="s">
        <v>756</v>
      </c>
      <c r="F3" s="715" t="s">
        <v>757</v>
      </c>
      <c r="G3" s="715" t="s">
        <v>758</v>
      </c>
      <c r="H3" s="715" t="s">
        <v>759</v>
      </c>
      <c r="I3" s="1053" t="s">
        <v>760</v>
      </c>
      <c r="J3" s="1053"/>
    </row>
    <row r="4" spans="2:17" ht="18.75" customHeight="1">
      <c r="B4" s="1056" t="s">
        <v>574</v>
      </c>
      <c r="C4" s="1056"/>
      <c r="D4" s="716">
        <f>'1.2.1수학적인구 추정(전체)-10년치'!B15</f>
        <v>83739</v>
      </c>
      <c r="E4" s="716">
        <f>'1.2.1수학적인구 추정(전체)-10년치'!E20</f>
        <v>82797</v>
      </c>
      <c r="F4" s="716">
        <f>'1.2.1수학적인구 추정(전체)-10년치'!E25</f>
        <v>80479</v>
      </c>
      <c r="G4" s="716">
        <f>'1.2.1수학적인구 추정(전체)-10년치'!E30</f>
        <v>78227</v>
      </c>
      <c r="H4" s="716">
        <f>'1.2.1수학적인구 추정(전체)-10년치'!E35</f>
        <v>76040</v>
      </c>
      <c r="I4" s="1054"/>
      <c r="J4" s="1054"/>
    </row>
    <row r="5" spans="2:17" ht="18.75" hidden="1" customHeight="1" outlineLevel="1">
      <c r="B5" s="1057" t="s">
        <v>251</v>
      </c>
      <c r="C5" s="1057"/>
      <c r="D5" s="717"/>
      <c r="E5" s="717"/>
      <c r="F5" s="718"/>
      <c r="G5" s="718"/>
      <c r="H5" s="718"/>
      <c r="I5" s="1052"/>
      <c r="J5" s="1052"/>
    </row>
    <row r="6" spans="2:17" ht="18.75" hidden="1" customHeight="1" outlineLevel="1">
      <c r="B6" s="1055" t="s">
        <v>252</v>
      </c>
      <c r="C6" s="1055"/>
      <c r="D6" s="719"/>
      <c r="E6" s="719"/>
      <c r="F6" s="718"/>
      <c r="G6" s="718"/>
      <c r="H6" s="718"/>
      <c r="I6" s="1052"/>
      <c r="J6" s="1052"/>
      <c r="N6" s="440"/>
      <c r="O6" s="440"/>
      <c r="P6" s="440"/>
      <c r="Q6" s="440"/>
    </row>
    <row r="7" spans="2:17" ht="18.75" hidden="1" customHeight="1" outlineLevel="1">
      <c r="B7" s="1055" t="s">
        <v>253</v>
      </c>
      <c r="C7" s="1055"/>
      <c r="D7" s="719"/>
      <c r="E7" s="719"/>
      <c r="F7" s="718"/>
      <c r="G7" s="718"/>
      <c r="H7" s="718"/>
      <c r="I7" s="1052"/>
      <c r="J7" s="1052"/>
      <c r="N7" s="440"/>
      <c r="O7" s="440"/>
      <c r="P7" s="440"/>
      <c r="Q7" s="440"/>
    </row>
    <row r="8" spans="2:17" ht="18.75" hidden="1" customHeight="1" outlineLevel="1">
      <c r="B8" s="1055" t="s">
        <v>254</v>
      </c>
      <c r="C8" s="1055"/>
      <c r="D8" s="719"/>
      <c r="E8" s="719"/>
      <c r="F8" s="718"/>
      <c r="G8" s="718"/>
      <c r="H8" s="718"/>
      <c r="I8" s="1052"/>
      <c r="J8" s="1052"/>
      <c r="N8" s="440"/>
      <c r="O8" s="440"/>
      <c r="P8" s="440"/>
      <c r="Q8" s="440"/>
    </row>
    <row r="9" spans="2:17" ht="18.75" hidden="1" customHeight="1" outlineLevel="1">
      <c r="B9" s="1055" t="s">
        <v>255</v>
      </c>
      <c r="C9" s="1055"/>
      <c r="D9" s="719"/>
      <c r="E9" s="719"/>
      <c r="F9" s="718"/>
      <c r="G9" s="718"/>
      <c r="H9" s="718"/>
      <c r="I9" s="1052"/>
      <c r="J9" s="1052"/>
      <c r="N9" s="440"/>
      <c r="O9" s="440"/>
      <c r="P9" s="440"/>
      <c r="Q9" s="440"/>
    </row>
    <row r="10" spans="2:17" ht="18.75" hidden="1" customHeight="1" outlineLevel="1">
      <c r="B10" s="1058" t="s">
        <v>256</v>
      </c>
      <c r="C10" s="1058"/>
      <c r="D10" s="720"/>
      <c r="E10" s="720"/>
      <c r="F10" s="718"/>
      <c r="G10" s="718"/>
      <c r="H10" s="718"/>
      <c r="I10" s="1052"/>
      <c r="J10" s="1052"/>
      <c r="N10" s="440"/>
      <c r="O10" s="440"/>
      <c r="P10" s="440"/>
      <c r="Q10" s="440"/>
    </row>
    <row r="11" spans="2:17" ht="18.75" hidden="1" customHeight="1" outlineLevel="1">
      <c r="B11" s="1058" t="s">
        <v>257</v>
      </c>
      <c r="C11" s="1058"/>
      <c r="D11" s="720"/>
      <c r="E11" s="720"/>
      <c r="F11" s="718"/>
      <c r="G11" s="718"/>
      <c r="H11" s="718"/>
      <c r="I11" s="1052"/>
      <c r="J11" s="1052"/>
      <c r="N11" s="440"/>
      <c r="O11" s="440"/>
      <c r="P11" s="440"/>
      <c r="Q11" s="440"/>
    </row>
    <row r="12" spans="2:17" ht="18.75" hidden="1" customHeight="1" outlineLevel="1">
      <c r="B12" s="1058" t="s">
        <v>258</v>
      </c>
      <c r="C12" s="1058"/>
      <c r="D12" s="720"/>
      <c r="E12" s="720"/>
      <c r="F12" s="718"/>
      <c r="G12" s="718"/>
      <c r="H12" s="718"/>
      <c r="I12" s="1052"/>
      <c r="J12" s="1052"/>
      <c r="N12" s="440"/>
      <c r="O12" s="440"/>
      <c r="P12" s="440"/>
      <c r="Q12" s="440"/>
    </row>
    <row r="13" spans="2:17" ht="18.75" hidden="1" customHeight="1" outlineLevel="1">
      <c r="B13" s="1055" t="s">
        <v>259</v>
      </c>
      <c r="C13" s="1055"/>
      <c r="D13" s="719"/>
      <c r="E13" s="719"/>
      <c r="F13" s="718"/>
      <c r="G13" s="718"/>
      <c r="H13" s="718"/>
      <c r="I13" s="1052"/>
      <c r="J13" s="1052"/>
      <c r="N13" s="440"/>
      <c r="O13" s="440"/>
      <c r="P13" s="440"/>
      <c r="Q13" s="440"/>
    </row>
    <row r="14" spans="2:17" ht="18.75" hidden="1" customHeight="1" outlineLevel="1">
      <c r="B14" s="1055" t="s">
        <v>260</v>
      </c>
      <c r="C14" s="1055"/>
      <c r="D14" s="719"/>
      <c r="E14" s="719"/>
      <c r="F14" s="718"/>
      <c r="G14" s="718"/>
      <c r="H14" s="718"/>
      <c r="I14" s="1052"/>
      <c r="J14" s="1052"/>
      <c r="N14" s="440"/>
      <c r="O14" s="440"/>
      <c r="P14" s="440"/>
      <c r="Q14" s="440"/>
    </row>
    <row r="15" spans="2:17" ht="18.75" hidden="1" customHeight="1" outlineLevel="1">
      <c r="B15" s="1055" t="s">
        <v>261</v>
      </c>
      <c r="C15" s="1055"/>
      <c r="D15" s="719"/>
      <c r="E15" s="719"/>
      <c r="F15" s="718"/>
      <c r="G15" s="718"/>
      <c r="H15" s="718"/>
      <c r="I15" s="1052"/>
      <c r="J15" s="1052"/>
      <c r="N15" s="440"/>
      <c r="O15" s="440"/>
      <c r="P15" s="721"/>
      <c r="Q15" s="440"/>
    </row>
    <row r="16" spans="2:17" ht="18.75" customHeight="1" collapsed="1">
      <c r="N16" s="440"/>
      <c r="O16" s="440"/>
      <c r="P16" s="722"/>
      <c r="Q16" s="440"/>
    </row>
    <row r="17" spans="2:17" ht="18.75" customHeight="1">
      <c r="B17" s="714" t="s">
        <v>1156</v>
      </c>
      <c r="C17" s="714"/>
      <c r="N17" s="440"/>
      <c r="O17" s="440"/>
      <c r="P17" s="722"/>
      <c r="Q17" s="440"/>
    </row>
    <row r="18" spans="2:17" ht="18.75" customHeight="1">
      <c r="B18" s="1053" t="s">
        <v>755</v>
      </c>
      <c r="C18" s="1053"/>
      <c r="D18" s="715" t="s">
        <v>589</v>
      </c>
      <c r="E18" s="715" t="s">
        <v>756</v>
      </c>
      <c r="F18" s="715" t="s">
        <v>757</v>
      </c>
      <c r="G18" s="715" t="s">
        <v>758</v>
      </c>
      <c r="H18" s="715" t="s">
        <v>759</v>
      </c>
      <c r="I18" s="1053" t="s">
        <v>760</v>
      </c>
      <c r="J18" s="1053"/>
      <c r="N18" s="440"/>
      <c r="O18" s="440"/>
      <c r="P18" s="722"/>
      <c r="Q18" s="440"/>
    </row>
    <row r="19" spans="2:17" ht="18.75" customHeight="1">
      <c r="B19" s="1056" t="s">
        <v>574</v>
      </c>
      <c r="C19" s="1056"/>
      <c r="D19" s="723">
        <f>SUM(D20:D30)</f>
        <v>83739</v>
      </c>
      <c r="E19" s="723">
        <f t="shared" ref="E19" si="0">SUM(E20:E30)</f>
        <v>83222</v>
      </c>
      <c r="F19" s="723">
        <f t="shared" ref="F19" si="1">SUM(F20:F30)</f>
        <v>83194</v>
      </c>
      <c r="G19" s="723">
        <f t="shared" ref="G19" si="2">SUM(G20:G30)</f>
        <v>82585</v>
      </c>
      <c r="H19" s="723">
        <f t="shared" ref="H19" si="3">SUM(H20:H30)</f>
        <v>81557</v>
      </c>
      <c r="I19" s="1054"/>
      <c r="J19" s="1054"/>
      <c r="N19" s="440"/>
      <c r="O19" s="440"/>
      <c r="P19" s="722"/>
      <c r="Q19" s="440"/>
    </row>
    <row r="20" spans="2:17" ht="18.75" customHeight="1">
      <c r="B20" s="1057" t="s">
        <v>251</v>
      </c>
      <c r="C20" s="1057"/>
      <c r="D20" s="724">
        <f>'1.2.2조성법'!B7</f>
        <v>42299</v>
      </c>
      <c r="E20" s="724">
        <f>'1.2.2조성법'!C7</f>
        <v>42038</v>
      </c>
      <c r="F20" s="724">
        <f>'1.2.2조성법'!D7</f>
        <v>42024</v>
      </c>
      <c r="G20" s="724">
        <f>'1.2.2조성법'!E7</f>
        <v>41716</v>
      </c>
      <c r="H20" s="724">
        <f>'1.2.2조성법'!F7</f>
        <v>41197</v>
      </c>
      <c r="I20" s="1052"/>
      <c r="J20" s="1052"/>
      <c r="N20" s="440"/>
      <c r="O20" s="440"/>
      <c r="P20" s="722"/>
      <c r="Q20" s="440"/>
    </row>
    <row r="21" spans="2:17" ht="18.75" customHeight="1">
      <c r="B21" s="1055" t="s">
        <v>252</v>
      </c>
      <c r="C21" s="1055"/>
      <c r="D21" s="724">
        <f>'1.2.2조성법'!B8</f>
        <v>10258</v>
      </c>
      <c r="E21" s="724">
        <f>'1.2.2조성법'!C8</f>
        <v>10195</v>
      </c>
      <c r="F21" s="724">
        <f>'1.2.2조성법'!D8</f>
        <v>10191</v>
      </c>
      <c r="G21" s="724">
        <f>'1.2.2조성법'!E8</f>
        <v>10117</v>
      </c>
      <c r="H21" s="724">
        <f>'1.2.2조성법'!F8</f>
        <v>9991</v>
      </c>
      <c r="I21" s="1052"/>
      <c r="J21" s="1052"/>
      <c r="N21" s="440"/>
      <c r="O21" s="440"/>
      <c r="P21" s="722"/>
      <c r="Q21" s="440"/>
    </row>
    <row r="22" spans="2:17" ht="18.75" customHeight="1">
      <c r="B22" s="1055" t="s">
        <v>253</v>
      </c>
      <c r="C22" s="1055"/>
      <c r="D22" s="724">
        <f>'1.2.2조성법'!B9</f>
        <v>4175</v>
      </c>
      <c r="E22" s="724">
        <f>'1.2.2조성법'!C9</f>
        <v>4149</v>
      </c>
      <c r="F22" s="724">
        <f>'1.2.2조성법'!D9</f>
        <v>4148</v>
      </c>
      <c r="G22" s="724">
        <f>'1.2.2조성법'!E9</f>
        <v>4117</v>
      </c>
      <c r="H22" s="724">
        <f>'1.2.2조성법'!F9</f>
        <v>4066</v>
      </c>
      <c r="I22" s="1052"/>
      <c r="J22" s="1052"/>
      <c r="N22" s="440"/>
      <c r="O22" s="440"/>
      <c r="P22" s="440"/>
      <c r="Q22" s="440"/>
    </row>
    <row r="23" spans="2:17" ht="18.75" customHeight="1">
      <c r="B23" s="1055" t="s">
        <v>254</v>
      </c>
      <c r="C23" s="1055"/>
      <c r="D23" s="724">
        <f>'1.2.2조성법'!B10</f>
        <v>3705</v>
      </c>
      <c r="E23" s="724">
        <f>'1.2.2조성법'!C10</f>
        <v>3682</v>
      </c>
      <c r="F23" s="724">
        <f>'1.2.2조성법'!D10</f>
        <v>3681</v>
      </c>
      <c r="G23" s="724">
        <f>'1.2.2조성법'!E10</f>
        <v>3654</v>
      </c>
      <c r="H23" s="724">
        <f>'1.2.2조성법'!F10</f>
        <v>3608</v>
      </c>
      <c r="I23" s="1052"/>
      <c r="J23" s="1052"/>
      <c r="N23" s="440"/>
      <c r="O23" s="440"/>
      <c r="P23" s="440"/>
      <c r="Q23" s="440"/>
    </row>
    <row r="24" spans="2:17" ht="18.75" customHeight="1">
      <c r="B24" s="1055" t="s">
        <v>255</v>
      </c>
      <c r="C24" s="1055"/>
      <c r="D24" s="724">
        <f>'1.2.2조성법'!B11</f>
        <v>3527</v>
      </c>
      <c r="E24" s="724">
        <f>'1.2.2조성법'!C11</f>
        <v>3505</v>
      </c>
      <c r="F24" s="724">
        <f>'1.2.2조성법'!D11</f>
        <v>3504</v>
      </c>
      <c r="G24" s="724">
        <f>'1.2.2조성법'!E11</f>
        <v>3478</v>
      </c>
      <c r="H24" s="724">
        <f>'1.2.2조성법'!F11</f>
        <v>3435</v>
      </c>
      <c r="I24" s="1052"/>
      <c r="J24" s="1052"/>
      <c r="N24" s="440"/>
      <c r="O24" s="440"/>
      <c r="P24" s="440"/>
      <c r="Q24" s="440"/>
    </row>
    <row r="25" spans="2:17" ht="18.75" customHeight="1">
      <c r="B25" s="1058" t="s">
        <v>256</v>
      </c>
      <c r="C25" s="1058"/>
      <c r="D25" s="724">
        <f>'1.2.2조성법'!B12</f>
        <v>3238</v>
      </c>
      <c r="E25" s="724">
        <f>'1.2.2조성법'!C12</f>
        <v>3218</v>
      </c>
      <c r="F25" s="724">
        <f>'1.2.2조성법'!D12</f>
        <v>3217</v>
      </c>
      <c r="G25" s="724">
        <f>'1.2.2조성법'!E12</f>
        <v>3193</v>
      </c>
      <c r="H25" s="724">
        <f>'1.2.2조성법'!F12</f>
        <v>3154</v>
      </c>
      <c r="I25" s="1052"/>
      <c r="J25" s="1052"/>
      <c r="N25" s="440"/>
      <c r="O25" s="440"/>
      <c r="P25" s="440"/>
      <c r="Q25" s="440"/>
    </row>
    <row r="26" spans="2:17" ht="18.75" customHeight="1">
      <c r="B26" s="1058" t="s">
        <v>257</v>
      </c>
      <c r="C26" s="1058"/>
      <c r="D26" s="724">
        <f>'1.2.2조성법'!B13</f>
        <v>2628</v>
      </c>
      <c r="E26" s="724">
        <f>'1.2.2조성법'!C13</f>
        <v>2612</v>
      </c>
      <c r="F26" s="724">
        <f>'1.2.2조성법'!D13</f>
        <v>2611</v>
      </c>
      <c r="G26" s="724">
        <f>'1.2.2조성법'!E13</f>
        <v>2592</v>
      </c>
      <c r="H26" s="724">
        <f>'1.2.2조성법'!F13</f>
        <v>2560</v>
      </c>
      <c r="I26" s="1052"/>
      <c r="J26" s="1052"/>
      <c r="N26" s="440"/>
      <c r="O26" s="440"/>
      <c r="P26" s="440"/>
      <c r="Q26" s="440"/>
    </row>
    <row r="27" spans="2:17" ht="18.75" customHeight="1">
      <c r="B27" s="1058" t="s">
        <v>258</v>
      </c>
      <c r="C27" s="1058"/>
      <c r="D27" s="724">
        <f>'1.2.2조성법'!B14</f>
        <v>2338</v>
      </c>
      <c r="E27" s="724">
        <f>'1.2.2조성법'!C14</f>
        <v>2324</v>
      </c>
      <c r="F27" s="724">
        <f>'1.2.2조성법'!D14</f>
        <v>2323</v>
      </c>
      <c r="G27" s="724">
        <f>'1.2.2조성법'!E14</f>
        <v>2306</v>
      </c>
      <c r="H27" s="724">
        <f>'1.2.2조성법'!F14</f>
        <v>2277</v>
      </c>
      <c r="I27" s="1052"/>
      <c r="J27" s="1052"/>
      <c r="N27" s="440"/>
      <c r="O27" s="440"/>
      <c r="P27" s="440"/>
      <c r="Q27" s="440"/>
    </row>
    <row r="28" spans="2:17" ht="18.75" customHeight="1">
      <c r="B28" s="1055" t="s">
        <v>259</v>
      </c>
      <c r="C28" s="1055"/>
      <c r="D28" s="724">
        <f>'1.2.2조성법'!B15</f>
        <v>3583</v>
      </c>
      <c r="E28" s="724">
        <f>'1.2.2조성법'!C15</f>
        <v>3561</v>
      </c>
      <c r="F28" s="724">
        <f>'1.2.2조성법'!D15</f>
        <v>3560</v>
      </c>
      <c r="G28" s="724">
        <f>'1.2.2조성법'!E15</f>
        <v>3534</v>
      </c>
      <c r="H28" s="724">
        <f>'1.2.2조성법'!F15</f>
        <v>3490</v>
      </c>
      <c r="I28" s="1052"/>
      <c r="J28" s="1052"/>
    </row>
    <row r="29" spans="2:17" ht="18.75" customHeight="1">
      <c r="B29" s="1055" t="s">
        <v>260</v>
      </c>
      <c r="C29" s="1055"/>
      <c r="D29" s="724">
        <f>'1.2.2조성법'!B16</f>
        <v>3872</v>
      </c>
      <c r="E29" s="724">
        <f>'1.2.2조성법'!C16</f>
        <v>3848</v>
      </c>
      <c r="F29" s="724">
        <f>'1.2.2조성법'!D16</f>
        <v>3847</v>
      </c>
      <c r="G29" s="724">
        <f>'1.2.2조성법'!E16</f>
        <v>3819</v>
      </c>
      <c r="H29" s="724">
        <f>'1.2.2조성법'!F16</f>
        <v>3771</v>
      </c>
      <c r="I29" s="1052"/>
      <c r="J29" s="1052"/>
    </row>
    <row r="30" spans="2:17" ht="18.75" customHeight="1">
      <c r="B30" s="1055" t="s">
        <v>261</v>
      </c>
      <c r="C30" s="1055"/>
      <c r="D30" s="724">
        <f>'1.2.2조성법'!B17</f>
        <v>4116</v>
      </c>
      <c r="E30" s="724">
        <f>'1.2.2조성법'!C17</f>
        <v>4090</v>
      </c>
      <c r="F30" s="724">
        <f>'1.2.2조성법'!D17</f>
        <v>4088</v>
      </c>
      <c r="G30" s="724">
        <f>'1.2.2조성법'!E17</f>
        <v>4059</v>
      </c>
      <c r="H30" s="724">
        <f>'1.2.2조성법'!F17</f>
        <v>4008</v>
      </c>
      <c r="I30" s="1052"/>
      <c r="J30" s="1052"/>
    </row>
    <row r="31" spans="2:17" ht="18.75" customHeight="1">
      <c r="B31" s="725"/>
      <c r="C31" s="725"/>
      <c r="D31" s="726"/>
      <c r="E31" s="726"/>
      <c r="F31" s="726"/>
      <c r="G31" s="726"/>
      <c r="H31" s="726"/>
      <c r="I31" s="485"/>
      <c r="J31" s="485"/>
    </row>
    <row r="32" spans="2:17" ht="18.75" customHeight="1">
      <c r="B32" s="714" t="s">
        <v>1157</v>
      </c>
      <c r="C32" s="714"/>
      <c r="L32" s="1064" t="s">
        <v>992</v>
      </c>
      <c r="M32" s="1065"/>
      <c r="N32" s="1068" t="s">
        <v>993</v>
      </c>
      <c r="O32" s="1069"/>
      <c r="P32" s="1070"/>
    </row>
    <row r="33" spans="2:16" ht="18.75" customHeight="1">
      <c r="B33" s="1053" t="s">
        <v>755</v>
      </c>
      <c r="C33" s="1053"/>
      <c r="D33" s="715" t="s">
        <v>589</v>
      </c>
      <c r="E33" s="715" t="s">
        <v>756</v>
      </c>
      <c r="F33" s="715" t="s">
        <v>757</v>
      </c>
      <c r="G33" s="715" t="s">
        <v>758</v>
      </c>
      <c r="H33" s="715" t="s">
        <v>759</v>
      </c>
      <c r="I33" s="1053" t="s">
        <v>760</v>
      </c>
      <c r="J33" s="1053"/>
      <c r="L33" s="1066"/>
      <c r="M33" s="1067"/>
      <c r="N33" s="711" t="s">
        <v>996</v>
      </c>
      <c r="O33" s="711" t="s">
        <v>994</v>
      </c>
      <c r="P33" s="711" t="s">
        <v>995</v>
      </c>
    </row>
    <row r="34" spans="2:16" ht="18.75" customHeight="1">
      <c r="B34" s="1056" t="s">
        <v>574</v>
      </c>
      <c r="C34" s="1056"/>
      <c r="D34" s="723">
        <f>SUM(D35:D45)</f>
        <v>85600</v>
      </c>
      <c r="E34" s="723">
        <f>SUM(E35:E45)</f>
        <v>85083</v>
      </c>
      <c r="F34" s="723">
        <f>SUM(F35:F45)</f>
        <v>85055</v>
      </c>
      <c r="G34" s="723">
        <f>SUM(G35:G45)</f>
        <v>84446</v>
      </c>
      <c r="H34" s="723">
        <f>SUM(H35:H45)</f>
        <v>83418</v>
      </c>
      <c r="I34" s="1071" t="s">
        <v>997</v>
      </c>
      <c r="J34" s="1072"/>
      <c r="L34" s="1077" t="s">
        <v>574</v>
      </c>
      <c r="M34" s="1077"/>
      <c r="N34" s="711">
        <f t="shared" ref="N34:N45" si="4">SUM(O34:P34)</f>
        <v>1861</v>
      </c>
      <c r="O34" s="711">
        <v>1226</v>
      </c>
      <c r="P34" s="711">
        <v>635</v>
      </c>
    </row>
    <row r="35" spans="2:16" ht="18.75" customHeight="1">
      <c r="B35" s="1057" t="s">
        <v>251</v>
      </c>
      <c r="C35" s="1057"/>
      <c r="D35" s="724">
        <f>D20+$N35</f>
        <v>42801</v>
      </c>
      <c r="E35" s="724">
        <f>E20+$N35</f>
        <v>42540</v>
      </c>
      <c r="F35" s="724">
        <f>F20+$N35</f>
        <v>42526</v>
      </c>
      <c r="G35" s="724">
        <f>G20+$N35</f>
        <v>42218</v>
      </c>
      <c r="H35" s="724">
        <f>H20+$N35</f>
        <v>41699</v>
      </c>
      <c r="I35" s="1073"/>
      <c r="J35" s="1074"/>
      <c r="L35" s="1078" t="s">
        <v>251</v>
      </c>
      <c r="M35" s="1078"/>
      <c r="N35" s="711">
        <f t="shared" si="4"/>
        <v>502</v>
      </c>
      <c r="O35" s="711">
        <v>227</v>
      </c>
      <c r="P35" s="711">
        <v>275</v>
      </c>
    </row>
    <row r="36" spans="2:16" ht="18.75" customHeight="1">
      <c r="B36" s="1055" t="s">
        <v>252</v>
      </c>
      <c r="C36" s="1055"/>
      <c r="D36" s="724">
        <f t="shared" ref="D36:E45" si="5">D21+$N36</f>
        <v>10551</v>
      </c>
      <c r="E36" s="724">
        <f t="shared" si="5"/>
        <v>10488</v>
      </c>
      <c r="F36" s="724">
        <f t="shared" ref="F36:H36" si="6">F21+$N36</f>
        <v>10484</v>
      </c>
      <c r="G36" s="724">
        <f t="shared" si="6"/>
        <v>10410</v>
      </c>
      <c r="H36" s="724">
        <f t="shared" si="6"/>
        <v>10284</v>
      </c>
      <c r="I36" s="1073"/>
      <c r="J36" s="1074"/>
      <c r="L36" s="1079" t="s">
        <v>252</v>
      </c>
      <c r="M36" s="1079"/>
      <c r="N36" s="711">
        <f t="shared" si="4"/>
        <v>293</v>
      </c>
      <c r="O36" s="711">
        <v>205</v>
      </c>
      <c r="P36" s="711">
        <v>88</v>
      </c>
    </row>
    <row r="37" spans="2:16" ht="18.75" customHeight="1">
      <c r="B37" s="1055" t="s">
        <v>253</v>
      </c>
      <c r="C37" s="1055"/>
      <c r="D37" s="724">
        <f t="shared" si="5"/>
        <v>4323</v>
      </c>
      <c r="E37" s="724">
        <f t="shared" si="5"/>
        <v>4297</v>
      </c>
      <c r="F37" s="724">
        <f t="shared" ref="F37:H37" si="7">F22+$N37</f>
        <v>4296</v>
      </c>
      <c r="G37" s="724">
        <f t="shared" si="7"/>
        <v>4265</v>
      </c>
      <c r="H37" s="724">
        <f t="shared" si="7"/>
        <v>4214</v>
      </c>
      <c r="I37" s="1073"/>
      <c r="J37" s="1074"/>
      <c r="L37" s="1079" t="s">
        <v>253</v>
      </c>
      <c r="M37" s="1079"/>
      <c r="N37" s="711">
        <f t="shared" si="4"/>
        <v>148</v>
      </c>
      <c r="O37" s="711">
        <v>97</v>
      </c>
      <c r="P37" s="711">
        <v>51</v>
      </c>
    </row>
    <row r="38" spans="2:16" ht="18.75" customHeight="1">
      <c r="B38" s="1055" t="s">
        <v>254</v>
      </c>
      <c r="C38" s="1055"/>
      <c r="D38" s="724">
        <f t="shared" si="5"/>
        <v>3816</v>
      </c>
      <c r="E38" s="724">
        <f t="shared" si="5"/>
        <v>3793</v>
      </c>
      <c r="F38" s="724">
        <f t="shared" ref="F38:H38" si="8">F23+$N38</f>
        <v>3792</v>
      </c>
      <c r="G38" s="724">
        <f t="shared" si="8"/>
        <v>3765</v>
      </c>
      <c r="H38" s="724">
        <f t="shared" si="8"/>
        <v>3719</v>
      </c>
      <c r="I38" s="1073"/>
      <c r="J38" s="1074"/>
      <c r="L38" s="1079" t="s">
        <v>254</v>
      </c>
      <c r="M38" s="1079"/>
      <c r="N38" s="711">
        <f t="shared" si="4"/>
        <v>111</v>
      </c>
      <c r="O38" s="727">
        <v>74</v>
      </c>
      <c r="P38" s="711">
        <v>37</v>
      </c>
    </row>
    <row r="39" spans="2:16" ht="18.75" customHeight="1">
      <c r="B39" s="1055" t="s">
        <v>255</v>
      </c>
      <c r="C39" s="1055"/>
      <c r="D39" s="724">
        <f t="shared" si="5"/>
        <v>3575</v>
      </c>
      <c r="E39" s="724">
        <f t="shared" si="5"/>
        <v>3553</v>
      </c>
      <c r="F39" s="724">
        <f t="shared" ref="F39:H39" si="9">F24+$N39</f>
        <v>3552</v>
      </c>
      <c r="G39" s="724">
        <f t="shared" si="9"/>
        <v>3526</v>
      </c>
      <c r="H39" s="724">
        <f t="shared" si="9"/>
        <v>3483</v>
      </c>
      <c r="I39" s="1073"/>
      <c r="J39" s="1074"/>
      <c r="L39" s="1079" t="s">
        <v>255</v>
      </c>
      <c r="M39" s="1079"/>
      <c r="N39" s="711">
        <f t="shared" si="4"/>
        <v>48</v>
      </c>
      <c r="O39" s="711">
        <v>30</v>
      </c>
      <c r="P39" s="711">
        <v>18</v>
      </c>
    </row>
    <row r="40" spans="2:16" ht="18.75" customHeight="1">
      <c r="B40" s="1058" t="s">
        <v>256</v>
      </c>
      <c r="C40" s="1058"/>
      <c r="D40" s="724">
        <f t="shared" si="5"/>
        <v>3350</v>
      </c>
      <c r="E40" s="724">
        <f t="shared" si="5"/>
        <v>3330</v>
      </c>
      <c r="F40" s="724">
        <f t="shared" ref="F40:H40" si="10">F25+$N40</f>
        <v>3329</v>
      </c>
      <c r="G40" s="724">
        <f t="shared" si="10"/>
        <v>3305</v>
      </c>
      <c r="H40" s="724">
        <f t="shared" si="10"/>
        <v>3266</v>
      </c>
      <c r="I40" s="1073"/>
      <c r="J40" s="1074"/>
      <c r="L40" s="1080" t="s">
        <v>256</v>
      </c>
      <c r="M40" s="1080"/>
      <c r="N40" s="711">
        <f t="shared" si="4"/>
        <v>112</v>
      </c>
      <c r="O40" s="711">
        <v>69</v>
      </c>
      <c r="P40" s="711">
        <v>43</v>
      </c>
    </row>
    <row r="41" spans="2:16" ht="18.75" customHeight="1">
      <c r="B41" s="1058" t="s">
        <v>257</v>
      </c>
      <c r="C41" s="1058"/>
      <c r="D41" s="724">
        <f t="shared" si="5"/>
        <v>2793</v>
      </c>
      <c r="E41" s="724">
        <f t="shared" si="5"/>
        <v>2777</v>
      </c>
      <c r="F41" s="724">
        <f t="shared" ref="F41:H41" si="11">F26+$N41</f>
        <v>2776</v>
      </c>
      <c r="G41" s="724">
        <f t="shared" si="11"/>
        <v>2757</v>
      </c>
      <c r="H41" s="724">
        <f t="shared" si="11"/>
        <v>2725</v>
      </c>
      <c r="I41" s="1073"/>
      <c r="J41" s="1074"/>
      <c r="L41" s="1080" t="s">
        <v>257</v>
      </c>
      <c r="M41" s="1080"/>
      <c r="N41" s="711">
        <f t="shared" si="4"/>
        <v>165</v>
      </c>
      <c r="O41" s="711">
        <v>137</v>
      </c>
      <c r="P41" s="711">
        <v>28</v>
      </c>
    </row>
    <row r="42" spans="2:16" ht="18.75" customHeight="1">
      <c r="B42" s="1058" t="s">
        <v>258</v>
      </c>
      <c r="C42" s="1058"/>
      <c r="D42" s="724">
        <f t="shared" si="5"/>
        <v>2441</v>
      </c>
      <c r="E42" s="724">
        <f t="shared" si="5"/>
        <v>2427</v>
      </c>
      <c r="F42" s="724">
        <f t="shared" ref="F42:H42" si="12">F27+$N42</f>
        <v>2426</v>
      </c>
      <c r="G42" s="724">
        <f t="shared" si="12"/>
        <v>2409</v>
      </c>
      <c r="H42" s="724">
        <f t="shared" si="12"/>
        <v>2380</v>
      </c>
      <c r="I42" s="1073"/>
      <c r="J42" s="1074"/>
      <c r="L42" s="1080" t="s">
        <v>258</v>
      </c>
      <c r="M42" s="1080"/>
      <c r="N42" s="711">
        <f t="shared" si="4"/>
        <v>103</v>
      </c>
      <c r="O42" s="711">
        <v>86</v>
      </c>
      <c r="P42" s="711">
        <v>17</v>
      </c>
    </row>
    <row r="43" spans="2:16" ht="18.75" customHeight="1">
      <c r="B43" s="1055" t="s">
        <v>259</v>
      </c>
      <c r="C43" s="1055"/>
      <c r="D43" s="724">
        <f t="shared" si="5"/>
        <v>3628</v>
      </c>
      <c r="E43" s="724">
        <f t="shared" si="5"/>
        <v>3606</v>
      </c>
      <c r="F43" s="724">
        <f t="shared" ref="F43:H43" si="13">F28+$N43</f>
        <v>3605</v>
      </c>
      <c r="G43" s="724">
        <f t="shared" si="13"/>
        <v>3579</v>
      </c>
      <c r="H43" s="724">
        <f t="shared" si="13"/>
        <v>3535</v>
      </c>
      <c r="I43" s="1073"/>
      <c r="J43" s="1074"/>
      <c r="L43" s="1079" t="s">
        <v>259</v>
      </c>
      <c r="M43" s="1079"/>
      <c r="N43" s="711">
        <f t="shared" si="4"/>
        <v>45</v>
      </c>
      <c r="O43" s="711">
        <v>26</v>
      </c>
      <c r="P43" s="711">
        <v>19</v>
      </c>
    </row>
    <row r="44" spans="2:16" ht="18.75" customHeight="1">
      <c r="B44" s="1055" t="s">
        <v>260</v>
      </c>
      <c r="C44" s="1055"/>
      <c r="D44" s="724">
        <f t="shared" si="5"/>
        <v>4033</v>
      </c>
      <c r="E44" s="724">
        <f t="shared" si="5"/>
        <v>4009</v>
      </c>
      <c r="F44" s="724">
        <f t="shared" ref="F44:H44" si="14">F29+$N44</f>
        <v>4008</v>
      </c>
      <c r="G44" s="724">
        <f t="shared" si="14"/>
        <v>3980</v>
      </c>
      <c r="H44" s="724">
        <f t="shared" si="14"/>
        <v>3932</v>
      </c>
      <c r="I44" s="1073"/>
      <c r="J44" s="1074"/>
      <c r="L44" s="1079" t="s">
        <v>260</v>
      </c>
      <c r="M44" s="1079"/>
      <c r="N44" s="711">
        <f t="shared" si="4"/>
        <v>161</v>
      </c>
      <c r="O44" s="711">
        <v>136</v>
      </c>
      <c r="P44" s="711">
        <v>25</v>
      </c>
    </row>
    <row r="45" spans="2:16" ht="18.75" customHeight="1">
      <c r="B45" s="1055" t="s">
        <v>261</v>
      </c>
      <c r="C45" s="1055"/>
      <c r="D45" s="724">
        <f t="shared" si="5"/>
        <v>4289</v>
      </c>
      <c r="E45" s="724">
        <f t="shared" si="5"/>
        <v>4263</v>
      </c>
      <c r="F45" s="724">
        <f t="shared" ref="F45:H45" si="15">F30+$N45</f>
        <v>4261</v>
      </c>
      <c r="G45" s="724">
        <f t="shared" si="15"/>
        <v>4232</v>
      </c>
      <c r="H45" s="724">
        <f t="shared" si="15"/>
        <v>4181</v>
      </c>
      <c r="I45" s="1075"/>
      <c r="J45" s="1076"/>
      <c r="L45" s="1079" t="s">
        <v>261</v>
      </c>
      <c r="M45" s="1079"/>
      <c r="N45" s="711">
        <f t="shared" si="4"/>
        <v>173</v>
      </c>
      <c r="O45" s="711">
        <v>139</v>
      </c>
      <c r="P45" s="711">
        <v>34</v>
      </c>
    </row>
    <row r="46" spans="2:16" ht="18.75" customHeight="1">
      <c r="B46" s="725"/>
      <c r="C46" s="725"/>
      <c r="D46" s="726"/>
      <c r="E46" s="726"/>
      <c r="F46" s="726"/>
      <c r="G46" s="726"/>
      <c r="H46" s="726"/>
      <c r="I46" s="485"/>
      <c r="J46" s="485"/>
    </row>
    <row r="47" spans="2:16" ht="18.75" customHeight="1">
      <c r="B47" s="728" t="s">
        <v>1136</v>
      </c>
      <c r="C47" s="728"/>
      <c r="J47" s="485"/>
    </row>
    <row r="48" spans="2:16" ht="18.75" customHeight="1">
      <c r="B48" s="1059" t="s">
        <v>926</v>
      </c>
      <c r="C48" s="1059"/>
      <c r="D48" s="868" t="s">
        <v>587</v>
      </c>
      <c r="E48" s="868" t="s">
        <v>756</v>
      </c>
      <c r="F48" s="868" t="s">
        <v>757</v>
      </c>
      <c r="G48" s="868" t="s">
        <v>758</v>
      </c>
      <c r="H48" s="868" t="s">
        <v>759</v>
      </c>
      <c r="I48" s="1030" t="s">
        <v>971</v>
      </c>
      <c r="J48" s="1030"/>
    </row>
    <row r="49" spans="2:10" ht="18.75" customHeight="1">
      <c r="B49" s="1015" t="s">
        <v>929</v>
      </c>
      <c r="C49" s="1015"/>
      <c r="D49" s="869"/>
      <c r="E49" s="869">
        <f t="shared" ref="E49:G49" si="16">SUM(E50:E54)</f>
        <v>3529</v>
      </c>
      <c r="F49" s="869">
        <f t="shared" si="16"/>
        <v>3529</v>
      </c>
      <c r="G49" s="869">
        <f t="shared" si="16"/>
        <v>3529</v>
      </c>
      <c r="H49" s="869">
        <f>SUM(H50:H54)</f>
        <v>3529</v>
      </c>
      <c r="I49" s="1060"/>
      <c r="J49" s="1060"/>
    </row>
    <row r="50" spans="2:10" ht="18.75" customHeight="1">
      <c r="B50" s="1012" t="s">
        <v>1015</v>
      </c>
      <c r="C50" s="1012"/>
      <c r="D50" s="870"/>
      <c r="E50" s="871">
        <f>'1.2.1 사회적인구 계획'!H4</f>
        <v>858</v>
      </c>
      <c r="F50" s="871">
        <f>E50</f>
        <v>858</v>
      </c>
      <c r="G50" s="871">
        <f t="shared" ref="G50:H50" si="17">F50</f>
        <v>858</v>
      </c>
      <c r="H50" s="871">
        <f t="shared" si="17"/>
        <v>858</v>
      </c>
      <c r="I50" s="1061"/>
      <c r="J50" s="1061"/>
    </row>
    <row r="51" spans="2:10" ht="18.75" customHeight="1">
      <c r="B51" s="1012" t="s">
        <v>1004</v>
      </c>
      <c r="C51" s="1012"/>
      <c r="D51" s="870"/>
      <c r="E51" s="876">
        <f>'1.2.1 사회적인구 계획'!H5</f>
        <v>0</v>
      </c>
      <c r="F51" s="876">
        <f>E51</f>
        <v>0</v>
      </c>
      <c r="G51" s="876">
        <f t="shared" ref="G51" si="18">F51</f>
        <v>0</v>
      </c>
      <c r="H51" s="876">
        <f t="shared" ref="H51" si="19">G51</f>
        <v>0</v>
      </c>
      <c r="I51" s="1061"/>
      <c r="J51" s="1061"/>
    </row>
    <row r="52" spans="2:10" ht="18.75" customHeight="1">
      <c r="B52" s="1012" t="s">
        <v>1005</v>
      </c>
      <c r="C52" s="1012"/>
      <c r="D52" s="870"/>
      <c r="E52" s="871">
        <f>'1.2.1 사회적인구 계획'!H6</f>
        <v>2315</v>
      </c>
      <c r="F52" s="871">
        <f t="shared" ref="F52:H52" si="20">E52</f>
        <v>2315</v>
      </c>
      <c r="G52" s="871">
        <f t="shared" si="20"/>
        <v>2315</v>
      </c>
      <c r="H52" s="871">
        <f t="shared" si="20"/>
        <v>2315</v>
      </c>
      <c r="I52" s="1061"/>
      <c r="J52" s="1061"/>
    </row>
    <row r="53" spans="2:10" ht="18.75" customHeight="1">
      <c r="B53" s="1012" t="s">
        <v>1006</v>
      </c>
      <c r="C53" s="1012"/>
      <c r="D53" s="870"/>
      <c r="E53" s="871">
        <f>'1.2.1 사회적인구 계획'!H7</f>
        <v>279</v>
      </c>
      <c r="F53" s="871">
        <f t="shared" ref="F53:H54" si="21">E53</f>
        <v>279</v>
      </c>
      <c r="G53" s="871">
        <f t="shared" si="21"/>
        <v>279</v>
      </c>
      <c r="H53" s="871">
        <f t="shared" si="21"/>
        <v>279</v>
      </c>
      <c r="I53" s="1061"/>
      <c r="J53" s="1061"/>
    </row>
    <row r="54" spans="2:10" ht="18.75" customHeight="1">
      <c r="B54" s="1012" t="s">
        <v>1168</v>
      </c>
      <c r="C54" s="1012"/>
      <c r="D54" s="870"/>
      <c r="E54" s="871">
        <f>'1.2.1 사회적인구 계획'!H8</f>
        <v>77</v>
      </c>
      <c r="F54" s="871">
        <f t="shared" si="21"/>
        <v>77</v>
      </c>
      <c r="G54" s="871">
        <f t="shared" si="21"/>
        <v>77</v>
      </c>
      <c r="H54" s="871">
        <f t="shared" si="21"/>
        <v>77</v>
      </c>
      <c r="I54" s="1062"/>
      <c r="J54" s="1063"/>
    </row>
    <row r="55" spans="2:10" ht="18.75" customHeight="1">
      <c r="B55" s="837" t="s">
        <v>1125</v>
      </c>
      <c r="J55" s="729"/>
    </row>
    <row r="56" spans="2:10" ht="18.75" customHeight="1">
      <c r="J56" s="729"/>
    </row>
    <row r="57" spans="2:10" ht="18.75" customHeight="1">
      <c r="B57" s="728" t="s">
        <v>1158</v>
      </c>
      <c r="C57" s="728"/>
      <c r="J57" s="485"/>
    </row>
    <row r="58" spans="2:10" ht="18.75" customHeight="1">
      <c r="B58" s="1053" t="s">
        <v>964</v>
      </c>
      <c r="C58" s="1053"/>
      <c r="D58" s="715" t="s">
        <v>587</v>
      </c>
      <c r="E58" s="715" t="s">
        <v>756</v>
      </c>
      <c r="F58" s="715" t="s">
        <v>757</v>
      </c>
      <c r="G58" s="715" t="s">
        <v>758</v>
      </c>
      <c r="H58" s="715" t="s">
        <v>759</v>
      </c>
      <c r="I58" s="1053" t="s">
        <v>971</v>
      </c>
      <c r="J58" s="1053"/>
    </row>
    <row r="59" spans="2:10" ht="29.25" customHeight="1">
      <c r="B59" s="1038" t="s">
        <v>977</v>
      </c>
      <c r="C59" s="1039"/>
      <c r="D59" s="438"/>
      <c r="E59" s="730" t="s">
        <v>985</v>
      </c>
      <c r="F59" s="718" t="s">
        <v>983</v>
      </c>
      <c r="G59" s="718" t="s">
        <v>983</v>
      </c>
      <c r="H59" s="718" t="s">
        <v>983</v>
      </c>
      <c r="I59" s="1045" t="s">
        <v>980</v>
      </c>
      <c r="J59" s="1046"/>
    </row>
    <row r="60" spans="2:10" ht="29.25" customHeight="1">
      <c r="B60" s="1038" t="s">
        <v>978</v>
      </c>
      <c r="C60" s="1039"/>
      <c r="D60" s="438"/>
      <c r="E60" s="731" t="s">
        <v>984</v>
      </c>
      <c r="F60" s="731" t="s">
        <v>987</v>
      </c>
      <c r="G60" s="718" t="s">
        <v>983</v>
      </c>
      <c r="H60" s="718" t="s">
        <v>983</v>
      </c>
      <c r="I60" s="1047" t="s">
        <v>981</v>
      </c>
      <c r="J60" s="1048"/>
    </row>
    <row r="61" spans="2:10" ht="29.25" customHeight="1">
      <c r="B61" s="1038" t="s">
        <v>979</v>
      </c>
      <c r="C61" s="1039"/>
      <c r="D61" s="438"/>
      <c r="E61" s="731" t="s">
        <v>986</v>
      </c>
      <c r="F61" s="731" t="s">
        <v>988</v>
      </c>
      <c r="G61" s="718" t="s">
        <v>983</v>
      </c>
      <c r="H61" s="718" t="s">
        <v>983</v>
      </c>
      <c r="I61" s="1047" t="s">
        <v>982</v>
      </c>
      <c r="J61" s="1048"/>
    </row>
    <row r="62" spans="2:10" ht="18.75" customHeight="1">
      <c r="B62" s="732" t="s">
        <v>1126</v>
      </c>
      <c r="C62" s="485"/>
      <c r="D62" s="485"/>
      <c r="E62" s="733"/>
      <c r="F62" s="733"/>
      <c r="G62" s="733"/>
      <c r="H62" s="733"/>
      <c r="I62" s="733"/>
      <c r="J62" s="733"/>
    </row>
    <row r="63" spans="2:10" ht="18.75" customHeight="1">
      <c r="B63" s="732"/>
      <c r="C63" s="485"/>
      <c r="D63" s="485"/>
      <c r="E63" s="733"/>
      <c r="F63" s="733"/>
      <c r="G63" s="733"/>
      <c r="H63" s="733"/>
      <c r="I63" s="733"/>
      <c r="J63" s="733"/>
    </row>
    <row r="64" spans="2:10" ht="18.75" customHeight="1">
      <c r="B64" s="728" t="s">
        <v>1159</v>
      </c>
      <c r="C64" s="728"/>
      <c r="J64" s="485"/>
    </row>
    <row r="65" spans="2:21" ht="18.75" customHeight="1">
      <c r="B65" s="1030" t="s">
        <v>964</v>
      </c>
      <c r="C65" s="1030"/>
      <c r="D65" s="868" t="s">
        <v>587</v>
      </c>
      <c r="E65" s="868" t="s">
        <v>756</v>
      </c>
      <c r="F65" s="868" t="s">
        <v>757</v>
      </c>
      <c r="G65" s="868" t="s">
        <v>758</v>
      </c>
      <c r="H65" s="868" t="s">
        <v>759</v>
      </c>
      <c r="I65" s="1030" t="s">
        <v>971</v>
      </c>
      <c r="J65" s="1030"/>
    </row>
    <row r="66" spans="2:21" ht="18.75" customHeight="1">
      <c r="B66" s="1037" t="s">
        <v>1082</v>
      </c>
      <c r="C66" s="873" t="s">
        <v>1079</v>
      </c>
      <c r="D66" s="871">
        <f>SUM(D67:D68)</f>
        <v>85600</v>
      </c>
      <c r="E66" s="871">
        <f t="shared" ref="E66:H66" si="22">SUM(E67:E68)</f>
        <v>88612</v>
      </c>
      <c r="F66" s="871">
        <f t="shared" si="22"/>
        <v>88584</v>
      </c>
      <c r="G66" s="871">
        <f t="shared" si="22"/>
        <v>87975</v>
      </c>
      <c r="H66" s="871">
        <f t="shared" si="22"/>
        <v>86947</v>
      </c>
      <c r="I66" s="1031" t="s">
        <v>989</v>
      </c>
      <c r="J66" s="1032"/>
    </row>
    <row r="67" spans="2:21" ht="18.75" customHeight="1">
      <c r="B67" s="1037"/>
      <c r="C67" s="873" t="s">
        <v>1080</v>
      </c>
      <c r="D67" s="871">
        <f>D34</f>
        <v>85600</v>
      </c>
      <c r="E67" s="871">
        <f t="shared" ref="E67:H67" si="23">E34</f>
        <v>85083</v>
      </c>
      <c r="F67" s="871">
        <f t="shared" si="23"/>
        <v>85055</v>
      </c>
      <c r="G67" s="871">
        <f t="shared" si="23"/>
        <v>84446</v>
      </c>
      <c r="H67" s="871">
        <f t="shared" si="23"/>
        <v>83418</v>
      </c>
      <c r="I67" s="1033"/>
      <c r="J67" s="1034"/>
    </row>
    <row r="68" spans="2:21" ht="18.75" customHeight="1">
      <c r="B68" s="1037"/>
      <c r="C68" s="873" t="s">
        <v>1081</v>
      </c>
      <c r="D68" s="876">
        <f>D49</f>
        <v>0</v>
      </c>
      <c r="E68" s="871">
        <f t="shared" ref="E68:H68" si="24">E49</f>
        <v>3529</v>
      </c>
      <c r="F68" s="871">
        <f t="shared" si="24"/>
        <v>3529</v>
      </c>
      <c r="G68" s="871">
        <f t="shared" si="24"/>
        <v>3529</v>
      </c>
      <c r="H68" s="871">
        <f t="shared" si="24"/>
        <v>3529</v>
      </c>
      <c r="I68" s="1033"/>
      <c r="J68" s="1034"/>
    </row>
    <row r="69" spans="2:21" ht="18.75" customHeight="1">
      <c r="B69" s="1037" t="s">
        <v>1175</v>
      </c>
      <c r="C69" s="1037"/>
      <c r="D69" s="874"/>
      <c r="E69" s="871">
        <f>[7]내포신도시인구계획!$E$27</f>
        <v>36500</v>
      </c>
      <c r="F69" s="871">
        <f>[7]내포신도시인구계획!$F$27</f>
        <v>58200</v>
      </c>
      <c r="G69" s="871">
        <f>[7]내포신도시인구계획!$G$27</f>
        <v>58200</v>
      </c>
      <c r="H69" s="871">
        <f>[7]내포신도시인구계획!$H$27</f>
        <v>58200</v>
      </c>
      <c r="I69" s="1034" t="s">
        <v>990</v>
      </c>
      <c r="J69" s="1034"/>
      <c r="K69" s="712" t="s">
        <v>1170</v>
      </c>
    </row>
    <row r="70" spans="2:21" ht="18.75" customHeight="1">
      <c r="B70" s="1037" t="s">
        <v>1171</v>
      </c>
      <c r="C70" s="1037"/>
      <c r="D70" s="875"/>
      <c r="E70" s="875">
        <v>75.900000000000006</v>
      </c>
      <c r="F70" s="875">
        <v>75.900000000000006</v>
      </c>
      <c r="G70" s="875">
        <v>75.900000000000006</v>
      </c>
      <c r="H70" s="875">
        <v>75.900000000000006</v>
      </c>
      <c r="I70" s="1034" t="s">
        <v>1172</v>
      </c>
      <c r="J70" s="1034"/>
      <c r="K70" s="861"/>
    </row>
    <row r="71" spans="2:21" s="734" customFormat="1" ht="18.75" customHeight="1">
      <c r="B71" s="1051" t="s">
        <v>1169</v>
      </c>
      <c r="C71" s="1051"/>
      <c r="D71" s="877"/>
      <c r="E71" s="878">
        <f>ROUNDUP(E69*E70/100,0)</f>
        <v>27704</v>
      </c>
      <c r="F71" s="878">
        <f>ROUNDUP(F69*F70/100,0)</f>
        <v>44174</v>
      </c>
      <c r="G71" s="878">
        <f>ROUNDUP(G69*G70/100,0)</f>
        <v>44174</v>
      </c>
      <c r="H71" s="878">
        <f>ROUNDUP(H69*H70/100,0)</f>
        <v>44174</v>
      </c>
      <c r="I71" s="1044" t="s">
        <v>1173</v>
      </c>
      <c r="J71" s="1044"/>
      <c r="K71" s="872">
        <v>0.75900000000000001</v>
      </c>
    </row>
    <row r="72" spans="2:21" ht="18.75" customHeight="1">
      <c r="B72" s="1038" t="s">
        <v>1177</v>
      </c>
      <c r="C72" s="1039"/>
      <c r="D72" s="838">
        <f>D69-D71</f>
        <v>0</v>
      </c>
      <c r="E72" s="838">
        <f>E69-E71</f>
        <v>8796</v>
      </c>
      <c r="F72" s="838">
        <f t="shared" ref="F72:H72" si="25">F69-F71</f>
        <v>14026</v>
      </c>
      <c r="G72" s="838">
        <f t="shared" si="25"/>
        <v>14026</v>
      </c>
      <c r="H72" s="838">
        <f t="shared" si="25"/>
        <v>14026</v>
      </c>
      <c r="I72" s="1042" t="s">
        <v>1174</v>
      </c>
      <c r="J72" s="1043"/>
    </row>
    <row r="73" spans="2:21" s="735" customFormat="1" ht="18.75" customHeight="1">
      <c r="B73" s="1049" t="s">
        <v>1176</v>
      </c>
      <c r="C73" s="1050"/>
      <c r="D73" s="839">
        <f>D66-D72</f>
        <v>85600</v>
      </c>
      <c r="E73" s="839">
        <f>E66-E72</f>
        <v>79816</v>
      </c>
      <c r="F73" s="839">
        <f>F66-F72</f>
        <v>74558</v>
      </c>
      <c r="G73" s="839">
        <f>G66-G72</f>
        <v>73949</v>
      </c>
      <c r="H73" s="839">
        <f>H66-H72</f>
        <v>72921</v>
      </c>
      <c r="I73" s="1040" t="s">
        <v>1178</v>
      </c>
      <c r="J73" s="1041"/>
    </row>
    <row r="74" spans="2:21" s="735" customFormat="1" ht="18.75" customHeight="1">
      <c r="B74" s="1028" t="s">
        <v>1083</v>
      </c>
      <c r="C74" s="1029"/>
      <c r="D74" s="840">
        <f>ROUNDUP(D73,-2)</f>
        <v>85600</v>
      </c>
      <c r="E74" s="840">
        <f>ROUNDUP(E73,-2)</f>
        <v>79900</v>
      </c>
      <c r="F74" s="840">
        <f>ROUND(F73,-2)</f>
        <v>74600</v>
      </c>
      <c r="G74" s="840">
        <f>ROUNDUP(G73,-2)</f>
        <v>74000</v>
      </c>
      <c r="H74" s="840">
        <f>ROUNDUP(H73,-2)</f>
        <v>73000</v>
      </c>
      <c r="I74" s="1035" t="s">
        <v>1235</v>
      </c>
      <c r="J74" s="1036"/>
    </row>
    <row r="75" spans="2:21" s="735" customFormat="1" ht="18.75" customHeight="1">
      <c r="B75" s="736"/>
      <c r="C75" s="736"/>
      <c r="D75" s="737"/>
      <c r="E75" s="737"/>
      <c r="F75" s="737"/>
      <c r="G75" s="737"/>
      <c r="H75" s="737"/>
      <c r="I75" s="737"/>
      <c r="J75" s="737"/>
    </row>
    <row r="76" spans="2:21" ht="18.75" customHeight="1">
      <c r="B76" s="738" t="s">
        <v>1160</v>
      </c>
      <c r="C76" s="437"/>
      <c r="D76" s="437"/>
      <c r="E76" s="439"/>
      <c r="F76" s="439"/>
      <c r="G76" s="439"/>
      <c r="H76" s="439"/>
      <c r="I76" s="439"/>
      <c r="J76" s="440"/>
      <c r="M76" s="864" t="s">
        <v>1236</v>
      </c>
    </row>
    <row r="77" spans="2:21" ht="18.75" customHeight="1">
      <c r="B77" s="484" t="s">
        <v>755</v>
      </c>
      <c r="C77" s="484"/>
      <c r="D77" s="484" t="s">
        <v>587</v>
      </c>
      <c r="E77" s="484" t="s">
        <v>756</v>
      </c>
      <c r="F77" s="484" t="s">
        <v>757</v>
      </c>
      <c r="G77" s="484" t="s">
        <v>758</v>
      </c>
      <c r="H77" s="484" t="s">
        <v>759</v>
      </c>
      <c r="I77" s="1084" t="s">
        <v>760</v>
      </c>
      <c r="J77" s="1084"/>
      <c r="K77" s="440"/>
      <c r="L77" s="440"/>
      <c r="M77" s="1081" t="s">
        <v>1003</v>
      </c>
      <c r="N77" s="1081"/>
      <c r="O77" s="459" t="s">
        <v>587</v>
      </c>
      <c r="P77" s="459" t="s">
        <v>756</v>
      </c>
      <c r="Q77" s="459" t="s">
        <v>757</v>
      </c>
      <c r="R77" s="459" t="s">
        <v>758</v>
      </c>
      <c r="S77" s="459" t="s">
        <v>759</v>
      </c>
      <c r="T77" s="747"/>
      <c r="U77" s="748"/>
    </row>
    <row r="78" spans="2:21" ht="18.75" customHeight="1">
      <c r="B78" s="1088" t="s">
        <v>574</v>
      </c>
      <c r="C78" s="739" t="s">
        <v>996</v>
      </c>
      <c r="D78" s="710">
        <f t="shared" ref="D78:E78" si="26">SUM(D79:D80)</f>
        <v>85600</v>
      </c>
      <c r="E78" s="710">
        <f t="shared" si="26"/>
        <v>79900</v>
      </c>
      <c r="F78" s="710">
        <f t="shared" ref="F78" si="27">SUM(F79:F80)</f>
        <v>74600</v>
      </c>
      <c r="G78" s="710">
        <f t="shared" ref="G78" si="28">SUM(G79:G80)</f>
        <v>74000</v>
      </c>
      <c r="H78" s="710">
        <f t="shared" ref="H78" si="29">SUM(H79:H80)</f>
        <v>73000</v>
      </c>
      <c r="I78" s="1079"/>
      <c r="J78" s="1079"/>
      <c r="K78" s="1091"/>
      <c r="L78" s="1091"/>
      <c r="M78" s="1089" t="s">
        <v>574</v>
      </c>
      <c r="N78" s="1089"/>
      <c r="O78" s="456">
        <f>D116</f>
        <v>85600</v>
      </c>
      <c r="P78" s="456">
        <f>E116</f>
        <v>76371</v>
      </c>
      <c r="Q78" s="456">
        <f>F116</f>
        <v>71071</v>
      </c>
      <c r="R78" s="456">
        <f>G116</f>
        <v>70471</v>
      </c>
      <c r="S78" s="456">
        <f>H116</f>
        <v>69471</v>
      </c>
      <c r="T78" s="749"/>
      <c r="U78" s="750"/>
    </row>
    <row r="79" spans="2:21" ht="18.75" customHeight="1">
      <c r="B79" s="1088"/>
      <c r="C79" s="487" t="s">
        <v>1001</v>
      </c>
      <c r="D79" s="711">
        <f t="shared" ref="D79:H80" si="30">D82+D85+D88+D91+D94+D97+D100+D103+D106+D109+D112</f>
        <v>85600</v>
      </c>
      <c r="E79" s="711">
        <f t="shared" si="30"/>
        <v>76371</v>
      </c>
      <c r="F79" s="711">
        <f t="shared" si="30"/>
        <v>71071</v>
      </c>
      <c r="G79" s="711">
        <f t="shared" si="30"/>
        <v>70471</v>
      </c>
      <c r="H79" s="711">
        <f t="shared" si="30"/>
        <v>69471</v>
      </c>
      <c r="I79" s="1079"/>
      <c r="J79" s="1079"/>
      <c r="K79" s="1086"/>
      <c r="L79" s="1086"/>
      <c r="M79" s="1082" t="s">
        <v>251</v>
      </c>
      <c r="N79" s="1082"/>
      <c r="O79" s="457">
        <f t="shared" ref="O79:O89" si="31">D35</f>
        <v>42801</v>
      </c>
      <c r="P79" s="457">
        <f>ROUND(($O79/$O$78)*P$78,0)</f>
        <v>38186</v>
      </c>
      <c r="Q79" s="457">
        <f t="shared" ref="P79:S88" si="32">ROUND(($O79/$O$78)*Q$78,0)</f>
        <v>35536</v>
      </c>
      <c r="R79" s="457">
        <f>ROUND(($O79/$O$78)*R$78,0)</f>
        <v>35236</v>
      </c>
      <c r="S79" s="457">
        <f t="shared" si="32"/>
        <v>34736</v>
      </c>
      <c r="T79" s="493"/>
      <c r="U79" s="493"/>
    </row>
    <row r="80" spans="2:21" ht="18.75" customHeight="1">
      <c r="B80" s="1088"/>
      <c r="C80" s="487" t="s">
        <v>1002</v>
      </c>
      <c r="D80" s="711">
        <f t="shared" si="30"/>
        <v>0</v>
      </c>
      <c r="E80" s="711">
        <f t="shared" si="30"/>
        <v>3529</v>
      </c>
      <c r="F80" s="711">
        <f t="shared" si="30"/>
        <v>3529</v>
      </c>
      <c r="G80" s="711">
        <f t="shared" si="30"/>
        <v>3529</v>
      </c>
      <c r="H80" s="711">
        <f t="shared" si="30"/>
        <v>3529</v>
      </c>
      <c r="I80" s="1079"/>
      <c r="J80" s="1079"/>
      <c r="K80" s="1087"/>
      <c r="L80" s="1087"/>
      <c r="M80" s="1083" t="s">
        <v>252</v>
      </c>
      <c r="N80" s="1083"/>
      <c r="O80" s="457">
        <f t="shared" si="31"/>
        <v>10551</v>
      </c>
      <c r="P80" s="457">
        <f t="shared" si="32"/>
        <v>9413</v>
      </c>
      <c r="Q80" s="457">
        <f t="shared" si="32"/>
        <v>8760</v>
      </c>
      <c r="R80" s="457">
        <f t="shared" si="32"/>
        <v>8686</v>
      </c>
      <c r="S80" s="457">
        <f t="shared" si="32"/>
        <v>8563</v>
      </c>
      <c r="T80" s="751"/>
      <c r="U80" s="752"/>
    </row>
    <row r="81" spans="2:21" ht="18.75" customHeight="1">
      <c r="B81" s="1088" t="s">
        <v>773</v>
      </c>
      <c r="C81" s="739" t="s">
        <v>996</v>
      </c>
      <c r="D81" s="710">
        <f>SUM(D82:D83)</f>
        <v>42801</v>
      </c>
      <c r="E81" s="710">
        <f t="shared" ref="E81:H81" si="33">SUM(E82:E83)</f>
        <v>39980</v>
      </c>
      <c r="F81" s="710">
        <f t="shared" si="33"/>
        <v>36987</v>
      </c>
      <c r="G81" s="710">
        <f t="shared" si="33"/>
        <v>38112</v>
      </c>
      <c r="H81" s="710">
        <f t="shared" si="33"/>
        <v>38265</v>
      </c>
      <c r="I81" s="1079"/>
      <c r="J81" s="1079"/>
      <c r="K81" s="1087"/>
      <c r="L81" s="1087"/>
      <c r="M81" s="1083" t="s">
        <v>253</v>
      </c>
      <c r="N81" s="1083"/>
      <c r="O81" s="457">
        <f t="shared" si="31"/>
        <v>4323</v>
      </c>
      <c r="P81" s="457">
        <f t="shared" si="32"/>
        <v>3857</v>
      </c>
      <c r="Q81" s="457">
        <f t="shared" si="32"/>
        <v>3589</v>
      </c>
      <c r="R81" s="457">
        <f t="shared" si="32"/>
        <v>3559</v>
      </c>
      <c r="S81" s="457">
        <f t="shared" si="32"/>
        <v>3508</v>
      </c>
      <c r="T81" s="494"/>
      <c r="U81" s="494"/>
    </row>
    <row r="82" spans="2:21" ht="18.75" customHeight="1">
      <c r="B82" s="1088"/>
      <c r="C82" s="487" t="s">
        <v>1001</v>
      </c>
      <c r="D82" s="711">
        <f>O79</f>
        <v>42801</v>
      </c>
      <c r="E82" s="831">
        <f>ROUND(D82-(($D82-$H82)*$O$99/100),0)-3471</f>
        <v>36451</v>
      </c>
      <c r="F82" s="831">
        <f>ROUND(E82-(($D82-$H82)*$P$99/100),0)-686</f>
        <v>33458</v>
      </c>
      <c r="G82" s="831">
        <f>ROUND(F82-(($D82-$H82)*$Q$99/100),0)+2851</f>
        <v>34583</v>
      </c>
      <c r="H82" s="711">
        <f>S79</f>
        <v>34736</v>
      </c>
      <c r="I82" s="1079"/>
      <c r="J82" s="1079"/>
      <c r="K82" s="1087"/>
      <c r="L82" s="1087"/>
      <c r="M82" s="1083" t="s">
        <v>254</v>
      </c>
      <c r="N82" s="1083"/>
      <c r="O82" s="457">
        <f t="shared" si="31"/>
        <v>3816</v>
      </c>
      <c r="P82" s="457">
        <f t="shared" si="32"/>
        <v>3405</v>
      </c>
      <c r="Q82" s="457">
        <f t="shared" si="32"/>
        <v>3168</v>
      </c>
      <c r="R82" s="457">
        <f t="shared" si="32"/>
        <v>3142</v>
      </c>
      <c r="S82" s="457">
        <f t="shared" si="32"/>
        <v>3097</v>
      </c>
      <c r="T82" s="753"/>
      <c r="U82" s="754"/>
    </row>
    <row r="83" spans="2:21" ht="18.75" customHeight="1">
      <c r="B83" s="1088"/>
      <c r="C83" s="487" t="s">
        <v>1002</v>
      </c>
      <c r="D83" s="711">
        <f>D49</f>
        <v>0</v>
      </c>
      <c r="E83" s="711">
        <f>E49</f>
        <v>3529</v>
      </c>
      <c r="F83" s="863">
        <f>F49</f>
        <v>3529</v>
      </c>
      <c r="G83" s="863">
        <f>G49</f>
        <v>3529</v>
      </c>
      <c r="H83" s="863">
        <f>H49</f>
        <v>3529</v>
      </c>
      <c r="I83" s="1079"/>
      <c r="J83" s="1079"/>
      <c r="K83" s="1087"/>
      <c r="L83" s="1087"/>
      <c r="M83" s="1083" t="s">
        <v>255</v>
      </c>
      <c r="N83" s="1083"/>
      <c r="O83" s="457">
        <f t="shared" si="31"/>
        <v>3575</v>
      </c>
      <c r="P83" s="457">
        <f t="shared" si="32"/>
        <v>3190</v>
      </c>
      <c r="Q83" s="457">
        <f t="shared" si="32"/>
        <v>2968</v>
      </c>
      <c r="R83" s="457">
        <f t="shared" si="32"/>
        <v>2943</v>
      </c>
      <c r="S83" s="457">
        <f t="shared" si="32"/>
        <v>2901</v>
      </c>
      <c r="T83" s="492"/>
      <c r="U83" s="492"/>
    </row>
    <row r="84" spans="2:21" ht="18.75" customHeight="1">
      <c r="B84" s="1088" t="s">
        <v>786</v>
      </c>
      <c r="C84" s="739" t="s">
        <v>996</v>
      </c>
      <c r="D84" s="710">
        <f>SUM(D85:D86)</f>
        <v>10551</v>
      </c>
      <c r="E84" s="710">
        <f t="shared" ref="E84" si="34">SUM(E85:E86)</f>
        <v>9841</v>
      </c>
      <c r="F84" s="710">
        <f t="shared" ref="F84" si="35">SUM(F85:F86)</f>
        <v>9272</v>
      </c>
      <c r="G84" s="710">
        <f t="shared" ref="G84" si="36">SUM(G85:G86)</f>
        <v>8847</v>
      </c>
      <c r="H84" s="710">
        <f t="shared" ref="H84" si="37">SUM(H85:H86)</f>
        <v>8563</v>
      </c>
      <c r="I84" s="1085"/>
      <c r="J84" s="1085"/>
      <c r="K84" s="1096"/>
      <c r="L84" s="1096"/>
      <c r="M84" s="1090" t="s">
        <v>256</v>
      </c>
      <c r="N84" s="1090"/>
      <c r="O84" s="457">
        <f t="shared" si="31"/>
        <v>3350</v>
      </c>
      <c r="P84" s="457">
        <f t="shared" si="32"/>
        <v>2989</v>
      </c>
      <c r="Q84" s="457">
        <f t="shared" si="32"/>
        <v>2781</v>
      </c>
      <c r="R84" s="457">
        <f t="shared" si="32"/>
        <v>2758</v>
      </c>
      <c r="S84" s="457">
        <f t="shared" si="32"/>
        <v>2719</v>
      </c>
      <c r="T84" s="753"/>
      <c r="U84" s="754"/>
    </row>
    <row r="85" spans="2:21" ht="18.75" customHeight="1">
      <c r="B85" s="1088"/>
      <c r="C85" s="487" t="s">
        <v>1001</v>
      </c>
      <c r="D85" s="711">
        <f>O80</f>
        <v>10551</v>
      </c>
      <c r="E85" s="831">
        <f>ROUND(D85-(($D85-$H85)*$O$99/100),0)</f>
        <v>9841</v>
      </c>
      <c r="F85" s="831">
        <f>ROUND(E85-(($D85-$H85)*$P$99/100),0)</f>
        <v>9272</v>
      </c>
      <c r="G85" s="831">
        <f>ROUND(F85-(($D85-$H85)*$Q$99/100),0)</f>
        <v>8847</v>
      </c>
      <c r="H85" s="711">
        <f t="shared" ref="H85" si="38">S80</f>
        <v>8563</v>
      </c>
      <c r="I85" s="1085"/>
      <c r="J85" s="1085"/>
      <c r="K85" s="1096"/>
      <c r="L85" s="1096"/>
      <c r="M85" s="1090" t="s">
        <v>257</v>
      </c>
      <c r="N85" s="1090"/>
      <c r="O85" s="457">
        <f t="shared" si="31"/>
        <v>2793</v>
      </c>
      <c r="P85" s="457">
        <f t="shared" si="32"/>
        <v>2492</v>
      </c>
      <c r="Q85" s="457">
        <f t="shared" si="32"/>
        <v>2319</v>
      </c>
      <c r="R85" s="457">
        <f t="shared" si="32"/>
        <v>2299</v>
      </c>
      <c r="S85" s="457">
        <f t="shared" si="32"/>
        <v>2267</v>
      </c>
      <c r="T85" s="492"/>
      <c r="U85" s="492"/>
    </row>
    <row r="86" spans="2:21" ht="18.75" customHeight="1">
      <c r="B86" s="1088"/>
      <c r="C86" s="487" t="s">
        <v>1002</v>
      </c>
      <c r="D86" s="711"/>
      <c r="E86" s="831">
        <f>ROUND(D86-(($D86-$H86)*$O$99/100),0)</f>
        <v>0</v>
      </c>
      <c r="F86" s="831">
        <f>ROUND(E86-(($D86-$H86)*$P$99/100),0)</f>
        <v>0</v>
      </c>
      <c r="G86" s="831">
        <f>ROUND(F86-(($D86-$H86)*$Q$99/100),0)</f>
        <v>0</v>
      </c>
      <c r="H86" s="711"/>
      <c r="I86" s="1085"/>
      <c r="J86" s="1085"/>
      <c r="K86" s="1096"/>
      <c r="L86" s="1096"/>
      <c r="M86" s="1090" t="s">
        <v>258</v>
      </c>
      <c r="N86" s="1090"/>
      <c r="O86" s="457">
        <f t="shared" si="31"/>
        <v>2441</v>
      </c>
      <c r="P86" s="457">
        <f t="shared" si="32"/>
        <v>2178</v>
      </c>
      <c r="Q86" s="457">
        <f t="shared" si="32"/>
        <v>2027</v>
      </c>
      <c r="R86" s="457">
        <f t="shared" si="32"/>
        <v>2010</v>
      </c>
      <c r="S86" s="457">
        <f t="shared" si="32"/>
        <v>1981</v>
      </c>
      <c r="T86" s="753"/>
      <c r="U86" s="754"/>
    </row>
    <row r="87" spans="2:21" ht="18.75" customHeight="1">
      <c r="B87" s="1088" t="s">
        <v>800</v>
      </c>
      <c r="C87" s="739" t="s">
        <v>996</v>
      </c>
      <c r="D87" s="710">
        <f>SUM(D88:D89)</f>
        <v>4323</v>
      </c>
      <c r="E87" s="710">
        <f t="shared" ref="E87" si="39">SUM(E88:E89)</f>
        <v>4032</v>
      </c>
      <c r="F87" s="710">
        <f t="shared" ref="F87" si="40">SUM(F88:F89)</f>
        <v>3799</v>
      </c>
      <c r="G87" s="710">
        <f t="shared" ref="G87" si="41">SUM(G88:G89)</f>
        <v>3625</v>
      </c>
      <c r="H87" s="710">
        <f t="shared" ref="H87" si="42">SUM(H88:H89)</f>
        <v>3508</v>
      </c>
      <c r="I87" s="1085"/>
      <c r="J87" s="1085"/>
      <c r="K87" s="1087"/>
      <c r="L87" s="1087"/>
      <c r="M87" s="1083" t="s">
        <v>259</v>
      </c>
      <c r="N87" s="1083"/>
      <c r="O87" s="457">
        <f t="shared" si="31"/>
        <v>3628</v>
      </c>
      <c r="P87" s="457">
        <f t="shared" si="32"/>
        <v>3237</v>
      </c>
      <c r="Q87" s="457">
        <f t="shared" si="32"/>
        <v>3012</v>
      </c>
      <c r="R87" s="457">
        <f t="shared" si="32"/>
        <v>2987</v>
      </c>
      <c r="S87" s="457">
        <f t="shared" si="32"/>
        <v>2944</v>
      </c>
      <c r="T87" s="492"/>
      <c r="U87" s="492"/>
    </row>
    <row r="88" spans="2:21" ht="18.75" customHeight="1">
      <c r="B88" s="1088"/>
      <c r="C88" s="487" t="s">
        <v>1001</v>
      </c>
      <c r="D88" s="711">
        <f>O81</f>
        <v>4323</v>
      </c>
      <c r="E88" s="831">
        <f>ROUND(D88-(($D88-$H88)*$O$99/100),0)</f>
        <v>4032</v>
      </c>
      <c r="F88" s="831">
        <f>ROUND(E88-(($D88-$H88)*$P$99/100),0)</f>
        <v>3799</v>
      </c>
      <c r="G88" s="831">
        <f>ROUND(F88-(($D88-$H88)*$Q$99/100),0)</f>
        <v>3625</v>
      </c>
      <c r="H88" s="711">
        <f t="shared" ref="H88" si="43">S81</f>
        <v>3508</v>
      </c>
      <c r="I88" s="1085"/>
      <c r="J88" s="1085"/>
      <c r="K88" s="1087"/>
      <c r="L88" s="1087"/>
      <c r="M88" s="1083" t="s">
        <v>260</v>
      </c>
      <c r="N88" s="1083"/>
      <c r="O88" s="457">
        <f t="shared" si="31"/>
        <v>4033</v>
      </c>
      <c r="P88" s="457">
        <f>ROUND(($O88/$O$78)*P$78,0)</f>
        <v>3598</v>
      </c>
      <c r="Q88" s="457">
        <f>ROUND(($O88/$O$78)*Q$78,0)+1</f>
        <v>3349</v>
      </c>
      <c r="R88" s="457">
        <f t="shared" si="32"/>
        <v>3320</v>
      </c>
      <c r="S88" s="457">
        <f t="shared" si="32"/>
        <v>3273</v>
      </c>
      <c r="T88" s="753"/>
      <c r="U88" s="754"/>
    </row>
    <row r="89" spans="2:21" ht="18.75" customHeight="1">
      <c r="B89" s="1088"/>
      <c r="C89" s="487" t="s">
        <v>1002</v>
      </c>
      <c r="D89" s="711"/>
      <c r="E89" s="831">
        <f>ROUND(D89-(($D89-$H89)*$O$99/100),0)</f>
        <v>0</v>
      </c>
      <c r="F89" s="831">
        <f>ROUND(E89-(($D89-$H89)*$P$99/100),0)</f>
        <v>0</v>
      </c>
      <c r="G89" s="831">
        <f>ROUND(F89-(($D89-$H89)*$Q$99/100),0)</f>
        <v>0</v>
      </c>
      <c r="H89" s="711"/>
      <c r="I89" s="1085"/>
      <c r="J89" s="1085"/>
      <c r="K89" s="1087"/>
      <c r="L89" s="1087"/>
      <c r="M89" s="1083" t="s">
        <v>261</v>
      </c>
      <c r="N89" s="1083"/>
      <c r="O89" s="457">
        <f t="shared" si="31"/>
        <v>4289</v>
      </c>
      <c r="P89" s="457">
        <f>ROUND(($O89/$O$78)*P$78,0)-1</f>
        <v>3826</v>
      </c>
      <c r="Q89" s="457">
        <f>ROUND(($O89/$O$78)*Q$78,0)+1</f>
        <v>3562</v>
      </c>
      <c r="R89" s="457">
        <f>ROUND(($O89/$O$78)*R$78,0)</f>
        <v>3531</v>
      </c>
      <c r="S89" s="457">
        <f>ROUND(($O89/$O$78)*S$78,0)+1</f>
        <v>3482</v>
      </c>
      <c r="T89" s="492"/>
      <c r="U89" s="492"/>
    </row>
    <row r="90" spans="2:21" ht="18.75" customHeight="1">
      <c r="B90" s="1088" t="s">
        <v>814</v>
      </c>
      <c r="C90" s="739" t="s">
        <v>996</v>
      </c>
      <c r="D90" s="710">
        <f>SUM(D91:D92)</f>
        <v>3816</v>
      </c>
      <c r="E90" s="710">
        <f t="shared" ref="E90" si="44">SUM(E91:E92)</f>
        <v>3559</v>
      </c>
      <c r="F90" s="710">
        <f t="shared" ref="F90" si="45">SUM(F91:F92)</f>
        <v>3353</v>
      </c>
      <c r="G90" s="710">
        <f t="shared" ref="G90" si="46">SUM(G91:G92)</f>
        <v>3199</v>
      </c>
      <c r="H90" s="710">
        <f t="shared" ref="H90" si="47">SUM(H91:H92)</f>
        <v>3097</v>
      </c>
      <c r="I90" s="1085"/>
      <c r="J90" s="1085"/>
      <c r="K90" s="440"/>
      <c r="L90" s="440"/>
      <c r="M90" s="1094"/>
      <c r="N90" s="1094"/>
      <c r="O90" s="458"/>
      <c r="P90" s="458"/>
      <c r="Q90" s="458"/>
      <c r="R90" s="458"/>
      <c r="S90" s="458"/>
      <c r="T90" s="1093"/>
      <c r="U90" s="1093"/>
    </row>
    <row r="91" spans="2:21" ht="18.75" customHeight="1">
      <c r="B91" s="1088"/>
      <c r="C91" s="487" t="s">
        <v>1001</v>
      </c>
      <c r="D91" s="711">
        <f>O82</f>
        <v>3816</v>
      </c>
      <c r="E91" s="831">
        <f>ROUND(D91-(($D91-$H91)*$O$99/100),0)</f>
        <v>3559</v>
      </c>
      <c r="F91" s="831">
        <f>ROUND(E91-(($D91-$H91)*$P$99/100),0)</f>
        <v>3353</v>
      </c>
      <c r="G91" s="831">
        <f>ROUND(F91-(($D91-$H91)*$Q$99/100),0)</f>
        <v>3199</v>
      </c>
      <c r="H91" s="711">
        <f t="shared" ref="H91" si="48">S82</f>
        <v>3097</v>
      </c>
      <c r="I91" s="1085"/>
      <c r="J91" s="1085"/>
      <c r="M91" s="740"/>
      <c r="N91" s="740"/>
      <c r="O91" s="879">
        <f>SUM(O79:O89)</f>
        <v>85600</v>
      </c>
      <c r="P91" s="879">
        <f t="shared" ref="P91:S91" si="49">SUM(P79:P89)</f>
        <v>76371</v>
      </c>
      <c r="Q91" s="879">
        <f t="shared" si="49"/>
        <v>71071</v>
      </c>
      <c r="R91" s="879">
        <f t="shared" si="49"/>
        <v>70471</v>
      </c>
      <c r="S91" s="879">
        <f t="shared" si="49"/>
        <v>69471</v>
      </c>
      <c r="T91" s="486"/>
      <c r="U91" s="486"/>
    </row>
    <row r="92" spans="2:21" ht="18.75" customHeight="1">
      <c r="B92" s="1088"/>
      <c r="C92" s="487" t="s">
        <v>1002</v>
      </c>
      <c r="D92" s="711"/>
      <c r="E92" s="831">
        <f>ROUND(D92-(($D92-$H92)*$O$99/100),0)</f>
        <v>0</v>
      </c>
      <c r="F92" s="831">
        <f>ROUND(E92-(($D92-$H92)*$P$99/100),0)</f>
        <v>0</v>
      </c>
      <c r="G92" s="831">
        <f>ROUND(F92-(($D92-$H92)*$Q$99/100),0)</f>
        <v>0</v>
      </c>
      <c r="H92" s="711"/>
      <c r="I92" s="1085"/>
      <c r="J92" s="1085"/>
      <c r="M92" s="1094"/>
      <c r="N92" s="1094"/>
      <c r="O92" s="879" t="b">
        <f>O78=O91</f>
        <v>1</v>
      </c>
      <c r="P92" s="879" t="b">
        <f t="shared" ref="P92:S92" si="50">P78=P91</f>
        <v>1</v>
      </c>
      <c r="Q92" s="879" t="b">
        <f t="shared" si="50"/>
        <v>1</v>
      </c>
      <c r="R92" s="879" t="b">
        <f t="shared" si="50"/>
        <v>1</v>
      </c>
      <c r="S92" s="879" t="b">
        <f t="shared" si="50"/>
        <v>1</v>
      </c>
      <c r="T92" s="1093"/>
      <c r="U92" s="1093"/>
    </row>
    <row r="93" spans="2:21" ht="18.75" customHeight="1">
      <c r="B93" s="1088" t="s">
        <v>828</v>
      </c>
      <c r="C93" s="739" t="s">
        <v>996</v>
      </c>
      <c r="D93" s="710">
        <f>SUM(D94:D95)</f>
        <v>3575</v>
      </c>
      <c r="E93" s="710">
        <f t="shared" ref="E93" si="51">SUM(E94:E95)</f>
        <v>3334</v>
      </c>
      <c r="F93" s="710">
        <f t="shared" ref="F93" si="52">SUM(F94:F95)</f>
        <v>3141</v>
      </c>
      <c r="G93" s="710">
        <f t="shared" ref="G93" si="53">SUM(G94:G95)</f>
        <v>2997</v>
      </c>
      <c r="H93" s="710">
        <f t="shared" ref="H93" si="54">SUM(H94:H95)</f>
        <v>2901</v>
      </c>
      <c r="I93" s="1085"/>
      <c r="J93" s="1085"/>
      <c r="M93" s="740"/>
      <c r="N93" s="740"/>
      <c r="O93" s="458"/>
      <c r="P93" s="458"/>
      <c r="Q93" s="458"/>
      <c r="R93" s="458"/>
      <c r="S93" s="458"/>
      <c r="T93" s="486"/>
      <c r="U93" s="486"/>
    </row>
    <row r="94" spans="2:21" ht="18.75" customHeight="1">
      <c r="B94" s="1088"/>
      <c r="C94" s="487" t="s">
        <v>1001</v>
      </c>
      <c r="D94" s="711">
        <f>O83</f>
        <v>3575</v>
      </c>
      <c r="E94" s="831">
        <f>ROUND(D94-(($D94-$H94)*$O$99/100),0)</f>
        <v>3334</v>
      </c>
      <c r="F94" s="831">
        <f>ROUND(E94-(($D94-$H94)*$P$99/100),0)</f>
        <v>3141</v>
      </c>
      <c r="G94" s="831">
        <f>ROUND(F94-(($D94-$H94)*$Q$99/100),0)</f>
        <v>2997</v>
      </c>
      <c r="H94" s="711">
        <f t="shared" ref="H94" si="55">S83</f>
        <v>2901</v>
      </c>
      <c r="I94" s="1085"/>
      <c r="J94" s="1085"/>
      <c r="M94" s="1094"/>
      <c r="N94" s="1094"/>
      <c r="O94" s="458"/>
      <c r="P94" s="458"/>
      <c r="Q94" s="458"/>
      <c r="R94" s="458"/>
      <c r="S94" s="458"/>
      <c r="T94" s="1093"/>
      <c r="U94" s="1093"/>
    </row>
    <row r="95" spans="2:21" ht="18.75" customHeight="1">
      <c r="B95" s="1088"/>
      <c r="C95" s="487" t="s">
        <v>1002</v>
      </c>
      <c r="D95" s="711"/>
      <c r="E95" s="831">
        <f>ROUND(D95-(($D95-$H95)*$O$99/100),0)</f>
        <v>0</v>
      </c>
      <c r="F95" s="831">
        <f>ROUND(E95-(($D95-$H95)*$P$99/100),0)</f>
        <v>0</v>
      </c>
      <c r="G95" s="831">
        <f>ROUND(F95-(($D95-$H95)*$Q$99/100),0)</f>
        <v>0</v>
      </c>
      <c r="H95" s="711"/>
      <c r="I95" s="1085"/>
      <c r="J95" s="1085"/>
      <c r="M95" s="740"/>
      <c r="N95" s="740"/>
      <c r="O95" s="458"/>
      <c r="P95" s="458"/>
      <c r="Q95" s="458"/>
      <c r="R95" s="458"/>
      <c r="S95" s="458"/>
      <c r="T95" s="486"/>
      <c r="U95" s="486"/>
    </row>
    <row r="96" spans="2:21" ht="18.75" customHeight="1">
      <c r="B96" s="1088" t="s">
        <v>843</v>
      </c>
      <c r="C96" s="739" t="s">
        <v>996</v>
      </c>
      <c r="D96" s="710">
        <f>SUM(D97:D98)</f>
        <v>3350</v>
      </c>
      <c r="E96" s="710">
        <f t="shared" ref="E96" si="56">SUM(E97:E98)</f>
        <v>3125</v>
      </c>
      <c r="F96" s="710">
        <f t="shared" ref="F96" si="57">SUM(F97:F98)</f>
        <v>2945</v>
      </c>
      <c r="G96" s="710">
        <f t="shared" ref="G96" si="58">SUM(G97:G98)</f>
        <v>2810</v>
      </c>
      <c r="H96" s="710">
        <f t="shared" ref="H96" si="59">SUM(H97:H98)</f>
        <v>2719</v>
      </c>
      <c r="I96" s="1085"/>
      <c r="J96" s="1085"/>
      <c r="M96" s="1092"/>
      <c r="N96" s="1092"/>
      <c r="O96" s="458"/>
      <c r="P96" s="458"/>
      <c r="Q96" s="458"/>
      <c r="R96" s="458"/>
      <c r="S96" s="458"/>
      <c r="T96" s="1093"/>
      <c r="U96" s="1093"/>
    </row>
    <row r="97" spans="2:21" ht="18.75" customHeight="1">
      <c r="B97" s="1088"/>
      <c r="C97" s="487" t="s">
        <v>1001</v>
      </c>
      <c r="D97" s="711">
        <f>O84</f>
        <v>3350</v>
      </c>
      <c r="E97" s="831">
        <f>ROUND(D97-(($D97-$H97)*$O$99/100),0)</f>
        <v>3125</v>
      </c>
      <c r="F97" s="831">
        <f>ROUND(E97-(($D97-$H97)*$P$99/100),0)</f>
        <v>2945</v>
      </c>
      <c r="G97" s="831">
        <f>ROUND(F97-(($D97-$H97)*$Q$99/100),0)</f>
        <v>2810</v>
      </c>
      <c r="H97" s="711">
        <f t="shared" ref="H97" si="60">S84</f>
        <v>2719</v>
      </c>
      <c r="I97" s="1085"/>
      <c r="J97" s="1085"/>
      <c r="M97" s="833" t="s">
        <v>1122</v>
      </c>
      <c r="N97" s="835">
        <v>2015</v>
      </c>
      <c r="O97" s="835">
        <v>2020</v>
      </c>
      <c r="P97" s="835">
        <v>2025</v>
      </c>
      <c r="Q97" s="835">
        <v>2030</v>
      </c>
      <c r="R97" s="835">
        <v>2035</v>
      </c>
      <c r="S97" s="835" t="s">
        <v>1123</v>
      </c>
      <c r="T97" s="486"/>
      <c r="U97" s="486"/>
    </row>
    <row r="98" spans="2:21" ht="18.75" customHeight="1">
      <c r="B98" s="1088"/>
      <c r="C98" s="487" t="s">
        <v>1002</v>
      </c>
      <c r="D98" s="711"/>
      <c r="E98" s="831">
        <f>ROUND(D98-(($D98-$H98)*$O$99/100),0)</f>
        <v>0</v>
      </c>
      <c r="F98" s="831">
        <f>ROUND(E98-(($D98-$H98)*$P$99/100),0)</f>
        <v>0</v>
      </c>
      <c r="G98" s="831">
        <f>ROUND(F98-(($D98-$H98)*$Q$99/100),0)</f>
        <v>0</v>
      </c>
      <c r="H98" s="711"/>
      <c r="I98" s="1085"/>
      <c r="J98" s="1085"/>
      <c r="M98" s="833"/>
      <c r="N98" s="835"/>
      <c r="O98" s="835">
        <v>100</v>
      </c>
      <c r="P98" s="835">
        <v>80</v>
      </c>
      <c r="Q98" s="835">
        <v>60</v>
      </c>
      <c r="R98" s="835">
        <v>40</v>
      </c>
      <c r="S98" s="835">
        <v>280</v>
      </c>
      <c r="T98" s="1093"/>
      <c r="U98" s="1093"/>
    </row>
    <row r="99" spans="2:21" ht="18.75" customHeight="1">
      <c r="B99" s="1088" t="s">
        <v>860</v>
      </c>
      <c r="C99" s="739" t="s">
        <v>996</v>
      </c>
      <c r="D99" s="710">
        <f>SUM(D100:D101)</f>
        <v>2793</v>
      </c>
      <c r="E99" s="710">
        <f t="shared" ref="E99" si="61">SUM(E100:E101)</f>
        <v>2605</v>
      </c>
      <c r="F99" s="710">
        <f t="shared" ref="F99" si="62">SUM(F100:F101)</f>
        <v>2455</v>
      </c>
      <c r="G99" s="710">
        <f t="shared" ref="G99" si="63">SUM(G100:G101)</f>
        <v>2342</v>
      </c>
      <c r="H99" s="710">
        <f t="shared" ref="H99" si="64">SUM(H100:H101)</f>
        <v>2267</v>
      </c>
      <c r="I99" s="1085"/>
      <c r="J99" s="1085"/>
      <c r="M99" s="833"/>
      <c r="N99" s="835"/>
      <c r="O99" s="835">
        <f>ROUND(O98/$S$98*100,1)</f>
        <v>35.700000000000003</v>
      </c>
      <c r="P99" s="835">
        <f>ROUND(P98/$S$98*100,1)</f>
        <v>28.6</v>
      </c>
      <c r="Q99" s="835">
        <f>ROUND(Q98/$S$98*100,1)</f>
        <v>21.4</v>
      </c>
      <c r="R99" s="835">
        <f>ROUND(R98/$S$98*100,1)</f>
        <v>14.3</v>
      </c>
      <c r="S99" s="835"/>
      <c r="T99" s="486"/>
      <c r="U99" s="486"/>
    </row>
    <row r="100" spans="2:21" ht="18.75" customHeight="1">
      <c r="B100" s="1088"/>
      <c r="C100" s="487" t="s">
        <v>1001</v>
      </c>
      <c r="D100" s="711">
        <f>O85</f>
        <v>2793</v>
      </c>
      <c r="E100" s="831">
        <f>ROUND(D100-(($D100-$H100)*$O$99/100),0)</f>
        <v>2605</v>
      </c>
      <c r="F100" s="831">
        <f>ROUND(E100-(($D100-$H100)*$P$99/100),0)</f>
        <v>2455</v>
      </c>
      <c r="G100" s="831">
        <f>ROUND(F100-(($D100-$H100)*$Q$99/100),0)</f>
        <v>2342</v>
      </c>
      <c r="H100" s="711">
        <f t="shared" ref="H100" si="65">S85</f>
        <v>2267</v>
      </c>
      <c r="I100" s="1085"/>
      <c r="J100" s="1085"/>
      <c r="M100" s="832" t="s">
        <v>1161</v>
      </c>
      <c r="N100" s="832"/>
      <c r="O100" s="834"/>
      <c r="P100" s="834"/>
      <c r="Q100" s="834"/>
      <c r="R100" s="834"/>
      <c r="S100" s="834"/>
      <c r="T100" s="1093"/>
      <c r="U100" s="1093"/>
    </row>
    <row r="101" spans="2:21" ht="18.75" customHeight="1">
      <c r="B101" s="1088"/>
      <c r="C101" s="487" t="s">
        <v>1002</v>
      </c>
      <c r="D101" s="711"/>
      <c r="E101" s="831">
        <f>ROUND(D101-(($D101-$H101)*$O$99/100),0)</f>
        <v>0</v>
      </c>
      <c r="F101" s="831">
        <f>ROUND(E101-(($D101-$H101)*$P$99/100),0)</f>
        <v>0</v>
      </c>
      <c r="G101" s="831">
        <f>ROUND(F101-(($D101-$H101)*$Q$99/100),0)</f>
        <v>0</v>
      </c>
      <c r="H101" s="711"/>
      <c r="I101" s="1085"/>
      <c r="J101" s="1085"/>
      <c r="M101" s="440"/>
      <c r="N101" s="440"/>
      <c r="O101" s="741"/>
      <c r="P101" s="741"/>
      <c r="Q101" s="741"/>
      <c r="R101" s="741"/>
      <c r="S101" s="741"/>
      <c r="T101" s="440"/>
      <c r="U101" s="440"/>
    </row>
    <row r="102" spans="2:21" ht="18.75" customHeight="1">
      <c r="B102" s="1088" t="s">
        <v>872</v>
      </c>
      <c r="C102" s="739" t="s">
        <v>996</v>
      </c>
      <c r="D102" s="710">
        <f>SUM(D103:D104)</f>
        <v>2441</v>
      </c>
      <c r="E102" s="710">
        <f t="shared" ref="E102" si="66">SUM(E103:E104)</f>
        <v>2277</v>
      </c>
      <c r="F102" s="710">
        <f t="shared" ref="F102" si="67">SUM(F103:F104)</f>
        <v>2145</v>
      </c>
      <c r="G102" s="710">
        <f t="shared" ref="G102" si="68">SUM(G103:G104)</f>
        <v>2047</v>
      </c>
      <c r="H102" s="710">
        <f t="shared" ref="H102" si="69">SUM(H103:H104)</f>
        <v>1981</v>
      </c>
      <c r="I102" s="1095"/>
      <c r="J102" s="1095"/>
      <c r="M102" s="440"/>
      <c r="N102" s="440"/>
      <c r="O102" s="440"/>
      <c r="P102" s="440"/>
      <c r="Q102" s="440"/>
      <c r="R102" s="440"/>
      <c r="S102" s="440"/>
      <c r="T102" s="440"/>
      <c r="U102" s="440"/>
    </row>
    <row r="103" spans="2:21" ht="18.75" customHeight="1">
      <c r="B103" s="1088"/>
      <c r="C103" s="487" t="s">
        <v>1001</v>
      </c>
      <c r="D103" s="711">
        <f>O86</f>
        <v>2441</v>
      </c>
      <c r="E103" s="831">
        <f>ROUND(D103-(($D103-$H103)*$O$99/100),0)</f>
        <v>2277</v>
      </c>
      <c r="F103" s="831">
        <f>ROUND(E103-(($D103-$H103)*$P$99/100),0)</f>
        <v>2145</v>
      </c>
      <c r="G103" s="831">
        <f>ROUND(F103-(($D103-$H103)*$Q$99/100),0)</f>
        <v>2047</v>
      </c>
      <c r="H103" s="711">
        <f t="shared" ref="H103" si="70">S86</f>
        <v>1981</v>
      </c>
      <c r="I103" s="1095"/>
      <c r="J103" s="1095"/>
      <c r="M103" s="440"/>
      <c r="N103" s="440"/>
      <c r="O103" s="440"/>
      <c r="P103" s="440"/>
      <c r="Q103" s="440"/>
      <c r="R103" s="440"/>
      <c r="S103" s="440"/>
      <c r="T103" s="440"/>
      <c r="U103" s="440"/>
    </row>
    <row r="104" spans="2:21" ht="18.75" customHeight="1">
      <c r="B104" s="1088"/>
      <c r="C104" s="487" t="s">
        <v>1002</v>
      </c>
      <c r="D104" s="711"/>
      <c r="E104" s="831">
        <f>ROUND(D104-(($D104-$H104)*$O$99/100),0)</f>
        <v>0</v>
      </c>
      <c r="F104" s="831">
        <f>ROUND(E104-(($D104-$H104)*$P$99/100),0)</f>
        <v>0</v>
      </c>
      <c r="G104" s="831">
        <f>ROUND(F104-(($D104-$H104)*$Q$99/100),0)</f>
        <v>0</v>
      </c>
      <c r="H104" s="711"/>
      <c r="I104" s="1095"/>
      <c r="J104" s="1095"/>
      <c r="O104" s="742"/>
      <c r="P104" s="742"/>
      <c r="Q104" s="742"/>
      <c r="R104" s="742"/>
      <c r="S104" s="742"/>
    </row>
    <row r="105" spans="2:21" ht="18.75" customHeight="1">
      <c r="B105" s="1088" t="s">
        <v>882</v>
      </c>
      <c r="C105" s="739" t="s">
        <v>996</v>
      </c>
      <c r="D105" s="710">
        <f>SUM(D106:D107)</f>
        <v>3628</v>
      </c>
      <c r="E105" s="710">
        <f t="shared" ref="E105" si="71">SUM(E106:E107)</f>
        <v>3384</v>
      </c>
      <c r="F105" s="710">
        <f t="shared" ref="F105" si="72">SUM(F106:F107)</f>
        <v>3188</v>
      </c>
      <c r="G105" s="710">
        <f t="shared" ref="G105" si="73">SUM(G106:G107)</f>
        <v>3042</v>
      </c>
      <c r="H105" s="710">
        <f t="shared" ref="H105" si="74">SUM(H106:H107)</f>
        <v>2944</v>
      </c>
      <c r="I105" s="1095"/>
      <c r="J105" s="1095"/>
      <c r="O105" s="742"/>
      <c r="P105" s="742"/>
      <c r="Q105" s="742"/>
      <c r="R105" s="742"/>
      <c r="S105" s="742"/>
    </row>
    <row r="106" spans="2:21" ht="18.75" customHeight="1">
      <c r="B106" s="1088"/>
      <c r="C106" s="487" t="s">
        <v>1001</v>
      </c>
      <c r="D106" s="711">
        <f>O87</f>
        <v>3628</v>
      </c>
      <c r="E106" s="831">
        <f>ROUND(D106-(($D106-$H106)*$O$99/100),0)</f>
        <v>3384</v>
      </c>
      <c r="F106" s="831">
        <f>ROUND(E106-(($D106-$H106)*$P$99/100),0)</f>
        <v>3188</v>
      </c>
      <c r="G106" s="831">
        <f>ROUND(F106-(($D106-$H106)*$Q$99/100),0)</f>
        <v>3042</v>
      </c>
      <c r="H106" s="711">
        <f t="shared" ref="H106" si="75">S87</f>
        <v>2944</v>
      </c>
      <c r="I106" s="1095"/>
      <c r="J106" s="1095"/>
      <c r="O106" s="742"/>
      <c r="P106" s="742"/>
      <c r="Q106" s="742"/>
      <c r="R106" s="742"/>
      <c r="S106" s="742"/>
    </row>
    <row r="107" spans="2:21" ht="18.75" customHeight="1">
      <c r="B107" s="1088"/>
      <c r="C107" s="487" t="s">
        <v>1002</v>
      </c>
      <c r="D107" s="711"/>
      <c r="E107" s="831">
        <f>ROUND(D107-(($D107-$H107)*$O$99/100),0)</f>
        <v>0</v>
      </c>
      <c r="F107" s="831">
        <f>ROUND(E107-(($D107-$H107)*$P$99/100),0)</f>
        <v>0</v>
      </c>
      <c r="G107" s="831">
        <f>ROUND(F107-(($D107-$H107)*$Q$99/100),0)</f>
        <v>0</v>
      </c>
      <c r="H107" s="711"/>
      <c r="I107" s="1095"/>
      <c r="J107" s="1095"/>
    </row>
    <row r="108" spans="2:21" ht="18.75" customHeight="1">
      <c r="B108" s="1088" t="s">
        <v>895</v>
      </c>
      <c r="C108" s="739" t="s">
        <v>996</v>
      </c>
      <c r="D108" s="710">
        <f>SUM(D109:D110)</f>
        <v>4033</v>
      </c>
      <c r="E108" s="710">
        <f t="shared" ref="E108" si="76">SUM(E109:E110)</f>
        <v>3762</v>
      </c>
      <c r="F108" s="710">
        <f t="shared" ref="F108" si="77">SUM(F109:F110)</f>
        <v>3545</v>
      </c>
      <c r="G108" s="710">
        <f t="shared" ref="G108" si="78">SUM(G109:G110)</f>
        <v>3382</v>
      </c>
      <c r="H108" s="710">
        <f t="shared" ref="H108" si="79">SUM(H109:H110)</f>
        <v>3273</v>
      </c>
      <c r="I108" s="1095"/>
      <c r="J108" s="1095"/>
    </row>
    <row r="109" spans="2:21" ht="18.75" customHeight="1">
      <c r="B109" s="1088"/>
      <c r="C109" s="487" t="s">
        <v>1001</v>
      </c>
      <c r="D109" s="711">
        <f>O88</f>
        <v>4033</v>
      </c>
      <c r="E109" s="831">
        <f>ROUND(D109-(($D109-$H109)*$O$99/100),0)</f>
        <v>3762</v>
      </c>
      <c r="F109" s="831">
        <f>ROUND(E109-(($D109-$H109)*$P$99/100),0)</f>
        <v>3545</v>
      </c>
      <c r="G109" s="831">
        <f>ROUND(F109-(($D109-$H109)*$Q$99/100),0)</f>
        <v>3382</v>
      </c>
      <c r="H109" s="711">
        <f t="shared" ref="H109" si="80">S88</f>
        <v>3273</v>
      </c>
      <c r="I109" s="1095"/>
      <c r="J109" s="1095"/>
    </row>
    <row r="110" spans="2:21" ht="18.75" customHeight="1">
      <c r="B110" s="1088"/>
      <c r="C110" s="487" t="s">
        <v>1002</v>
      </c>
      <c r="D110" s="711"/>
      <c r="E110" s="831">
        <f>ROUND(D110-(($D110-$H110)*$O$99/100),0)</f>
        <v>0</v>
      </c>
      <c r="F110" s="831">
        <f>ROUND(E110-(($D110-$H110)*$P$99/100),0)</f>
        <v>0</v>
      </c>
      <c r="G110" s="831">
        <f>ROUND(F110-(($D110-$H110)*$Q$99/100),0)</f>
        <v>0</v>
      </c>
      <c r="H110" s="711"/>
      <c r="I110" s="1095"/>
      <c r="J110" s="1095"/>
      <c r="N110" s="742"/>
      <c r="O110" s="742"/>
      <c r="P110" s="742"/>
      <c r="Q110" s="742"/>
      <c r="R110" s="742"/>
    </row>
    <row r="111" spans="2:21" ht="18.75" customHeight="1">
      <c r="B111" s="1088" t="s">
        <v>912</v>
      </c>
      <c r="C111" s="739" t="s">
        <v>996</v>
      </c>
      <c r="D111" s="710">
        <f>SUM(D112:D113)</f>
        <v>4289</v>
      </c>
      <c r="E111" s="710">
        <f t="shared" ref="E111" si="81">SUM(E112:E113)</f>
        <v>4001</v>
      </c>
      <c r="F111" s="710">
        <f t="shared" ref="F111" si="82">SUM(F112:F113)</f>
        <v>3770</v>
      </c>
      <c r="G111" s="710">
        <f t="shared" ref="G111" si="83">SUM(G112:G113)</f>
        <v>3597</v>
      </c>
      <c r="H111" s="710">
        <f t="shared" ref="H111" si="84">SUM(H112:H113)</f>
        <v>3482</v>
      </c>
      <c r="I111" s="1095"/>
      <c r="J111" s="1095"/>
      <c r="N111" s="742"/>
      <c r="O111" s="742"/>
      <c r="P111" s="742"/>
      <c r="Q111" s="742"/>
      <c r="R111" s="742"/>
    </row>
    <row r="112" spans="2:21" ht="18.75" customHeight="1">
      <c r="B112" s="1088"/>
      <c r="C112" s="487" t="s">
        <v>1001</v>
      </c>
      <c r="D112" s="711">
        <f>O89</f>
        <v>4289</v>
      </c>
      <c r="E112" s="831">
        <f>ROUND(D112-(($D112-$H112)*$O$99/100),0)</f>
        <v>4001</v>
      </c>
      <c r="F112" s="831">
        <f>ROUND(E112-(($D112-$H112)*$P$99/100),0)</f>
        <v>3770</v>
      </c>
      <c r="G112" s="831">
        <f>ROUND(F112-(($D112-$H112)*$Q$99/100),0)</f>
        <v>3597</v>
      </c>
      <c r="H112" s="711">
        <f t="shared" ref="H112" si="85">S89</f>
        <v>3482</v>
      </c>
      <c r="I112" s="1095"/>
      <c r="J112" s="1095"/>
      <c r="N112" s="742"/>
      <c r="O112" s="742"/>
      <c r="P112" s="742"/>
      <c r="Q112" s="742"/>
      <c r="R112" s="742"/>
    </row>
    <row r="113" spans="2:10" ht="18.75" customHeight="1">
      <c r="B113" s="1088"/>
      <c r="C113" s="487" t="s">
        <v>1002</v>
      </c>
      <c r="D113" s="711"/>
      <c r="E113" s="831">
        <f>ROUND(D113-(($D113-$H113)*$O$99/100),0)</f>
        <v>0</v>
      </c>
      <c r="F113" s="831">
        <f>ROUND(E113-(($D113-$H113)*$P$99/100),0)</f>
        <v>0</v>
      </c>
      <c r="G113" s="831">
        <f>ROUND(F113-(($D113-$H113)*$Q$99/100),0)</f>
        <v>0</v>
      </c>
      <c r="H113" s="711"/>
      <c r="I113" s="1095"/>
      <c r="J113" s="1095"/>
    </row>
    <row r="115" spans="2:10">
      <c r="C115" s="709" t="s">
        <v>999</v>
      </c>
      <c r="D115" s="742">
        <f>D74</f>
        <v>85600</v>
      </c>
      <c r="E115" s="742">
        <f>E74</f>
        <v>79900</v>
      </c>
      <c r="F115" s="742">
        <f>F74</f>
        <v>74600</v>
      </c>
      <c r="G115" s="742">
        <f>G74</f>
        <v>74000</v>
      </c>
      <c r="H115" s="742">
        <f>H74</f>
        <v>73000</v>
      </c>
    </row>
    <row r="116" spans="2:10">
      <c r="C116" s="709" t="s">
        <v>998</v>
      </c>
      <c r="D116" s="742">
        <f>D115-D117</f>
        <v>85600</v>
      </c>
      <c r="E116" s="742">
        <f>E115-E117</f>
        <v>76371</v>
      </c>
      <c r="F116" s="742">
        <f t="shared" ref="F116:H116" si="86">F115-F117</f>
        <v>71071</v>
      </c>
      <c r="G116" s="742">
        <f t="shared" si="86"/>
        <v>70471</v>
      </c>
      <c r="H116" s="742">
        <f t="shared" si="86"/>
        <v>69471</v>
      </c>
    </row>
    <row r="117" spans="2:10">
      <c r="C117" s="709" t="s">
        <v>1000</v>
      </c>
      <c r="D117" s="742"/>
      <c r="E117" s="742">
        <f>E49</f>
        <v>3529</v>
      </c>
      <c r="F117" s="742">
        <f>F49</f>
        <v>3529</v>
      </c>
      <c r="G117" s="742">
        <f>G49</f>
        <v>3529</v>
      </c>
      <c r="H117" s="742">
        <f>H49</f>
        <v>3529</v>
      </c>
    </row>
    <row r="119" spans="2:10">
      <c r="D119" s="830">
        <f>D115-D78</f>
        <v>0</v>
      </c>
      <c r="E119" s="830">
        <f>E115-E78</f>
        <v>0</v>
      </c>
      <c r="F119" s="830">
        <f>F115-F78</f>
        <v>0</v>
      </c>
      <c r="G119" s="830">
        <f>G115-G78</f>
        <v>0</v>
      </c>
      <c r="H119" s="830">
        <f>H115-H78</f>
        <v>0</v>
      </c>
    </row>
    <row r="122" spans="2:10">
      <c r="B122" s="738" t="s">
        <v>1162</v>
      </c>
    </row>
    <row r="123" spans="2:10">
      <c r="B123" s="464" t="s">
        <v>1003</v>
      </c>
      <c r="C123" s="459" t="s">
        <v>587</v>
      </c>
      <c r="D123" s="459" t="s">
        <v>756</v>
      </c>
      <c r="E123" s="459" t="s">
        <v>757</v>
      </c>
      <c r="F123" s="459" t="s">
        <v>758</v>
      </c>
      <c r="G123" s="459" t="s">
        <v>759</v>
      </c>
    </row>
    <row r="124" spans="2:10">
      <c r="B124" s="743" t="s">
        <v>574</v>
      </c>
      <c r="C124" s="858">
        <f>SUM(C125:C135)</f>
        <v>85600</v>
      </c>
      <c r="D124" s="858">
        <f t="shared" ref="D124:G124" si="87">SUM(D125:D135)</f>
        <v>79900</v>
      </c>
      <c r="E124" s="858">
        <f t="shared" si="87"/>
        <v>74600</v>
      </c>
      <c r="F124" s="858">
        <f t="shared" si="87"/>
        <v>74000</v>
      </c>
      <c r="G124" s="858">
        <f t="shared" si="87"/>
        <v>73000</v>
      </c>
      <c r="I124" s="440"/>
    </row>
    <row r="125" spans="2:10">
      <c r="B125" s="744" t="s">
        <v>251</v>
      </c>
      <c r="C125" s="859">
        <f>D81</f>
        <v>42801</v>
      </c>
      <c r="D125" s="859">
        <f t="shared" ref="D125:G125" si="88">E81</f>
        <v>39980</v>
      </c>
      <c r="E125" s="859">
        <f t="shared" si="88"/>
        <v>36987</v>
      </c>
      <c r="F125" s="859">
        <f t="shared" si="88"/>
        <v>38112</v>
      </c>
      <c r="G125" s="859">
        <f t="shared" si="88"/>
        <v>38265</v>
      </c>
      <c r="I125" s="440"/>
    </row>
    <row r="126" spans="2:10">
      <c r="B126" s="745" t="s">
        <v>252</v>
      </c>
      <c r="C126" s="859">
        <f>D84</f>
        <v>10551</v>
      </c>
      <c r="D126" s="859">
        <f t="shared" ref="D126:G126" si="89">E84</f>
        <v>9841</v>
      </c>
      <c r="E126" s="859">
        <f t="shared" si="89"/>
        <v>9272</v>
      </c>
      <c r="F126" s="859">
        <f t="shared" si="89"/>
        <v>8847</v>
      </c>
      <c r="G126" s="859">
        <f t="shared" si="89"/>
        <v>8563</v>
      </c>
      <c r="I126" s="440"/>
    </row>
    <row r="127" spans="2:10">
      <c r="B127" s="745" t="s">
        <v>253</v>
      </c>
      <c r="C127" s="859">
        <f>D87</f>
        <v>4323</v>
      </c>
      <c r="D127" s="859">
        <f t="shared" ref="D127:G127" si="90">E87</f>
        <v>4032</v>
      </c>
      <c r="E127" s="859">
        <f t="shared" si="90"/>
        <v>3799</v>
      </c>
      <c r="F127" s="859">
        <f t="shared" si="90"/>
        <v>3625</v>
      </c>
      <c r="G127" s="859">
        <f t="shared" si="90"/>
        <v>3508</v>
      </c>
      <c r="I127" s="440"/>
    </row>
    <row r="128" spans="2:10">
      <c r="B128" s="745" t="s">
        <v>254</v>
      </c>
      <c r="C128" s="859">
        <f>D90</f>
        <v>3816</v>
      </c>
      <c r="D128" s="859">
        <f t="shared" ref="D128:G128" si="91">E90</f>
        <v>3559</v>
      </c>
      <c r="E128" s="859">
        <f t="shared" si="91"/>
        <v>3353</v>
      </c>
      <c r="F128" s="859">
        <f t="shared" si="91"/>
        <v>3199</v>
      </c>
      <c r="G128" s="859">
        <f t="shared" si="91"/>
        <v>3097</v>
      </c>
      <c r="I128" s="440"/>
    </row>
    <row r="129" spans="2:18">
      <c r="B129" s="745" t="s">
        <v>255</v>
      </c>
      <c r="C129" s="859">
        <f>D93</f>
        <v>3575</v>
      </c>
      <c r="D129" s="859">
        <f t="shared" ref="D129:G129" si="92">E93</f>
        <v>3334</v>
      </c>
      <c r="E129" s="859">
        <f t="shared" si="92"/>
        <v>3141</v>
      </c>
      <c r="F129" s="859">
        <f t="shared" si="92"/>
        <v>2997</v>
      </c>
      <c r="G129" s="859">
        <f t="shared" si="92"/>
        <v>2901</v>
      </c>
      <c r="I129" s="440"/>
    </row>
    <row r="130" spans="2:18">
      <c r="B130" s="746" t="s">
        <v>256</v>
      </c>
      <c r="C130" s="859">
        <f>D96</f>
        <v>3350</v>
      </c>
      <c r="D130" s="859">
        <f t="shared" ref="D130:G130" si="93">E96</f>
        <v>3125</v>
      </c>
      <c r="E130" s="859">
        <f t="shared" si="93"/>
        <v>2945</v>
      </c>
      <c r="F130" s="859">
        <f t="shared" si="93"/>
        <v>2810</v>
      </c>
      <c r="G130" s="859">
        <f t="shared" si="93"/>
        <v>2719</v>
      </c>
      <c r="I130" s="440"/>
    </row>
    <row r="131" spans="2:18">
      <c r="B131" s="746" t="s">
        <v>257</v>
      </c>
      <c r="C131" s="860">
        <f>D99</f>
        <v>2793</v>
      </c>
      <c r="D131" s="860">
        <f t="shared" ref="D131:G131" si="94">E99</f>
        <v>2605</v>
      </c>
      <c r="E131" s="860">
        <f t="shared" si="94"/>
        <v>2455</v>
      </c>
      <c r="F131" s="860">
        <f t="shared" si="94"/>
        <v>2342</v>
      </c>
      <c r="G131" s="860">
        <f t="shared" si="94"/>
        <v>2267</v>
      </c>
      <c r="I131" s="440"/>
    </row>
    <row r="132" spans="2:18">
      <c r="B132" s="746" t="s">
        <v>258</v>
      </c>
      <c r="C132" s="859">
        <f>D102</f>
        <v>2441</v>
      </c>
      <c r="D132" s="859">
        <f t="shared" ref="D132:G132" si="95">E102</f>
        <v>2277</v>
      </c>
      <c r="E132" s="859">
        <f t="shared" si="95"/>
        <v>2145</v>
      </c>
      <c r="F132" s="859">
        <f t="shared" si="95"/>
        <v>2047</v>
      </c>
      <c r="G132" s="859">
        <f t="shared" si="95"/>
        <v>1981</v>
      </c>
      <c r="I132" s="440"/>
    </row>
    <row r="133" spans="2:18">
      <c r="B133" s="745" t="s">
        <v>259</v>
      </c>
      <c r="C133" s="859">
        <f>D105</f>
        <v>3628</v>
      </c>
      <c r="D133" s="859">
        <f t="shared" ref="D133:G133" si="96">E105</f>
        <v>3384</v>
      </c>
      <c r="E133" s="859">
        <f t="shared" si="96"/>
        <v>3188</v>
      </c>
      <c r="F133" s="859">
        <f t="shared" si="96"/>
        <v>3042</v>
      </c>
      <c r="G133" s="859">
        <f t="shared" si="96"/>
        <v>2944</v>
      </c>
      <c r="I133" s="440"/>
    </row>
    <row r="134" spans="2:18">
      <c r="B134" s="745" t="s">
        <v>260</v>
      </c>
      <c r="C134" s="859">
        <f>D108</f>
        <v>4033</v>
      </c>
      <c r="D134" s="859">
        <f t="shared" ref="D134:G134" si="97">E108</f>
        <v>3762</v>
      </c>
      <c r="E134" s="859">
        <f t="shared" si="97"/>
        <v>3545</v>
      </c>
      <c r="F134" s="859">
        <f t="shared" si="97"/>
        <v>3382</v>
      </c>
      <c r="G134" s="859">
        <f t="shared" si="97"/>
        <v>3273</v>
      </c>
      <c r="I134" s="440"/>
    </row>
    <row r="135" spans="2:18">
      <c r="B135" s="745" t="s">
        <v>261</v>
      </c>
      <c r="C135" s="859">
        <f>D111</f>
        <v>4289</v>
      </c>
      <c r="D135" s="859">
        <f t="shared" ref="D135:G135" si="98">E111</f>
        <v>4001</v>
      </c>
      <c r="E135" s="859">
        <f t="shared" si="98"/>
        <v>3770</v>
      </c>
      <c r="F135" s="859">
        <f t="shared" si="98"/>
        <v>3597</v>
      </c>
      <c r="G135" s="859">
        <f t="shared" si="98"/>
        <v>3482</v>
      </c>
      <c r="I135" s="440"/>
    </row>
    <row r="136" spans="2:18">
      <c r="K136" s="440"/>
      <c r="L136" s="458"/>
      <c r="M136" s="458"/>
      <c r="N136" s="458"/>
      <c r="O136" s="458"/>
      <c r="P136" s="458"/>
      <c r="Q136" s="440"/>
      <c r="R136" s="440"/>
    </row>
    <row r="137" spans="2:18">
      <c r="B137" s="738" t="s">
        <v>1163</v>
      </c>
      <c r="N137" s="458"/>
      <c r="O137" s="458"/>
      <c r="P137" s="458"/>
      <c r="Q137" s="440"/>
      <c r="R137" s="440"/>
    </row>
    <row r="138" spans="2:18">
      <c r="B138" s="464" t="s">
        <v>10</v>
      </c>
      <c r="C138" s="459" t="s">
        <v>587</v>
      </c>
      <c r="D138" s="459" t="s">
        <v>756</v>
      </c>
      <c r="E138" s="459" t="s">
        <v>757</v>
      </c>
      <c r="F138" s="459" t="s">
        <v>758</v>
      </c>
      <c r="G138" s="459" t="s">
        <v>759</v>
      </c>
      <c r="N138" s="458"/>
      <c r="O138" s="458"/>
      <c r="P138" s="458"/>
      <c r="Q138" s="440"/>
      <c r="R138" s="440"/>
    </row>
    <row r="139" spans="2:18">
      <c r="B139" s="743" t="s">
        <v>574</v>
      </c>
      <c r="C139" s="858">
        <f>SUM(C140:C150)</f>
        <v>85600</v>
      </c>
      <c r="D139" s="858">
        <f t="shared" ref="D139:G139" si="99">SUM(D140:D150)</f>
        <v>76371</v>
      </c>
      <c r="E139" s="858">
        <f t="shared" si="99"/>
        <v>71071</v>
      </c>
      <c r="F139" s="858">
        <f t="shared" si="99"/>
        <v>70471</v>
      </c>
      <c r="G139" s="858">
        <f t="shared" si="99"/>
        <v>69471</v>
      </c>
      <c r="K139" s="440"/>
      <c r="L139" s="458"/>
      <c r="M139" s="458"/>
      <c r="N139" s="458"/>
      <c r="O139" s="458"/>
      <c r="P139" s="458"/>
      <c r="Q139" s="440"/>
      <c r="R139" s="440"/>
    </row>
    <row r="140" spans="2:18">
      <c r="B140" s="744" t="s">
        <v>251</v>
      </c>
      <c r="C140" s="859">
        <f>D82</f>
        <v>42801</v>
      </c>
      <c r="D140" s="859">
        <f t="shared" ref="D140:G140" si="100">E82</f>
        <v>36451</v>
      </c>
      <c r="E140" s="859">
        <f t="shared" si="100"/>
        <v>33458</v>
      </c>
      <c r="F140" s="859">
        <f t="shared" si="100"/>
        <v>34583</v>
      </c>
      <c r="G140" s="859">
        <f t="shared" si="100"/>
        <v>34736</v>
      </c>
      <c r="K140" s="440"/>
      <c r="L140" s="458"/>
      <c r="M140" s="458"/>
      <c r="N140" s="458"/>
      <c r="O140" s="458"/>
      <c r="P140" s="458"/>
      <c r="Q140" s="440"/>
      <c r="R140" s="440"/>
    </row>
    <row r="141" spans="2:18">
      <c r="B141" s="745" t="s">
        <v>252</v>
      </c>
      <c r="C141" s="859">
        <f>D85</f>
        <v>10551</v>
      </c>
      <c r="D141" s="859">
        <f t="shared" ref="D141:G141" si="101">E85</f>
        <v>9841</v>
      </c>
      <c r="E141" s="859">
        <f t="shared" si="101"/>
        <v>9272</v>
      </c>
      <c r="F141" s="859">
        <f t="shared" si="101"/>
        <v>8847</v>
      </c>
      <c r="G141" s="859">
        <f t="shared" si="101"/>
        <v>8563</v>
      </c>
      <c r="K141" s="440"/>
      <c r="L141" s="458"/>
      <c r="M141" s="458"/>
      <c r="N141" s="458"/>
      <c r="O141" s="458"/>
      <c r="P141" s="458"/>
      <c r="Q141" s="440"/>
      <c r="R141" s="440"/>
    </row>
    <row r="142" spans="2:18">
      <c r="B142" s="745" t="s">
        <v>253</v>
      </c>
      <c r="C142" s="859">
        <f>D88</f>
        <v>4323</v>
      </c>
      <c r="D142" s="859">
        <f t="shared" ref="D142:G142" si="102">E88</f>
        <v>4032</v>
      </c>
      <c r="E142" s="859">
        <f t="shared" si="102"/>
        <v>3799</v>
      </c>
      <c r="F142" s="859">
        <f t="shared" si="102"/>
        <v>3625</v>
      </c>
      <c r="G142" s="859">
        <f t="shared" si="102"/>
        <v>3508</v>
      </c>
      <c r="K142" s="440"/>
      <c r="L142" s="458"/>
      <c r="M142" s="458"/>
      <c r="N142" s="458"/>
      <c r="O142" s="458"/>
      <c r="P142" s="458"/>
      <c r="Q142" s="440"/>
      <c r="R142" s="440"/>
    </row>
    <row r="143" spans="2:18">
      <c r="B143" s="745" t="s">
        <v>254</v>
      </c>
      <c r="C143" s="859">
        <f>D91</f>
        <v>3816</v>
      </c>
      <c r="D143" s="859">
        <f t="shared" ref="D143:G143" si="103">E91</f>
        <v>3559</v>
      </c>
      <c r="E143" s="859">
        <f t="shared" si="103"/>
        <v>3353</v>
      </c>
      <c r="F143" s="859">
        <f t="shared" si="103"/>
        <v>3199</v>
      </c>
      <c r="G143" s="859">
        <f t="shared" si="103"/>
        <v>3097</v>
      </c>
      <c r="K143" s="440"/>
      <c r="L143" s="458"/>
      <c r="M143" s="458"/>
      <c r="N143" s="458"/>
      <c r="O143" s="458"/>
      <c r="P143" s="458"/>
      <c r="Q143" s="440"/>
      <c r="R143" s="440"/>
    </row>
    <row r="144" spans="2:18">
      <c r="B144" s="745" t="s">
        <v>255</v>
      </c>
      <c r="C144" s="859">
        <f>D94</f>
        <v>3575</v>
      </c>
      <c r="D144" s="859">
        <f t="shared" ref="D144:G144" si="104">E94</f>
        <v>3334</v>
      </c>
      <c r="E144" s="859">
        <f t="shared" si="104"/>
        <v>3141</v>
      </c>
      <c r="F144" s="859">
        <f t="shared" si="104"/>
        <v>2997</v>
      </c>
      <c r="G144" s="859">
        <f t="shared" si="104"/>
        <v>2901</v>
      </c>
      <c r="K144" s="440"/>
      <c r="L144" s="458"/>
      <c r="M144" s="458"/>
      <c r="N144" s="458"/>
      <c r="O144" s="458"/>
      <c r="P144" s="458"/>
      <c r="Q144" s="440"/>
      <c r="R144" s="440"/>
    </row>
    <row r="145" spans="2:18">
      <c r="B145" s="746" t="s">
        <v>256</v>
      </c>
      <c r="C145" s="859">
        <f>D97</f>
        <v>3350</v>
      </c>
      <c r="D145" s="859">
        <f t="shared" ref="D145:G145" si="105">E97</f>
        <v>3125</v>
      </c>
      <c r="E145" s="859">
        <f t="shared" si="105"/>
        <v>2945</v>
      </c>
      <c r="F145" s="859">
        <f t="shared" si="105"/>
        <v>2810</v>
      </c>
      <c r="G145" s="859">
        <f t="shared" si="105"/>
        <v>2719</v>
      </c>
      <c r="K145" s="440"/>
      <c r="L145" s="458"/>
      <c r="M145" s="458"/>
      <c r="N145" s="458"/>
      <c r="O145" s="458"/>
      <c r="P145" s="458"/>
      <c r="Q145" s="440"/>
      <c r="R145" s="440"/>
    </row>
    <row r="146" spans="2:18">
      <c r="B146" s="746" t="s">
        <v>257</v>
      </c>
      <c r="C146" s="860">
        <f>D100</f>
        <v>2793</v>
      </c>
      <c r="D146" s="860">
        <f t="shared" ref="D146:G146" si="106">E100</f>
        <v>2605</v>
      </c>
      <c r="E146" s="860">
        <f t="shared" si="106"/>
        <v>2455</v>
      </c>
      <c r="F146" s="860">
        <f t="shared" si="106"/>
        <v>2342</v>
      </c>
      <c r="G146" s="860">
        <f t="shared" si="106"/>
        <v>2267</v>
      </c>
      <c r="K146" s="440"/>
      <c r="L146" s="458"/>
      <c r="M146" s="458"/>
      <c r="N146" s="458"/>
      <c r="O146" s="458"/>
      <c r="P146" s="458"/>
      <c r="Q146" s="440"/>
      <c r="R146" s="440"/>
    </row>
    <row r="147" spans="2:18">
      <c r="B147" s="746" t="s">
        <v>258</v>
      </c>
      <c r="C147" s="859">
        <f>D103</f>
        <v>2441</v>
      </c>
      <c r="D147" s="859">
        <f t="shared" ref="D147:G147" si="107">E103</f>
        <v>2277</v>
      </c>
      <c r="E147" s="859">
        <f t="shared" si="107"/>
        <v>2145</v>
      </c>
      <c r="F147" s="859">
        <f t="shared" si="107"/>
        <v>2047</v>
      </c>
      <c r="G147" s="859">
        <f t="shared" si="107"/>
        <v>1981</v>
      </c>
      <c r="K147" s="440"/>
      <c r="L147" s="458"/>
      <c r="M147" s="458"/>
      <c r="N147" s="458"/>
      <c r="O147" s="458"/>
      <c r="P147" s="458"/>
      <c r="Q147" s="440"/>
      <c r="R147" s="440"/>
    </row>
    <row r="148" spans="2:18">
      <c r="B148" s="745" t="s">
        <v>259</v>
      </c>
      <c r="C148" s="859">
        <f>D106</f>
        <v>3628</v>
      </c>
      <c r="D148" s="859">
        <f t="shared" ref="D148:G148" si="108">E106</f>
        <v>3384</v>
      </c>
      <c r="E148" s="859">
        <f t="shared" si="108"/>
        <v>3188</v>
      </c>
      <c r="F148" s="859">
        <f t="shared" si="108"/>
        <v>3042</v>
      </c>
      <c r="G148" s="859">
        <f t="shared" si="108"/>
        <v>2944</v>
      </c>
      <c r="K148" s="440"/>
      <c r="L148" s="458"/>
      <c r="M148" s="458"/>
      <c r="N148" s="458"/>
      <c r="O148" s="458"/>
      <c r="P148" s="458"/>
      <c r="Q148" s="440"/>
      <c r="R148" s="440"/>
    </row>
    <row r="149" spans="2:18">
      <c r="B149" s="745" t="s">
        <v>260</v>
      </c>
      <c r="C149" s="859">
        <f>D109</f>
        <v>4033</v>
      </c>
      <c r="D149" s="859">
        <f t="shared" ref="D149:G149" si="109">E109</f>
        <v>3762</v>
      </c>
      <c r="E149" s="859">
        <f t="shared" si="109"/>
        <v>3545</v>
      </c>
      <c r="F149" s="859">
        <f t="shared" si="109"/>
        <v>3382</v>
      </c>
      <c r="G149" s="859">
        <f t="shared" si="109"/>
        <v>3273</v>
      </c>
      <c r="K149" s="440"/>
      <c r="L149" s="741"/>
      <c r="M149" s="741"/>
      <c r="N149" s="741"/>
      <c r="O149" s="741"/>
      <c r="P149" s="741"/>
      <c r="Q149" s="440"/>
      <c r="R149" s="440"/>
    </row>
    <row r="150" spans="2:18">
      <c r="B150" s="745" t="s">
        <v>261</v>
      </c>
      <c r="C150" s="859">
        <f>D112</f>
        <v>4289</v>
      </c>
      <c r="D150" s="859">
        <f t="shared" ref="D150:G150" si="110">E112</f>
        <v>4001</v>
      </c>
      <c r="E150" s="859">
        <f t="shared" si="110"/>
        <v>3770</v>
      </c>
      <c r="F150" s="859">
        <f t="shared" si="110"/>
        <v>3597</v>
      </c>
      <c r="G150" s="859">
        <f t="shared" si="110"/>
        <v>3482</v>
      </c>
      <c r="K150" s="440"/>
      <c r="L150" s="440"/>
      <c r="M150" s="440"/>
      <c r="N150" s="440"/>
      <c r="O150" s="440"/>
      <c r="P150" s="440"/>
      <c r="Q150" s="440"/>
      <c r="R150" s="440"/>
    </row>
    <row r="151" spans="2:18">
      <c r="K151" s="440"/>
      <c r="L151" s="440"/>
      <c r="M151" s="440"/>
      <c r="N151" s="440"/>
      <c r="O151" s="440"/>
      <c r="P151" s="440"/>
      <c r="Q151" s="440"/>
      <c r="R151" s="440"/>
    </row>
    <row r="152" spans="2:18">
      <c r="K152" s="440"/>
      <c r="L152" s="440"/>
      <c r="M152" s="440"/>
      <c r="N152" s="440"/>
      <c r="O152" s="440"/>
      <c r="P152" s="440"/>
      <c r="Q152" s="440"/>
      <c r="R152" s="440"/>
    </row>
    <row r="153" spans="2:18">
      <c r="K153" s="440"/>
      <c r="L153" s="440"/>
      <c r="M153" s="440"/>
      <c r="N153" s="440"/>
      <c r="O153" s="440"/>
      <c r="P153" s="440"/>
      <c r="Q153" s="440"/>
      <c r="R153" s="440"/>
    </row>
  </sheetData>
  <mergeCells count="181">
    <mergeCell ref="I102:J104"/>
    <mergeCell ref="I105:J107"/>
    <mergeCell ref="I108:J110"/>
    <mergeCell ref="K89:L89"/>
    <mergeCell ref="M85:N85"/>
    <mergeCell ref="M87:N87"/>
    <mergeCell ref="M89:N89"/>
    <mergeCell ref="K83:L83"/>
    <mergeCell ref="K84:L84"/>
    <mergeCell ref="K85:L85"/>
    <mergeCell ref="K86:L86"/>
    <mergeCell ref="K87:L87"/>
    <mergeCell ref="B102:B104"/>
    <mergeCell ref="B105:B107"/>
    <mergeCell ref="B108:B110"/>
    <mergeCell ref="B111:B113"/>
    <mergeCell ref="K78:L78"/>
    <mergeCell ref="M96:N96"/>
    <mergeCell ref="T96:U96"/>
    <mergeCell ref="T98:U98"/>
    <mergeCell ref="T100:U100"/>
    <mergeCell ref="M86:N86"/>
    <mergeCell ref="M88:N88"/>
    <mergeCell ref="M90:N90"/>
    <mergeCell ref="T90:U90"/>
    <mergeCell ref="M92:N92"/>
    <mergeCell ref="T92:U92"/>
    <mergeCell ref="M94:N94"/>
    <mergeCell ref="T94:U94"/>
    <mergeCell ref="I90:J92"/>
    <mergeCell ref="I93:J95"/>
    <mergeCell ref="I96:J98"/>
    <mergeCell ref="B78:B80"/>
    <mergeCell ref="B81:B83"/>
    <mergeCell ref="I111:J113"/>
    <mergeCell ref="K88:L88"/>
    <mergeCell ref="B84:B86"/>
    <mergeCell ref="B87:B89"/>
    <mergeCell ref="B90:B92"/>
    <mergeCell ref="B93:B95"/>
    <mergeCell ref="B96:B98"/>
    <mergeCell ref="B99:B101"/>
    <mergeCell ref="M78:N78"/>
    <mergeCell ref="M80:N80"/>
    <mergeCell ref="M82:N82"/>
    <mergeCell ref="M84:N84"/>
    <mergeCell ref="I99:J101"/>
    <mergeCell ref="M77:N77"/>
    <mergeCell ref="M79:N79"/>
    <mergeCell ref="M81:N81"/>
    <mergeCell ref="M83:N83"/>
    <mergeCell ref="I77:J77"/>
    <mergeCell ref="I81:J83"/>
    <mergeCell ref="I78:J80"/>
    <mergeCell ref="I84:J86"/>
    <mergeCell ref="I87:J89"/>
    <mergeCell ref="K79:L79"/>
    <mergeCell ref="K80:L80"/>
    <mergeCell ref="K81:L81"/>
    <mergeCell ref="K82:L82"/>
    <mergeCell ref="L32:M33"/>
    <mergeCell ref="N32:P32"/>
    <mergeCell ref="B43:C43"/>
    <mergeCell ref="B44:C44"/>
    <mergeCell ref="B45:C45"/>
    <mergeCell ref="I34:J45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B38:C38"/>
    <mergeCell ref="B39:C39"/>
    <mergeCell ref="B40:C40"/>
    <mergeCell ref="B41:C41"/>
    <mergeCell ref="B42:C42"/>
    <mergeCell ref="B33:C33"/>
    <mergeCell ref="B58:C58"/>
    <mergeCell ref="I28:J28"/>
    <mergeCell ref="I29:J29"/>
    <mergeCell ref="I30:J30"/>
    <mergeCell ref="B23:C23"/>
    <mergeCell ref="B24:C24"/>
    <mergeCell ref="B25:C25"/>
    <mergeCell ref="B26:C26"/>
    <mergeCell ref="I48:J48"/>
    <mergeCell ref="I58:J58"/>
    <mergeCell ref="I33:J33"/>
    <mergeCell ref="B34:C34"/>
    <mergeCell ref="B35:C35"/>
    <mergeCell ref="B36:C36"/>
    <mergeCell ref="B37:C37"/>
    <mergeCell ref="B52:C52"/>
    <mergeCell ref="I49:J49"/>
    <mergeCell ref="I53:J53"/>
    <mergeCell ref="I50:J50"/>
    <mergeCell ref="I51:J51"/>
    <mergeCell ref="I52:J52"/>
    <mergeCell ref="B54:C54"/>
    <mergeCell ref="I54:J54"/>
    <mergeCell ref="B10:C10"/>
    <mergeCell ref="B11:C11"/>
    <mergeCell ref="B27:C27"/>
    <mergeCell ref="B15:C15"/>
    <mergeCell ref="B19:C19"/>
    <mergeCell ref="B20:C20"/>
    <mergeCell ref="B21:C21"/>
    <mergeCell ref="B22:C22"/>
    <mergeCell ref="B53:C53"/>
    <mergeCell ref="B12:C12"/>
    <mergeCell ref="B13:C13"/>
    <mergeCell ref="B14:C14"/>
    <mergeCell ref="B48:C48"/>
    <mergeCell ref="B49:C49"/>
    <mergeCell ref="B50:C50"/>
    <mergeCell ref="B51:C51"/>
    <mergeCell ref="I3:J3"/>
    <mergeCell ref="I4:J4"/>
    <mergeCell ref="I5:J5"/>
    <mergeCell ref="I6:J6"/>
    <mergeCell ref="I7:J7"/>
    <mergeCell ref="B28:C28"/>
    <mergeCell ref="B29:C29"/>
    <mergeCell ref="B30:C30"/>
    <mergeCell ref="B18:C18"/>
    <mergeCell ref="I20:J20"/>
    <mergeCell ref="I21:J21"/>
    <mergeCell ref="I22:J22"/>
    <mergeCell ref="I23:J23"/>
    <mergeCell ref="I24:J24"/>
    <mergeCell ref="I25:J25"/>
    <mergeCell ref="I26:J26"/>
    <mergeCell ref="I27:J27"/>
    <mergeCell ref="B3:C3"/>
    <mergeCell ref="B4:C4"/>
    <mergeCell ref="B5:C5"/>
    <mergeCell ref="B6:C6"/>
    <mergeCell ref="B7:C7"/>
    <mergeCell ref="B8:C8"/>
    <mergeCell ref="B9:C9"/>
    <mergeCell ref="I13:J13"/>
    <mergeCell ref="I14:J14"/>
    <mergeCell ref="I15:J15"/>
    <mergeCell ref="I18:J18"/>
    <mergeCell ref="I19:J19"/>
    <mergeCell ref="I8:J8"/>
    <mergeCell ref="I9:J9"/>
    <mergeCell ref="I10:J10"/>
    <mergeCell ref="I11:J11"/>
    <mergeCell ref="I12:J12"/>
    <mergeCell ref="B59:C59"/>
    <mergeCell ref="B60:C60"/>
    <mergeCell ref="B61:C61"/>
    <mergeCell ref="I73:J73"/>
    <mergeCell ref="I72:J72"/>
    <mergeCell ref="I69:J69"/>
    <mergeCell ref="I71:J71"/>
    <mergeCell ref="I59:J59"/>
    <mergeCell ref="I60:J60"/>
    <mergeCell ref="I61:J61"/>
    <mergeCell ref="B72:C72"/>
    <mergeCell ref="B73:C73"/>
    <mergeCell ref="B69:C69"/>
    <mergeCell ref="B71:C71"/>
    <mergeCell ref="B74:C74"/>
    <mergeCell ref="B65:C65"/>
    <mergeCell ref="I65:J65"/>
    <mergeCell ref="I66:J66"/>
    <mergeCell ref="I67:J67"/>
    <mergeCell ref="I68:J68"/>
    <mergeCell ref="I74:J74"/>
    <mergeCell ref="B66:B68"/>
    <mergeCell ref="B70:C70"/>
    <mergeCell ref="I70:J70"/>
  </mergeCells>
  <phoneticPr fontId="10" type="noConversion"/>
  <pageMargins left="0.7" right="0.7" top="0.75" bottom="0.75" header="0.3" footer="0.3"/>
  <pageSetup paperSize="9" scale="55" orientation="portrait" r:id="rId1"/>
  <rowBreaks count="1" manualBreakCount="1">
    <brk id="75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1"/>
  </sheetPr>
  <dimension ref="A1:P32"/>
  <sheetViews>
    <sheetView view="pageBreakPreview" zoomScale="85" zoomScaleNormal="115" zoomScaleSheetLayoutView="85" workbookViewId="0">
      <selection activeCell="R39" sqref="R39"/>
    </sheetView>
  </sheetViews>
  <sheetFormatPr defaultRowHeight="16.5"/>
  <cols>
    <col min="1" max="4" width="17.5546875" style="420" customWidth="1"/>
    <col min="5" max="16384" width="8.88671875" style="420"/>
  </cols>
  <sheetData>
    <row r="1" spans="1:16" s="423" customFormat="1" ht="39.950000000000003" customHeight="1">
      <c r="A1" s="376" t="s">
        <v>1061</v>
      </c>
      <c r="B1" s="376"/>
      <c r="C1" s="376"/>
      <c r="D1" s="376"/>
      <c r="E1" s="441"/>
      <c r="F1" s="441"/>
      <c r="G1" s="441"/>
      <c r="H1" s="441"/>
      <c r="I1" s="441"/>
      <c r="J1" s="441"/>
      <c r="K1" s="441"/>
      <c r="L1" s="424"/>
      <c r="M1" s="424"/>
      <c r="N1" s="424"/>
      <c r="O1" s="424"/>
      <c r="P1" s="424"/>
    </row>
    <row r="2" spans="1:16" ht="23.25" customHeight="1">
      <c r="A2" s="1097" t="s">
        <v>10</v>
      </c>
      <c r="B2" s="1099" t="s">
        <v>697</v>
      </c>
      <c r="C2" s="1099"/>
      <c r="D2" s="1100"/>
      <c r="E2" s="419"/>
      <c r="F2" s="425" t="s">
        <v>595</v>
      </c>
      <c r="G2" s="425" t="s">
        <v>698</v>
      </c>
      <c r="H2" s="419"/>
      <c r="I2" s="419"/>
      <c r="J2" s="419"/>
      <c r="K2" s="419"/>
      <c r="L2" s="419"/>
      <c r="M2" s="419"/>
      <c r="N2" s="419"/>
      <c r="O2" s="419"/>
      <c r="P2" s="419"/>
    </row>
    <row r="3" spans="1:16" ht="23.25" customHeight="1">
      <c r="A3" s="1098"/>
      <c r="B3" s="372" t="s">
        <v>19</v>
      </c>
      <c r="C3" s="372" t="s">
        <v>76</v>
      </c>
      <c r="D3" s="373" t="s">
        <v>75</v>
      </c>
      <c r="E3" s="419"/>
      <c r="F3" s="425" t="s">
        <v>597</v>
      </c>
      <c r="G3" s="425" t="s">
        <v>699</v>
      </c>
      <c r="H3" s="419"/>
      <c r="I3" s="419"/>
      <c r="J3" s="419"/>
      <c r="K3" s="419"/>
      <c r="L3" s="419"/>
      <c r="M3" s="419"/>
      <c r="N3" s="419"/>
      <c r="O3" s="419"/>
      <c r="P3" s="419"/>
    </row>
    <row r="4" spans="1:16" ht="23.25" customHeight="1">
      <c r="A4" s="397" t="s">
        <v>673</v>
      </c>
      <c r="B4" s="411">
        <v>97179</v>
      </c>
      <c r="C4" s="396">
        <v>49975</v>
      </c>
      <c r="D4" s="395">
        <v>47204</v>
      </c>
      <c r="E4" s="419"/>
      <c r="F4" s="425" t="s">
        <v>599</v>
      </c>
      <c r="G4" s="425" t="s">
        <v>700</v>
      </c>
      <c r="H4" s="419"/>
      <c r="I4" s="419"/>
      <c r="J4" s="419"/>
      <c r="K4" s="419"/>
      <c r="L4" s="427"/>
      <c r="M4" s="419"/>
      <c r="N4" s="419"/>
      <c r="O4" s="419"/>
      <c r="P4" s="419"/>
    </row>
    <row r="5" spans="1:16" ht="23.25" customHeight="1">
      <c r="A5" s="375" t="s">
        <v>674</v>
      </c>
      <c r="B5" s="410">
        <v>100057</v>
      </c>
      <c r="C5" s="394">
        <v>51819</v>
      </c>
      <c r="D5" s="393">
        <v>48238</v>
      </c>
      <c r="E5" s="419"/>
      <c r="F5" s="425" t="s">
        <v>601</v>
      </c>
      <c r="G5" s="425" t="s">
        <v>701</v>
      </c>
      <c r="H5" s="419"/>
      <c r="I5" s="419"/>
      <c r="J5" s="419"/>
      <c r="K5" s="1101"/>
      <c r="L5" s="428"/>
      <c r="M5" s="419"/>
      <c r="N5" s="428"/>
      <c r="O5" s="419"/>
      <c r="P5" s="419"/>
    </row>
    <row r="6" spans="1:16" ht="23.25" customHeight="1">
      <c r="A6" s="375" t="s">
        <v>675</v>
      </c>
      <c r="B6" s="410">
        <v>100964</v>
      </c>
      <c r="C6" s="394">
        <v>52339</v>
      </c>
      <c r="D6" s="393">
        <v>48625</v>
      </c>
      <c r="E6" s="419"/>
      <c r="F6" s="425" t="s">
        <v>603</v>
      </c>
      <c r="G6" s="425" t="s">
        <v>754</v>
      </c>
      <c r="H6" s="419"/>
      <c r="I6" s="419"/>
      <c r="J6" s="419"/>
      <c r="K6" s="1101"/>
      <c r="L6" s="429"/>
      <c r="M6" s="429"/>
      <c r="N6" s="429"/>
      <c r="O6" s="419"/>
      <c r="P6" s="419"/>
    </row>
    <row r="7" spans="1:16" ht="23.25" customHeight="1">
      <c r="A7" s="375" t="s">
        <v>676</v>
      </c>
      <c r="B7" s="410">
        <v>128250</v>
      </c>
      <c r="C7" s="394">
        <v>67039</v>
      </c>
      <c r="D7" s="393">
        <v>61211</v>
      </c>
      <c r="E7" s="419"/>
      <c r="F7" s="425" t="s">
        <v>605</v>
      </c>
      <c r="G7" s="425" t="s">
        <v>703</v>
      </c>
      <c r="H7" s="430"/>
      <c r="I7" s="430"/>
      <c r="J7" s="419"/>
      <c r="K7" s="431"/>
      <c r="L7" s="432"/>
      <c r="M7" s="432"/>
      <c r="N7" s="432"/>
      <c r="O7" s="419"/>
      <c r="P7" s="419"/>
    </row>
    <row r="8" spans="1:16" ht="23.25" customHeight="1">
      <c r="A8" s="375" t="s">
        <v>677</v>
      </c>
      <c r="B8" s="410">
        <v>128585</v>
      </c>
      <c r="C8" s="394">
        <v>68828</v>
      </c>
      <c r="D8" s="393">
        <v>59757</v>
      </c>
      <c r="E8" s="419"/>
      <c r="F8" s="425" t="s">
        <v>124</v>
      </c>
      <c r="G8" s="425" t="s">
        <v>607</v>
      </c>
      <c r="H8" s="430"/>
      <c r="I8" s="430"/>
      <c r="J8" s="419"/>
      <c r="K8" s="433"/>
      <c r="L8" s="422"/>
      <c r="M8" s="422"/>
      <c r="N8" s="422"/>
      <c r="O8" s="419"/>
      <c r="P8" s="419"/>
    </row>
    <row r="9" spans="1:16" ht="23.25" customHeight="1">
      <c r="A9" s="375" t="s">
        <v>678</v>
      </c>
      <c r="B9" s="410">
        <v>115648</v>
      </c>
      <c r="C9" s="394">
        <v>62603</v>
      </c>
      <c r="D9" s="393">
        <v>53045</v>
      </c>
      <c r="E9" s="419"/>
      <c r="F9" s="425" t="s">
        <v>704</v>
      </c>
      <c r="G9" s="425" t="s">
        <v>705</v>
      </c>
      <c r="H9" s="430"/>
      <c r="I9" s="430"/>
      <c r="J9" s="419"/>
      <c r="K9" s="433"/>
      <c r="L9" s="422"/>
      <c r="M9" s="422"/>
      <c r="N9" s="422"/>
      <c r="O9" s="419"/>
      <c r="P9" s="419"/>
    </row>
    <row r="10" spans="1:16" ht="23.25" customHeight="1">
      <c r="A10" s="375" t="s">
        <v>679</v>
      </c>
      <c r="B10" s="410">
        <v>144176</v>
      </c>
      <c r="C10" s="394">
        <v>77299</v>
      </c>
      <c r="D10" s="393">
        <v>66877</v>
      </c>
      <c r="E10" s="419"/>
      <c r="F10" s="425" t="s">
        <v>608</v>
      </c>
      <c r="G10" s="434"/>
      <c r="H10" s="430"/>
      <c r="I10" s="430"/>
      <c r="J10" s="419"/>
      <c r="K10" s="433"/>
      <c r="L10" s="422"/>
      <c r="M10" s="422"/>
      <c r="N10" s="422"/>
      <c r="O10" s="419"/>
      <c r="P10" s="419"/>
    </row>
    <row r="11" spans="1:16" ht="23.25" customHeight="1">
      <c r="A11" s="375" t="s">
        <v>680</v>
      </c>
      <c r="B11" s="410">
        <v>152733</v>
      </c>
      <c r="C11" s="394">
        <v>81312</v>
      </c>
      <c r="D11" s="393">
        <v>71421</v>
      </c>
      <c r="E11" s="419"/>
      <c r="F11" s="425" t="s">
        <v>609</v>
      </c>
      <c r="G11" s="425" t="s">
        <v>706</v>
      </c>
      <c r="H11" s="430"/>
      <c r="I11" s="430"/>
      <c r="J11" s="419"/>
      <c r="K11" s="433"/>
      <c r="L11" s="422"/>
      <c r="M11" s="422"/>
      <c r="N11" s="422"/>
      <c r="O11" s="419"/>
      <c r="P11" s="419"/>
    </row>
    <row r="12" spans="1:16" ht="23.25" customHeight="1">
      <c r="A12" s="375" t="s">
        <v>681</v>
      </c>
      <c r="B12" s="410">
        <v>166754</v>
      </c>
      <c r="C12" s="394">
        <v>88723</v>
      </c>
      <c r="D12" s="393">
        <v>78031</v>
      </c>
      <c r="E12" s="419"/>
      <c r="F12" s="425" t="s">
        <v>124</v>
      </c>
      <c r="G12" s="425" t="s">
        <v>707</v>
      </c>
      <c r="H12" s="430"/>
      <c r="I12" s="430"/>
      <c r="J12" s="419"/>
      <c r="K12" s="422"/>
      <c r="L12" s="422"/>
      <c r="M12" s="422"/>
      <c r="N12" s="422"/>
      <c r="O12" s="419"/>
      <c r="P12" s="419"/>
    </row>
    <row r="13" spans="1:16" ht="23.25" customHeight="1">
      <c r="A13" s="375" t="s">
        <v>682</v>
      </c>
      <c r="B13" s="410">
        <v>166354</v>
      </c>
      <c r="C13" s="394">
        <v>88745</v>
      </c>
      <c r="D13" s="393">
        <v>77609</v>
      </c>
      <c r="E13" s="419"/>
      <c r="F13" s="425" t="s">
        <v>124</v>
      </c>
      <c r="G13" s="425" t="s">
        <v>708</v>
      </c>
      <c r="H13" s="430"/>
      <c r="I13" s="430"/>
      <c r="J13" s="419"/>
      <c r="K13" s="422"/>
      <c r="L13" s="422"/>
      <c r="M13" s="422"/>
      <c r="N13" s="422"/>
      <c r="O13" s="419"/>
      <c r="P13" s="419"/>
    </row>
    <row r="14" spans="1:16" ht="23.25" customHeight="1">
      <c r="A14" s="375" t="s">
        <v>683</v>
      </c>
      <c r="B14" s="410">
        <v>163567</v>
      </c>
      <c r="C14" s="394">
        <v>86421</v>
      </c>
      <c r="D14" s="393">
        <v>77146</v>
      </c>
      <c r="E14" s="419"/>
      <c r="F14" s="425" t="s">
        <v>124</v>
      </c>
      <c r="G14" s="425" t="s">
        <v>709</v>
      </c>
      <c r="H14" s="430"/>
      <c r="I14" s="430"/>
      <c r="J14" s="419"/>
      <c r="K14" s="422"/>
      <c r="L14" s="422"/>
      <c r="M14" s="422"/>
      <c r="N14" s="422"/>
      <c r="O14" s="419"/>
      <c r="P14" s="419"/>
    </row>
    <row r="15" spans="1:16" ht="23.25" customHeight="1">
      <c r="A15" s="375" t="s">
        <v>684</v>
      </c>
      <c r="B15" s="410">
        <v>155290</v>
      </c>
      <c r="C15" s="394">
        <v>79290</v>
      </c>
      <c r="D15" s="393">
        <v>76000</v>
      </c>
      <c r="E15" s="419"/>
      <c r="F15" s="425" t="s">
        <v>124</v>
      </c>
      <c r="G15" s="425" t="s">
        <v>710</v>
      </c>
      <c r="H15" s="430"/>
      <c r="I15" s="430"/>
      <c r="J15" s="419"/>
      <c r="K15" s="422"/>
      <c r="L15" s="422"/>
      <c r="M15" s="422"/>
      <c r="N15" s="422"/>
      <c r="O15" s="419"/>
      <c r="P15" s="419"/>
    </row>
    <row r="16" spans="1:16" ht="23.25" customHeight="1">
      <c r="A16" s="375" t="s">
        <v>685</v>
      </c>
      <c r="B16" s="410">
        <v>116878</v>
      </c>
      <c r="C16" s="394">
        <v>57939</v>
      </c>
      <c r="D16" s="393">
        <v>58939</v>
      </c>
      <c r="E16" s="419"/>
      <c r="F16" s="425" t="s">
        <v>124</v>
      </c>
      <c r="G16" s="425" t="s">
        <v>711</v>
      </c>
      <c r="H16" s="430"/>
      <c r="I16" s="430"/>
      <c r="J16" s="419"/>
      <c r="K16" s="422"/>
      <c r="L16" s="422"/>
      <c r="M16" s="422"/>
      <c r="N16" s="422"/>
      <c r="O16" s="419"/>
      <c r="P16" s="419"/>
    </row>
    <row r="17" spans="1:14" ht="23.25" customHeight="1">
      <c r="A17" s="375" t="s">
        <v>686</v>
      </c>
      <c r="B17" s="410">
        <v>95903</v>
      </c>
      <c r="C17" s="394">
        <v>46839</v>
      </c>
      <c r="D17" s="393">
        <v>49064</v>
      </c>
      <c r="E17" s="419"/>
      <c r="F17" s="425" t="s">
        <v>124</v>
      </c>
      <c r="G17" s="425" t="s">
        <v>712</v>
      </c>
      <c r="H17" s="430"/>
      <c r="I17" s="430"/>
      <c r="J17" s="419"/>
      <c r="K17" s="422"/>
      <c r="L17" s="422"/>
      <c r="M17" s="422"/>
      <c r="N17" s="422"/>
    </row>
    <row r="18" spans="1:14" ht="23.25" customHeight="1">
      <c r="A18" s="375" t="s">
        <v>687</v>
      </c>
      <c r="B18" s="410">
        <v>84428</v>
      </c>
      <c r="C18" s="394">
        <v>36879</v>
      </c>
      <c r="D18" s="393">
        <v>47549</v>
      </c>
      <c r="E18" s="419"/>
      <c r="F18" s="435"/>
      <c r="G18" s="430"/>
      <c r="H18" s="430"/>
      <c r="I18" s="430"/>
      <c r="J18" s="419"/>
      <c r="K18" s="422"/>
      <c r="L18" s="422"/>
      <c r="M18" s="422"/>
      <c r="N18" s="422"/>
    </row>
    <row r="19" spans="1:14" ht="23.25" customHeight="1">
      <c r="A19" s="375" t="s">
        <v>688</v>
      </c>
      <c r="B19" s="410">
        <v>76011</v>
      </c>
      <c r="C19" s="394">
        <v>30680</v>
      </c>
      <c r="D19" s="393">
        <v>45331</v>
      </c>
      <c r="E19" s="419"/>
      <c r="F19" s="435"/>
      <c r="G19" s="430"/>
      <c r="H19" s="430"/>
      <c r="I19" s="430"/>
      <c r="J19" s="419"/>
      <c r="K19" s="422"/>
      <c r="L19" s="422"/>
      <c r="M19" s="422"/>
      <c r="N19" s="422"/>
    </row>
    <row r="20" spans="1:14" ht="23.25" customHeight="1">
      <c r="A20" s="375" t="s">
        <v>689</v>
      </c>
      <c r="B20" s="410">
        <v>52160</v>
      </c>
      <c r="C20" s="394">
        <v>18760</v>
      </c>
      <c r="D20" s="393">
        <v>33400</v>
      </c>
      <c r="E20" s="419"/>
      <c r="F20" s="435"/>
      <c r="G20" s="430"/>
      <c r="H20" s="430"/>
      <c r="I20" s="430"/>
      <c r="J20" s="419"/>
      <c r="K20" s="422"/>
      <c r="L20" s="422"/>
      <c r="M20" s="422"/>
      <c r="N20" s="422"/>
    </row>
    <row r="21" spans="1:14" ht="23.25" customHeight="1">
      <c r="A21" s="375" t="s">
        <v>690</v>
      </c>
      <c r="B21" s="410">
        <v>22599</v>
      </c>
      <c r="C21" s="394">
        <v>6605</v>
      </c>
      <c r="D21" s="393">
        <v>15994</v>
      </c>
      <c r="E21" s="419"/>
      <c r="F21" s="421"/>
      <c r="G21" s="430"/>
      <c r="H21" s="430"/>
      <c r="I21" s="430"/>
      <c r="J21" s="419"/>
      <c r="K21" s="422"/>
      <c r="L21" s="422"/>
      <c r="M21" s="422"/>
      <c r="N21" s="422"/>
    </row>
    <row r="22" spans="1:14" ht="23.25" customHeight="1">
      <c r="A22" s="375" t="s">
        <v>691</v>
      </c>
      <c r="B22" s="410">
        <v>7721</v>
      </c>
      <c r="C22" s="394">
        <v>1839</v>
      </c>
      <c r="D22" s="393">
        <v>5882</v>
      </c>
      <c r="E22" s="419"/>
      <c r="F22" s="421"/>
      <c r="G22" s="430"/>
      <c r="H22" s="430"/>
      <c r="I22" s="430"/>
      <c r="J22" s="419"/>
      <c r="K22" s="422"/>
      <c r="L22" s="422"/>
      <c r="M22" s="422"/>
      <c r="N22" s="422"/>
    </row>
    <row r="23" spans="1:14" ht="23.25" customHeight="1">
      <c r="A23" s="375" t="s">
        <v>692</v>
      </c>
      <c r="B23" s="410">
        <v>1712</v>
      </c>
      <c r="C23" s="394">
        <v>360</v>
      </c>
      <c r="D23" s="393">
        <v>1352</v>
      </c>
      <c r="E23" s="419"/>
      <c r="F23" s="421"/>
      <c r="G23" s="430"/>
      <c r="H23" s="430"/>
      <c r="I23" s="430"/>
      <c r="J23" s="419"/>
      <c r="K23" s="422"/>
      <c r="L23" s="422"/>
      <c r="M23" s="422"/>
      <c r="N23" s="422"/>
    </row>
    <row r="24" spans="1:14" ht="23.25" customHeight="1">
      <c r="A24" s="375" t="s">
        <v>300</v>
      </c>
      <c r="B24" s="410">
        <v>680</v>
      </c>
      <c r="C24" s="394">
        <v>145</v>
      </c>
      <c r="D24" s="393">
        <v>535</v>
      </c>
      <c r="E24" s="419"/>
      <c r="F24" s="421"/>
      <c r="G24" s="430"/>
      <c r="H24" s="430"/>
      <c r="I24" s="430"/>
      <c r="J24" s="419"/>
      <c r="K24" s="422"/>
      <c r="L24" s="422"/>
      <c r="M24" s="422"/>
      <c r="N24" s="422"/>
    </row>
    <row r="25" spans="1:14" ht="23.25" customHeight="1">
      <c r="A25" s="378" t="s">
        <v>50</v>
      </c>
      <c r="B25" s="409">
        <f>SUM(B4:B24)</f>
        <v>2077649</v>
      </c>
      <c r="C25" s="409">
        <f>SUM(C4:C24)</f>
        <v>1054439</v>
      </c>
      <c r="D25" s="392">
        <f>SUM(D4:D24)</f>
        <v>1023210</v>
      </c>
      <c r="E25" s="419"/>
      <c r="F25" s="435"/>
      <c r="G25" s="430"/>
      <c r="H25" s="430"/>
      <c r="I25" s="430"/>
      <c r="J25" s="419"/>
      <c r="K25" s="422"/>
      <c r="L25" s="422"/>
      <c r="M25" s="422"/>
      <c r="N25" s="422"/>
    </row>
    <row r="26" spans="1:14">
      <c r="E26" s="419"/>
      <c r="F26" s="435"/>
      <c r="G26" s="430"/>
      <c r="H26" s="430"/>
      <c r="I26" s="430"/>
      <c r="J26" s="419"/>
      <c r="K26" s="422"/>
      <c r="L26" s="422"/>
      <c r="M26" s="422"/>
      <c r="N26" s="422"/>
    </row>
    <row r="27" spans="1:14">
      <c r="E27" s="419"/>
      <c r="F27" s="435"/>
      <c r="G27" s="430"/>
      <c r="H27" s="430"/>
      <c r="I27" s="430"/>
      <c r="J27" s="419"/>
      <c r="K27" s="422"/>
      <c r="L27" s="422"/>
      <c r="M27" s="422"/>
      <c r="N27" s="422"/>
    </row>
    <row r="28" spans="1:14">
      <c r="E28" s="419"/>
      <c r="F28" s="435"/>
      <c r="G28" s="430"/>
      <c r="H28" s="430"/>
      <c r="I28" s="430"/>
      <c r="J28" s="419"/>
      <c r="K28" s="422"/>
      <c r="L28" s="422"/>
      <c r="M28" s="422"/>
      <c r="N28" s="422"/>
    </row>
    <row r="29" spans="1:14">
      <c r="E29" s="419"/>
      <c r="F29" s="435"/>
      <c r="G29" s="430"/>
      <c r="H29" s="430"/>
      <c r="I29" s="430"/>
      <c r="J29" s="419"/>
      <c r="K29" s="419"/>
      <c r="L29" s="419"/>
      <c r="M29" s="419"/>
      <c r="N29" s="419"/>
    </row>
    <row r="31" spans="1:14">
      <c r="E31" s="419"/>
      <c r="F31" s="419"/>
      <c r="G31" s="419"/>
      <c r="H31" s="419"/>
      <c r="I31" s="419"/>
      <c r="J31" s="419"/>
      <c r="K31" s="419"/>
      <c r="L31" s="436"/>
      <c r="M31" s="436"/>
      <c r="N31" s="436"/>
    </row>
    <row r="32" spans="1:14">
      <c r="E32" s="419"/>
      <c r="F32" s="419"/>
      <c r="G32" s="436"/>
      <c r="H32" s="436"/>
      <c r="I32" s="436"/>
      <c r="J32" s="419"/>
      <c r="K32" s="419"/>
      <c r="L32" s="419"/>
      <c r="M32" s="419"/>
      <c r="N32" s="419"/>
    </row>
  </sheetData>
  <mergeCells count="3">
    <mergeCell ref="A2:A3"/>
    <mergeCell ref="B2:D2"/>
    <mergeCell ref="K5:K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tabColor theme="1"/>
  </sheetPr>
  <dimension ref="A1:O244"/>
  <sheetViews>
    <sheetView view="pageBreakPreview" zoomScale="85" zoomScaleNormal="115" zoomScaleSheetLayoutView="85" workbookViewId="0">
      <selection activeCell="A2" sqref="A2:A3"/>
    </sheetView>
  </sheetViews>
  <sheetFormatPr defaultRowHeight="16.5"/>
  <cols>
    <col min="1" max="4" width="17.5546875" style="1" customWidth="1"/>
    <col min="5" max="7" width="8.88671875" style="1"/>
    <col min="8" max="8" width="8.5546875" style="382" bestFit="1" customWidth="1"/>
    <col min="9" max="9" width="9.109375" style="382" bestFit="1" customWidth="1"/>
    <col min="10" max="10" width="11.5546875" style="382" bestFit="1" customWidth="1"/>
    <col min="11" max="12" width="13.44140625" style="382" bestFit="1" customWidth="1"/>
    <col min="13" max="13" width="8.88671875" style="1"/>
    <col min="14" max="14" width="13.88671875" style="1" bestFit="1" customWidth="1"/>
    <col min="15" max="16384" width="8.88671875" style="1"/>
  </cols>
  <sheetData>
    <row r="1" spans="1:15" s="78" customFormat="1" ht="39.950000000000003" customHeight="1">
      <c r="A1" s="376" t="s">
        <v>1062</v>
      </c>
      <c r="B1" s="376"/>
      <c r="C1" s="376"/>
      <c r="D1" s="376"/>
      <c r="E1" s="376"/>
      <c r="F1" s="376"/>
      <c r="G1" s="376"/>
      <c r="H1" s="1107" t="s">
        <v>669</v>
      </c>
      <c r="I1" s="1108" t="s">
        <v>669</v>
      </c>
      <c r="J1" s="1106" t="s">
        <v>696</v>
      </c>
      <c r="K1" s="1106"/>
      <c r="L1" s="1106"/>
      <c r="N1" s="386" t="s">
        <v>595</v>
      </c>
      <c r="O1" s="386" t="s">
        <v>698</v>
      </c>
    </row>
    <row r="2" spans="1:15" ht="23.25" customHeight="1">
      <c r="A2" s="1097" t="s">
        <v>81</v>
      </c>
      <c r="B2" s="1099" t="s">
        <v>697</v>
      </c>
      <c r="C2" s="1099"/>
      <c r="D2" s="1100"/>
      <c r="H2" s="1107" t="s">
        <v>670</v>
      </c>
      <c r="I2" s="1108" t="s">
        <v>670</v>
      </c>
      <c r="J2" s="377" t="s">
        <v>693</v>
      </c>
      <c r="K2" s="377" t="s">
        <v>694</v>
      </c>
      <c r="L2" s="377" t="s">
        <v>695</v>
      </c>
      <c r="N2" s="386" t="s">
        <v>597</v>
      </c>
      <c r="O2" s="386" t="s">
        <v>699</v>
      </c>
    </row>
    <row r="3" spans="1:15" ht="23.25" customHeight="1">
      <c r="A3" s="1098"/>
      <c r="B3" s="372" t="s">
        <v>77</v>
      </c>
      <c r="C3" s="372" t="s">
        <v>76</v>
      </c>
      <c r="D3" s="373" t="s">
        <v>75</v>
      </c>
      <c r="H3" s="1103" t="s">
        <v>671</v>
      </c>
      <c r="I3" s="383" t="s">
        <v>672</v>
      </c>
      <c r="J3" s="384">
        <v>94553</v>
      </c>
      <c r="K3" s="384">
        <v>47198</v>
      </c>
      <c r="L3" s="384">
        <v>47355</v>
      </c>
      <c r="N3" s="386" t="s">
        <v>599</v>
      </c>
      <c r="O3" s="386" t="s">
        <v>700</v>
      </c>
    </row>
    <row r="4" spans="1:15" ht="23.25" customHeight="1">
      <c r="A4" s="374" t="s">
        <v>673</v>
      </c>
      <c r="B4" s="371">
        <f>SUM(C4:D4)</f>
        <v>3217</v>
      </c>
      <c r="C4" s="371">
        <f>ROUND(K4*'홍성군 인구현황(2015)'!$G$3,0)</f>
        <v>1687</v>
      </c>
      <c r="D4" s="371">
        <f>ROUND(L4*'홍성군 인구현황(2015)'!$G$3,0)</f>
        <v>1530</v>
      </c>
      <c r="G4" s="70"/>
      <c r="H4" s="1104"/>
      <c r="I4" s="383" t="s">
        <v>673</v>
      </c>
      <c r="J4" s="384">
        <v>3633</v>
      </c>
      <c r="K4" s="384">
        <v>1905</v>
      </c>
      <c r="L4" s="384">
        <v>1728</v>
      </c>
      <c r="N4" s="386" t="s">
        <v>601</v>
      </c>
      <c r="O4" s="386" t="s">
        <v>701</v>
      </c>
    </row>
    <row r="5" spans="1:15" ht="23.25" customHeight="1">
      <c r="A5" s="375" t="s">
        <v>674</v>
      </c>
      <c r="B5" s="371">
        <f t="shared" ref="B5:B24" si="0">SUM(C5:D5)</f>
        <v>3681</v>
      </c>
      <c r="C5" s="371">
        <f>ROUND(K5*'홍성군 인구현황(2015)'!$G$3,0)</f>
        <v>1896</v>
      </c>
      <c r="D5" s="371">
        <f>ROUND(L5*'홍성군 인구현황(2015)'!$G$3,0)</f>
        <v>1785</v>
      </c>
      <c r="H5" s="1104"/>
      <c r="I5" s="383" t="s">
        <v>674</v>
      </c>
      <c r="J5" s="384">
        <v>4157</v>
      </c>
      <c r="K5" s="384">
        <v>2141</v>
      </c>
      <c r="L5" s="384">
        <v>2016</v>
      </c>
      <c r="N5" s="386" t="s">
        <v>603</v>
      </c>
      <c r="O5" s="386" t="s">
        <v>702</v>
      </c>
    </row>
    <row r="6" spans="1:15" ht="23.25" customHeight="1">
      <c r="A6" s="375" t="s">
        <v>675</v>
      </c>
      <c r="B6" s="371">
        <f t="shared" si="0"/>
        <v>3928</v>
      </c>
      <c r="C6" s="371">
        <f>ROUND(K6*'홍성군 인구현황(2015)'!$G$3,0)</f>
        <v>2023</v>
      </c>
      <c r="D6" s="371">
        <f>ROUND(L6*'홍성군 인구현황(2015)'!$G$3,0)</f>
        <v>1905</v>
      </c>
      <c r="H6" s="1104"/>
      <c r="I6" s="383" t="s">
        <v>675</v>
      </c>
      <c r="J6" s="384">
        <v>4435</v>
      </c>
      <c r="K6" s="384">
        <v>2284</v>
      </c>
      <c r="L6" s="384">
        <v>2151</v>
      </c>
      <c r="N6" s="386" t="s">
        <v>605</v>
      </c>
      <c r="O6" s="386" t="s">
        <v>703</v>
      </c>
    </row>
    <row r="7" spans="1:15" ht="23.25" customHeight="1">
      <c r="A7" s="375" t="s">
        <v>676</v>
      </c>
      <c r="B7" s="371">
        <f t="shared" si="0"/>
        <v>4795</v>
      </c>
      <c r="C7" s="371">
        <f>ROUND(K7*'홍성군 인구현황(2015)'!$G$3,0)</f>
        <v>2539</v>
      </c>
      <c r="D7" s="371">
        <f>ROUND(L7*'홍성군 인구현황(2015)'!$G$3,0)</f>
        <v>2256</v>
      </c>
      <c r="F7" s="36"/>
      <c r="G7" s="71"/>
      <c r="H7" s="1104"/>
      <c r="I7" s="383" t="s">
        <v>676</v>
      </c>
      <c r="J7" s="384">
        <v>5414</v>
      </c>
      <c r="K7" s="384">
        <v>2867</v>
      </c>
      <c r="L7" s="384">
        <v>2547</v>
      </c>
      <c r="N7" s="386" t="s">
        <v>124</v>
      </c>
      <c r="O7" s="386" t="s">
        <v>607</v>
      </c>
    </row>
    <row r="8" spans="1:15" ht="23.25" customHeight="1">
      <c r="A8" s="375" t="s">
        <v>677</v>
      </c>
      <c r="B8" s="371">
        <f t="shared" si="0"/>
        <v>4794</v>
      </c>
      <c r="C8" s="371">
        <f>ROUND(K8*'홍성군 인구현황(2015)'!$G$3,0)</f>
        <v>2675</v>
      </c>
      <c r="D8" s="371">
        <f>ROUND(L8*'홍성군 인구현황(2015)'!$G$3,0)</f>
        <v>2119</v>
      </c>
      <c r="F8" s="36"/>
      <c r="G8" s="71"/>
      <c r="H8" s="1104"/>
      <c r="I8" s="383" t="s">
        <v>677</v>
      </c>
      <c r="J8" s="384">
        <v>5413</v>
      </c>
      <c r="K8" s="384">
        <v>3020</v>
      </c>
      <c r="L8" s="384">
        <v>2393</v>
      </c>
      <c r="N8" s="386" t="s">
        <v>704</v>
      </c>
      <c r="O8" s="386" t="s">
        <v>705</v>
      </c>
    </row>
    <row r="9" spans="1:15" ht="23.25" customHeight="1">
      <c r="A9" s="375" t="s">
        <v>678</v>
      </c>
      <c r="B9" s="371">
        <f t="shared" si="0"/>
        <v>3706</v>
      </c>
      <c r="C9" s="371">
        <f>ROUND(K9*'홍성군 인구현황(2015)'!$G$3,0)</f>
        <v>2044</v>
      </c>
      <c r="D9" s="371">
        <f>ROUND(L9*'홍성군 인구현황(2015)'!$G$3,0)</f>
        <v>1662</v>
      </c>
      <c r="F9" s="36"/>
      <c r="G9" s="71"/>
      <c r="H9" s="1104"/>
      <c r="I9" s="383" t="s">
        <v>678</v>
      </c>
      <c r="J9" s="384">
        <v>4185</v>
      </c>
      <c r="K9" s="384">
        <v>2308</v>
      </c>
      <c r="L9" s="384">
        <v>1877</v>
      </c>
      <c r="N9" s="386" t="s">
        <v>608</v>
      </c>
      <c r="O9" s="385"/>
    </row>
    <row r="10" spans="1:15" ht="23.25" customHeight="1">
      <c r="A10" s="375" t="s">
        <v>679</v>
      </c>
      <c r="B10" s="371">
        <f t="shared" si="0"/>
        <v>4447</v>
      </c>
      <c r="C10" s="371">
        <f>ROUNDUP(K10*'홍성군 인구현황(2015)'!$G$3,0)</f>
        <v>2320</v>
      </c>
      <c r="D10" s="371">
        <f>ROUND(L10*'홍성군 인구현황(2015)'!$G$3,0)</f>
        <v>2127</v>
      </c>
      <c r="F10" s="36"/>
      <c r="G10" s="71"/>
      <c r="H10" s="1104"/>
      <c r="I10" s="383" t="s">
        <v>679</v>
      </c>
      <c r="J10" s="384">
        <v>5021</v>
      </c>
      <c r="K10" s="384">
        <v>2619</v>
      </c>
      <c r="L10" s="384">
        <v>2402</v>
      </c>
      <c r="N10" s="386" t="s">
        <v>609</v>
      </c>
      <c r="O10" s="386" t="s">
        <v>706</v>
      </c>
    </row>
    <row r="11" spans="1:15" ht="23.25" customHeight="1">
      <c r="A11" s="375" t="s">
        <v>680</v>
      </c>
      <c r="B11" s="371">
        <f t="shared" si="0"/>
        <v>5139</v>
      </c>
      <c r="C11" s="371">
        <f>ROUNDUP(K11*'홍성군 인구현황(2015)'!$G$3,0)</f>
        <v>2616</v>
      </c>
      <c r="D11" s="371">
        <f>ROUND(L11*'홍성군 인구현황(2015)'!$G$3,0)</f>
        <v>2523</v>
      </c>
      <c r="F11" s="36"/>
      <c r="G11" s="71"/>
      <c r="H11" s="1104"/>
      <c r="I11" s="383" t="s">
        <v>680</v>
      </c>
      <c r="J11" s="384">
        <v>5802</v>
      </c>
      <c r="K11" s="384">
        <v>2953</v>
      </c>
      <c r="L11" s="384">
        <v>2849</v>
      </c>
      <c r="N11" s="386" t="s">
        <v>124</v>
      </c>
      <c r="O11" s="386" t="s">
        <v>707</v>
      </c>
    </row>
    <row r="12" spans="1:15" ht="23.25" customHeight="1">
      <c r="A12" s="375" t="s">
        <v>681</v>
      </c>
      <c r="B12" s="371">
        <f t="shared" si="0"/>
        <v>6296</v>
      </c>
      <c r="C12" s="371">
        <f>ROUNDUP(K12*'홍성군 인구현황(2015)'!$G$3,0)</f>
        <v>3364</v>
      </c>
      <c r="D12" s="371">
        <f>ROUND(L12*'홍성군 인구현황(2015)'!$G$3,0)</f>
        <v>2932</v>
      </c>
      <c r="F12" s="36"/>
      <c r="G12" s="71"/>
      <c r="H12" s="1104"/>
      <c r="I12" s="383" t="s">
        <v>681</v>
      </c>
      <c r="J12" s="384">
        <v>7109</v>
      </c>
      <c r="K12" s="384">
        <v>3798</v>
      </c>
      <c r="L12" s="384">
        <v>3311</v>
      </c>
      <c r="N12" s="386" t="s">
        <v>124</v>
      </c>
      <c r="O12" s="386" t="s">
        <v>708</v>
      </c>
    </row>
    <row r="13" spans="1:15" ht="23.25" customHeight="1">
      <c r="A13" s="375" t="s">
        <v>682</v>
      </c>
      <c r="B13" s="371">
        <f t="shared" si="0"/>
        <v>6340</v>
      </c>
      <c r="C13" s="371">
        <f>ROUNDUP(K13*'홍성군 인구현황(2015)'!$G$3,0)</f>
        <v>3403</v>
      </c>
      <c r="D13" s="371">
        <f>ROUND(L13*'홍성군 인구현황(2015)'!$G$3,0)</f>
        <v>2937</v>
      </c>
      <c r="F13" s="36"/>
      <c r="G13" s="71"/>
      <c r="H13" s="1104"/>
      <c r="I13" s="383" t="s">
        <v>682</v>
      </c>
      <c r="J13" s="384">
        <v>7158</v>
      </c>
      <c r="K13" s="384">
        <v>3842</v>
      </c>
      <c r="L13" s="384">
        <v>3316</v>
      </c>
      <c r="N13" s="386" t="s">
        <v>124</v>
      </c>
      <c r="O13" s="386" t="s">
        <v>709</v>
      </c>
    </row>
    <row r="14" spans="1:15" ht="23.25" customHeight="1">
      <c r="A14" s="375" t="s">
        <v>683</v>
      </c>
      <c r="B14" s="371">
        <f t="shared" si="0"/>
        <v>6800</v>
      </c>
      <c r="C14" s="371">
        <f>ROUNDUP(K14*'홍성군 인구현황(2015)'!$G$3,0)</f>
        <v>3501</v>
      </c>
      <c r="D14" s="371">
        <f>ROUND(L14*'홍성군 인구현황(2015)'!$G$3,0)</f>
        <v>3299</v>
      </c>
      <c r="F14" s="36"/>
      <c r="G14" s="71"/>
      <c r="H14" s="1104"/>
      <c r="I14" s="383" t="s">
        <v>683</v>
      </c>
      <c r="J14" s="384">
        <v>7678</v>
      </c>
      <c r="K14" s="384">
        <v>3953</v>
      </c>
      <c r="L14" s="384">
        <v>3725</v>
      </c>
      <c r="N14" s="386" t="s">
        <v>124</v>
      </c>
      <c r="O14" s="386" t="s">
        <v>710</v>
      </c>
    </row>
    <row r="15" spans="1:15" ht="23.25" customHeight="1">
      <c r="A15" s="375" t="s">
        <v>684</v>
      </c>
      <c r="B15" s="371">
        <f t="shared" si="0"/>
        <v>6721</v>
      </c>
      <c r="C15" s="371">
        <f>ROUND(K15*'홍성군 인구현황(2015)'!$G$3,0)</f>
        <v>3414</v>
      </c>
      <c r="D15" s="371">
        <f>ROUND(L15*'홍성군 인구현황(2015)'!$G$3,0)</f>
        <v>3307</v>
      </c>
      <c r="F15" s="36"/>
      <c r="G15" s="71"/>
      <c r="H15" s="1104"/>
      <c r="I15" s="383" t="s">
        <v>684</v>
      </c>
      <c r="J15" s="384">
        <v>7589</v>
      </c>
      <c r="K15" s="384">
        <v>3855</v>
      </c>
      <c r="L15" s="384">
        <v>3734</v>
      </c>
      <c r="N15" s="386" t="s">
        <v>124</v>
      </c>
      <c r="O15" s="386" t="s">
        <v>711</v>
      </c>
    </row>
    <row r="16" spans="1:15" ht="23.25" customHeight="1">
      <c r="A16" s="375" t="s">
        <v>685</v>
      </c>
      <c r="B16" s="371">
        <f t="shared" si="0"/>
        <v>5610</v>
      </c>
      <c r="C16" s="371">
        <f>ROUND(K16*'홍성군 인구현황(2015)'!$G$3,0)</f>
        <v>2734</v>
      </c>
      <c r="D16" s="371">
        <f>ROUND(L16*'홍성군 인구현황(2015)'!$G$3,0)</f>
        <v>2876</v>
      </c>
      <c r="F16" s="36"/>
      <c r="G16" s="71"/>
      <c r="H16" s="1104"/>
      <c r="I16" s="383" t="s">
        <v>685</v>
      </c>
      <c r="J16" s="384">
        <v>6334</v>
      </c>
      <c r="K16" s="384">
        <v>3087</v>
      </c>
      <c r="L16" s="384">
        <v>3247</v>
      </c>
      <c r="N16" s="386" t="s">
        <v>124</v>
      </c>
      <c r="O16" s="386" t="s">
        <v>712</v>
      </c>
    </row>
    <row r="17" spans="1:12" ht="23.25" customHeight="1">
      <c r="A17" s="375" t="s">
        <v>686</v>
      </c>
      <c r="B17" s="371">
        <f t="shared" si="0"/>
        <v>4886</v>
      </c>
      <c r="C17" s="371">
        <f>ROUND(K17*'홍성군 인구현황(2015)'!$G$3,0)</f>
        <v>2359</v>
      </c>
      <c r="D17" s="371">
        <f>ROUND(L17*'홍성군 인구현황(2015)'!$G$3,0)</f>
        <v>2527</v>
      </c>
      <c r="F17" s="36"/>
      <c r="G17" s="71"/>
      <c r="H17" s="1104"/>
      <c r="I17" s="383" t="s">
        <v>686</v>
      </c>
      <c r="J17" s="384">
        <v>5517</v>
      </c>
      <c r="K17" s="384">
        <v>2664</v>
      </c>
      <c r="L17" s="384">
        <v>2853</v>
      </c>
    </row>
    <row r="18" spans="1:12" ht="23.25" customHeight="1">
      <c r="A18" s="375" t="s">
        <v>687</v>
      </c>
      <c r="B18" s="371">
        <f t="shared" si="0"/>
        <v>4395</v>
      </c>
      <c r="C18" s="371">
        <f>ROUND(K18*'홍성군 인구현황(2015)'!$G$3,0)</f>
        <v>1893</v>
      </c>
      <c r="D18" s="371">
        <f>ROUND(L18*'홍성군 인구현황(2015)'!$G$3,0)</f>
        <v>2502</v>
      </c>
      <c r="F18" s="36"/>
      <c r="G18" s="71"/>
      <c r="H18" s="1104"/>
      <c r="I18" s="383" t="s">
        <v>687</v>
      </c>
      <c r="J18" s="384">
        <v>4962</v>
      </c>
      <c r="K18" s="384">
        <v>2137</v>
      </c>
      <c r="L18" s="384">
        <v>2825</v>
      </c>
    </row>
    <row r="19" spans="1:12" ht="23.25" customHeight="1">
      <c r="A19" s="375" t="s">
        <v>688</v>
      </c>
      <c r="B19" s="371">
        <f t="shared" si="0"/>
        <v>4243</v>
      </c>
      <c r="C19" s="371">
        <f>ROUND(K19*'홍성군 인구현황(2015)'!$G$3,0)</f>
        <v>1707</v>
      </c>
      <c r="D19" s="371">
        <f>ROUND(L19*'홍성군 인구현황(2015)'!$G$3,0)</f>
        <v>2536</v>
      </c>
      <c r="F19" s="36"/>
      <c r="G19" s="71"/>
      <c r="H19" s="1104"/>
      <c r="I19" s="383" t="s">
        <v>688</v>
      </c>
      <c r="J19" s="384">
        <v>4792</v>
      </c>
      <c r="K19" s="384">
        <v>1928</v>
      </c>
      <c r="L19" s="384">
        <v>2864</v>
      </c>
    </row>
    <row r="20" spans="1:12" ht="23.25" customHeight="1">
      <c r="A20" s="375" t="s">
        <v>689</v>
      </c>
      <c r="B20" s="371">
        <f t="shared" si="0"/>
        <v>2974</v>
      </c>
      <c r="C20" s="371">
        <f>ROUND(K20*'홍성군 인구현황(2015)'!$G$3,0)</f>
        <v>1107</v>
      </c>
      <c r="D20" s="371">
        <f>ROUND(L20*'홍성군 인구현황(2015)'!$G$3,0)</f>
        <v>1867</v>
      </c>
      <c r="F20" s="36"/>
      <c r="G20" s="71"/>
      <c r="H20" s="1104"/>
      <c r="I20" s="383" t="s">
        <v>689</v>
      </c>
      <c r="J20" s="384">
        <v>3358</v>
      </c>
      <c r="K20" s="384">
        <v>1250</v>
      </c>
      <c r="L20" s="384">
        <v>2108</v>
      </c>
    </row>
    <row r="21" spans="1:12" ht="23.25" customHeight="1">
      <c r="A21" s="375" t="s">
        <v>690</v>
      </c>
      <c r="B21" s="371">
        <f t="shared" si="0"/>
        <v>1215</v>
      </c>
      <c r="C21" s="371">
        <f>ROUND(K21*'홍성군 인구현황(2015)'!$G$3,0)</f>
        <v>398</v>
      </c>
      <c r="D21" s="371">
        <f>ROUND(L21*'홍성군 인구현황(2015)'!$G$3,0)</f>
        <v>817</v>
      </c>
      <c r="F21" s="52"/>
      <c r="G21" s="71"/>
      <c r="H21" s="1104"/>
      <c r="I21" s="383" t="s">
        <v>690</v>
      </c>
      <c r="J21" s="384">
        <v>1372</v>
      </c>
      <c r="K21" s="384">
        <v>449</v>
      </c>
      <c r="L21" s="384">
        <v>923</v>
      </c>
    </row>
    <row r="22" spans="1:12" s="283" customFormat="1" ht="23.25" customHeight="1">
      <c r="A22" s="375" t="s">
        <v>691</v>
      </c>
      <c r="B22" s="371">
        <f t="shared" si="0"/>
        <v>430</v>
      </c>
      <c r="C22" s="371">
        <f>ROUND(K22*'홍성군 인구현황(2015)'!$G$3,0)</f>
        <v>91</v>
      </c>
      <c r="D22" s="371">
        <f>ROUND(L22*'홍성군 인구현황(2015)'!$G$3,0)</f>
        <v>339</v>
      </c>
      <c r="F22" s="302"/>
      <c r="G22" s="306"/>
      <c r="H22" s="1104"/>
      <c r="I22" s="383" t="s">
        <v>691</v>
      </c>
      <c r="J22" s="384">
        <v>486</v>
      </c>
      <c r="K22" s="384">
        <v>103</v>
      </c>
      <c r="L22" s="384">
        <v>383</v>
      </c>
    </row>
    <row r="23" spans="1:12" s="283" customFormat="1" ht="23.25" customHeight="1">
      <c r="A23" s="375" t="s">
        <v>692</v>
      </c>
      <c r="B23" s="371">
        <f t="shared" si="0"/>
        <v>80</v>
      </c>
      <c r="C23" s="371">
        <f>ROUND(K23*'홍성군 인구현황(2015)'!$G$3,0)</f>
        <v>17</v>
      </c>
      <c r="D23" s="371">
        <f>ROUND(L23*'홍성군 인구현황(2015)'!$G$3,0)</f>
        <v>63</v>
      </c>
      <c r="F23" s="302"/>
      <c r="G23" s="306"/>
      <c r="H23" s="1104"/>
      <c r="I23" s="383" t="s">
        <v>692</v>
      </c>
      <c r="J23" s="384">
        <v>90</v>
      </c>
      <c r="K23" s="384">
        <v>19</v>
      </c>
      <c r="L23" s="384">
        <v>71</v>
      </c>
    </row>
    <row r="24" spans="1:12" s="283" customFormat="1" ht="23.25" customHeight="1">
      <c r="A24" s="375" t="s">
        <v>300</v>
      </c>
      <c r="B24" s="371">
        <f t="shared" si="0"/>
        <v>42</v>
      </c>
      <c r="C24" s="371">
        <f>ROUND(K24*'홍성군 인구현황(2015)'!$G$3,0)</f>
        <v>14</v>
      </c>
      <c r="D24" s="371">
        <f>ROUND(L24*'홍성군 인구현황(2015)'!$G$3,0)</f>
        <v>28</v>
      </c>
      <c r="F24" s="302"/>
      <c r="G24" s="306"/>
      <c r="H24" s="1105"/>
      <c r="I24" s="383" t="s">
        <v>300</v>
      </c>
      <c r="J24" s="384">
        <v>48</v>
      </c>
      <c r="K24" s="384">
        <v>16</v>
      </c>
      <c r="L24" s="384">
        <v>32</v>
      </c>
    </row>
    <row r="25" spans="1:12" ht="23.25" customHeight="1">
      <c r="A25" s="378" t="s">
        <v>50</v>
      </c>
      <c r="B25" s="379">
        <f>SUM(B4:B24)</f>
        <v>83739</v>
      </c>
      <c r="C25" s="379">
        <f t="shared" ref="C25:D25" si="1">SUM(C4:C24)</f>
        <v>41802</v>
      </c>
      <c r="D25" s="379">
        <f t="shared" si="1"/>
        <v>41937</v>
      </c>
      <c r="F25" s="36"/>
      <c r="G25" s="71"/>
      <c r="H25" s="1102"/>
      <c r="I25" s="380"/>
      <c r="J25" s="381"/>
      <c r="K25" s="381"/>
      <c r="L25" s="381"/>
    </row>
    <row r="26" spans="1:12">
      <c r="F26" s="36"/>
      <c r="G26" s="71"/>
      <c r="H26" s="1102"/>
      <c r="I26" s="380"/>
      <c r="J26" s="381"/>
      <c r="K26" s="381"/>
      <c r="L26" s="381"/>
    </row>
    <row r="27" spans="1:12">
      <c r="F27" s="36"/>
      <c r="G27" s="71"/>
      <c r="H27" s="1102"/>
      <c r="I27" s="380"/>
      <c r="J27" s="381"/>
      <c r="K27" s="381"/>
      <c r="L27" s="381"/>
    </row>
    <row r="28" spans="1:12">
      <c r="F28" s="36"/>
      <c r="G28" s="71"/>
      <c r="H28" s="1102"/>
      <c r="I28" s="380"/>
      <c r="J28" s="381"/>
      <c r="K28" s="381"/>
      <c r="L28" s="381"/>
    </row>
    <row r="29" spans="1:12">
      <c r="H29" s="1102"/>
      <c r="I29" s="380"/>
      <c r="J29" s="381"/>
      <c r="K29" s="381"/>
      <c r="L29" s="381"/>
    </row>
    <row r="30" spans="1:12">
      <c r="H30" s="1102"/>
      <c r="I30" s="380"/>
      <c r="J30" s="381"/>
      <c r="K30" s="381"/>
      <c r="L30" s="381"/>
    </row>
    <row r="31" spans="1:12">
      <c r="H31" s="1102"/>
      <c r="I31" s="380"/>
      <c r="J31" s="381"/>
      <c r="K31" s="381"/>
      <c r="L31" s="381"/>
    </row>
    <row r="32" spans="1:12">
      <c r="H32" s="1102"/>
      <c r="I32" s="380"/>
      <c r="J32" s="381"/>
      <c r="K32" s="381"/>
      <c r="L32" s="381"/>
    </row>
    <row r="33" spans="8:12">
      <c r="H33" s="1102"/>
      <c r="I33" s="380"/>
      <c r="J33" s="381"/>
      <c r="K33" s="381"/>
      <c r="L33" s="381"/>
    </row>
    <row r="34" spans="8:12">
      <c r="H34" s="1102"/>
      <c r="I34" s="380"/>
      <c r="J34" s="381"/>
      <c r="K34" s="381"/>
      <c r="L34" s="381"/>
    </row>
    <row r="35" spans="8:12">
      <c r="H35" s="1102"/>
      <c r="I35" s="380"/>
      <c r="J35" s="381"/>
      <c r="K35" s="381"/>
      <c r="L35" s="381"/>
    </row>
    <row r="36" spans="8:12">
      <c r="H36" s="1102"/>
      <c r="I36" s="380"/>
      <c r="J36" s="381"/>
      <c r="K36" s="381"/>
      <c r="L36" s="381"/>
    </row>
    <row r="37" spans="8:12">
      <c r="H37" s="1102"/>
      <c r="I37" s="380"/>
      <c r="J37" s="381"/>
      <c r="K37" s="381"/>
      <c r="L37" s="381"/>
    </row>
    <row r="38" spans="8:12">
      <c r="H38" s="1102"/>
      <c r="I38" s="380"/>
      <c r="J38" s="381"/>
      <c r="K38" s="381"/>
      <c r="L38" s="381"/>
    </row>
    <row r="39" spans="8:12">
      <c r="H39" s="1102"/>
      <c r="I39" s="380"/>
      <c r="J39" s="381"/>
      <c r="K39" s="381"/>
      <c r="L39" s="381"/>
    </row>
    <row r="40" spans="8:12">
      <c r="H40" s="1102"/>
      <c r="I40" s="380"/>
      <c r="J40" s="381"/>
      <c r="K40" s="381"/>
      <c r="L40" s="381"/>
    </row>
    <row r="41" spans="8:12">
      <c r="H41" s="1102"/>
      <c r="I41" s="380"/>
      <c r="J41" s="381"/>
      <c r="K41" s="381"/>
      <c r="L41" s="381"/>
    </row>
    <row r="42" spans="8:12">
      <c r="H42" s="1102"/>
      <c r="I42" s="380"/>
      <c r="J42" s="381"/>
      <c r="K42" s="381"/>
      <c r="L42" s="381"/>
    </row>
    <row r="43" spans="8:12">
      <c r="H43" s="1102"/>
      <c r="I43" s="380"/>
      <c r="J43" s="381"/>
      <c r="K43" s="381"/>
      <c r="L43" s="381"/>
    </row>
    <row r="44" spans="8:12">
      <c r="H44" s="1102"/>
      <c r="I44" s="380"/>
      <c r="J44" s="381"/>
      <c r="K44" s="381"/>
      <c r="L44" s="381"/>
    </row>
    <row r="45" spans="8:12">
      <c r="H45" s="1102"/>
      <c r="I45" s="380"/>
      <c r="J45" s="381"/>
      <c r="K45" s="381"/>
      <c r="L45" s="381"/>
    </row>
    <row r="46" spans="8:12">
      <c r="H46" s="1102"/>
      <c r="I46" s="380"/>
      <c r="J46" s="381"/>
      <c r="K46" s="381"/>
      <c r="L46" s="381"/>
    </row>
    <row r="47" spans="8:12">
      <c r="H47" s="1102"/>
      <c r="I47" s="380"/>
      <c r="J47" s="381"/>
      <c r="K47" s="381"/>
      <c r="L47" s="381"/>
    </row>
    <row r="48" spans="8:12">
      <c r="H48" s="1102"/>
      <c r="I48" s="380"/>
      <c r="J48" s="381"/>
      <c r="K48" s="381"/>
      <c r="L48" s="381"/>
    </row>
    <row r="49" spans="8:12">
      <c r="H49" s="1102"/>
      <c r="I49" s="380"/>
      <c r="J49" s="381"/>
      <c r="K49" s="381"/>
      <c r="L49" s="381"/>
    </row>
    <row r="50" spans="8:12">
      <c r="H50" s="1102"/>
      <c r="I50" s="380"/>
      <c r="J50" s="381"/>
      <c r="K50" s="381"/>
      <c r="L50" s="381"/>
    </row>
    <row r="51" spans="8:12">
      <c r="H51" s="1102"/>
      <c r="I51" s="380"/>
      <c r="J51" s="381"/>
      <c r="K51" s="381"/>
      <c r="L51" s="381"/>
    </row>
    <row r="52" spans="8:12">
      <c r="H52" s="1102"/>
      <c r="I52" s="380"/>
      <c r="J52" s="381"/>
      <c r="K52" s="381"/>
      <c r="L52" s="381"/>
    </row>
    <row r="53" spans="8:12">
      <c r="H53" s="1102"/>
      <c r="I53" s="380"/>
      <c r="J53" s="381"/>
      <c r="K53" s="381"/>
      <c r="L53" s="381"/>
    </row>
    <row r="54" spans="8:12">
      <c r="H54" s="1102"/>
      <c r="I54" s="380"/>
      <c r="J54" s="381"/>
      <c r="K54" s="381"/>
      <c r="L54" s="381"/>
    </row>
    <row r="55" spans="8:12">
      <c r="H55" s="1102"/>
      <c r="I55" s="380"/>
      <c r="J55" s="381"/>
      <c r="K55" s="381"/>
      <c r="L55" s="381"/>
    </row>
    <row r="56" spans="8:12">
      <c r="H56" s="1102"/>
      <c r="I56" s="380"/>
      <c r="J56" s="381"/>
      <c r="K56" s="381"/>
      <c r="L56" s="381"/>
    </row>
    <row r="57" spans="8:12">
      <c r="H57" s="1102"/>
      <c r="I57" s="380"/>
      <c r="J57" s="381"/>
      <c r="K57" s="381"/>
      <c r="L57" s="381"/>
    </row>
    <row r="58" spans="8:12">
      <c r="H58" s="1102"/>
      <c r="I58" s="380"/>
      <c r="J58" s="381"/>
      <c r="K58" s="381"/>
      <c r="L58" s="381"/>
    </row>
    <row r="59" spans="8:12">
      <c r="H59" s="1102"/>
      <c r="I59" s="380"/>
      <c r="J59" s="381"/>
      <c r="K59" s="381"/>
      <c r="L59" s="381"/>
    </row>
    <row r="60" spans="8:12">
      <c r="H60" s="1102"/>
      <c r="I60" s="380"/>
      <c r="J60" s="381"/>
      <c r="K60" s="381"/>
      <c r="L60" s="381"/>
    </row>
    <row r="61" spans="8:12">
      <c r="H61" s="1102"/>
      <c r="I61" s="380"/>
      <c r="J61" s="381"/>
      <c r="K61" s="381"/>
      <c r="L61" s="381"/>
    </row>
    <row r="62" spans="8:12">
      <c r="H62" s="1102"/>
      <c r="I62" s="380"/>
      <c r="J62" s="381"/>
      <c r="K62" s="381"/>
      <c r="L62" s="381"/>
    </row>
    <row r="63" spans="8:12">
      <c r="H63" s="1102"/>
      <c r="I63" s="380"/>
      <c r="J63" s="381"/>
      <c r="K63" s="381"/>
      <c r="L63" s="381"/>
    </row>
    <row r="64" spans="8:12">
      <c r="H64" s="1102"/>
      <c r="I64" s="380"/>
      <c r="J64" s="381"/>
      <c r="K64" s="381"/>
      <c r="L64" s="381"/>
    </row>
    <row r="65" spans="8:12">
      <c r="H65" s="1102"/>
      <c r="I65" s="380"/>
      <c r="J65" s="381"/>
      <c r="K65" s="381"/>
      <c r="L65" s="381"/>
    </row>
    <row r="66" spans="8:12">
      <c r="H66" s="1102"/>
      <c r="I66" s="380"/>
      <c r="J66" s="381"/>
      <c r="K66" s="381"/>
      <c r="L66" s="381"/>
    </row>
    <row r="67" spans="8:12">
      <c r="H67" s="1102"/>
      <c r="I67" s="380"/>
      <c r="J67" s="381"/>
      <c r="K67" s="381"/>
      <c r="L67" s="381"/>
    </row>
    <row r="68" spans="8:12">
      <c r="H68" s="1102"/>
      <c r="I68" s="380"/>
      <c r="J68" s="381"/>
      <c r="K68" s="381"/>
      <c r="L68" s="381"/>
    </row>
    <row r="69" spans="8:12">
      <c r="H69" s="1102"/>
      <c r="I69" s="380"/>
      <c r="J69" s="381"/>
      <c r="K69" s="381"/>
      <c r="L69" s="381"/>
    </row>
    <row r="70" spans="8:12">
      <c r="H70" s="1102"/>
      <c r="I70" s="380"/>
      <c r="J70" s="381"/>
      <c r="K70" s="381"/>
      <c r="L70" s="381"/>
    </row>
    <row r="71" spans="8:12">
      <c r="H71" s="1102"/>
      <c r="I71" s="380"/>
      <c r="J71" s="381"/>
      <c r="K71" s="381"/>
      <c r="L71" s="381"/>
    </row>
    <row r="72" spans="8:12">
      <c r="H72" s="1102"/>
      <c r="I72" s="380"/>
      <c r="J72" s="381"/>
      <c r="K72" s="381"/>
      <c r="L72" s="381"/>
    </row>
    <row r="73" spans="8:12">
      <c r="H73" s="1102"/>
      <c r="I73" s="380"/>
      <c r="J73" s="381"/>
      <c r="K73" s="381"/>
      <c r="L73" s="381"/>
    </row>
    <row r="74" spans="8:12">
      <c r="H74" s="1102"/>
      <c r="I74" s="380"/>
      <c r="J74" s="381"/>
      <c r="K74" s="381"/>
      <c r="L74" s="381"/>
    </row>
    <row r="75" spans="8:12">
      <c r="H75" s="1102"/>
      <c r="I75" s="380"/>
      <c r="J75" s="381"/>
      <c r="K75" s="381"/>
      <c r="L75" s="381"/>
    </row>
    <row r="76" spans="8:12">
      <c r="H76" s="1102"/>
      <c r="I76" s="380"/>
      <c r="J76" s="381"/>
      <c r="K76" s="381"/>
      <c r="L76" s="381"/>
    </row>
    <row r="77" spans="8:12">
      <c r="H77" s="1102"/>
      <c r="I77" s="380"/>
      <c r="J77" s="381"/>
      <c r="K77" s="381"/>
      <c r="L77" s="381"/>
    </row>
    <row r="78" spans="8:12">
      <c r="H78" s="1102"/>
      <c r="I78" s="380"/>
      <c r="J78" s="381"/>
      <c r="K78" s="381"/>
      <c r="L78" s="381"/>
    </row>
    <row r="79" spans="8:12">
      <c r="H79" s="1102"/>
      <c r="I79" s="380"/>
      <c r="J79" s="381"/>
      <c r="K79" s="381"/>
      <c r="L79" s="381"/>
    </row>
    <row r="80" spans="8:12">
      <c r="H80" s="1102"/>
      <c r="I80" s="380"/>
      <c r="J80" s="381"/>
      <c r="K80" s="381"/>
      <c r="L80" s="381"/>
    </row>
    <row r="81" spans="8:12">
      <c r="H81" s="1102"/>
      <c r="I81" s="380"/>
      <c r="J81" s="381"/>
      <c r="K81" s="381"/>
      <c r="L81" s="381"/>
    </row>
    <row r="82" spans="8:12">
      <c r="H82" s="1102"/>
      <c r="I82" s="380"/>
      <c r="J82" s="381"/>
      <c r="K82" s="381"/>
      <c r="L82" s="381"/>
    </row>
    <row r="83" spans="8:12">
      <c r="H83" s="1102"/>
      <c r="I83" s="380"/>
      <c r="J83" s="381"/>
      <c r="K83" s="381"/>
      <c r="L83" s="381"/>
    </row>
    <row r="84" spans="8:12">
      <c r="H84" s="1102"/>
      <c r="I84" s="380"/>
      <c r="J84" s="381"/>
      <c r="K84" s="381"/>
      <c r="L84" s="381"/>
    </row>
    <row r="85" spans="8:12">
      <c r="H85" s="1102"/>
      <c r="I85" s="380"/>
      <c r="J85" s="381"/>
      <c r="K85" s="381"/>
      <c r="L85" s="381"/>
    </row>
    <row r="86" spans="8:12">
      <c r="H86" s="1102"/>
      <c r="I86" s="380"/>
      <c r="J86" s="381"/>
      <c r="K86" s="381"/>
      <c r="L86" s="381"/>
    </row>
    <row r="87" spans="8:12">
      <c r="H87" s="1102"/>
      <c r="I87" s="380"/>
      <c r="J87" s="381"/>
      <c r="K87" s="381"/>
      <c r="L87" s="381"/>
    </row>
    <row r="88" spans="8:12">
      <c r="H88" s="1102"/>
      <c r="I88" s="380"/>
      <c r="J88" s="381"/>
      <c r="K88" s="381"/>
      <c r="L88" s="381"/>
    </row>
    <row r="89" spans="8:12">
      <c r="H89" s="1102"/>
      <c r="I89" s="380"/>
      <c r="J89" s="381"/>
      <c r="K89" s="381"/>
      <c r="L89" s="381"/>
    </row>
    <row r="90" spans="8:12">
      <c r="H90" s="1102"/>
      <c r="I90" s="380"/>
      <c r="J90" s="381"/>
      <c r="K90" s="381"/>
      <c r="L90" s="381"/>
    </row>
    <row r="91" spans="8:12">
      <c r="H91" s="1102"/>
      <c r="I91" s="380"/>
      <c r="J91" s="381"/>
      <c r="K91" s="381"/>
      <c r="L91" s="381"/>
    </row>
    <row r="92" spans="8:12">
      <c r="H92" s="1102"/>
      <c r="I92" s="380"/>
      <c r="J92" s="381"/>
      <c r="K92" s="381"/>
      <c r="L92" s="381"/>
    </row>
    <row r="93" spans="8:12">
      <c r="H93" s="1102"/>
      <c r="I93" s="380"/>
      <c r="J93" s="381"/>
      <c r="K93" s="381"/>
      <c r="L93" s="381"/>
    </row>
    <row r="94" spans="8:12">
      <c r="H94" s="1102"/>
      <c r="I94" s="380"/>
      <c r="J94" s="381"/>
      <c r="K94" s="381"/>
      <c r="L94" s="381"/>
    </row>
    <row r="95" spans="8:12">
      <c r="H95" s="1102"/>
      <c r="I95" s="380"/>
      <c r="J95" s="381"/>
      <c r="K95" s="381"/>
      <c r="L95" s="381"/>
    </row>
    <row r="96" spans="8:12">
      <c r="H96" s="1102"/>
      <c r="I96" s="380"/>
      <c r="J96" s="381"/>
      <c r="K96" s="381"/>
      <c r="L96" s="381"/>
    </row>
    <row r="97" spans="8:12">
      <c r="H97" s="1102"/>
      <c r="I97" s="380"/>
      <c r="J97" s="381"/>
      <c r="K97" s="381"/>
      <c r="L97" s="381"/>
    </row>
    <row r="98" spans="8:12">
      <c r="H98" s="1102"/>
      <c r="I98" s="380"/>
      <c r="J98" s="381"/>
      <c r="K98" s="381"/>
      <c r="L98" s="381"/>
    </row>
    <row r="99" spans="8:12">
      <c r="H99" s="1102"/>
      <c r="I99" s="380"/>
      <c r="J99" s="381"/>
      <c r="K99" s="381"/>
      <c r="L99" s="381"/>
    </row>
    <row r="100" spans="8:12">
      <c r="H100" s="1102"/>
      <c r="I100" s="380"/>
      <c r="J100" s="381"/>
      <c r="K100" s="381"/>
      <c r="L100" s="381"/>
    </row>
    <row r="101" spans="8:12">
      <c r="H101" s="1102"/>
      <c r="I101" s="380"/>
      <c r="J101" s="381"/>
      <c r="K101" s="381"/>
      <c r="L101" s="381"/>
    </row>
    <row r="102" spans="8:12">
      <c r="H102" s="1102"/>
      <c r="I102" s="380"/>
      <c r="J102" s="381"/>
      <c r="K102" s="381"/>
      <c r="L102" s="381"/>
    </row>
    <row r="103" spans="8:12">
      <c r="H103" s="1102"/>
      <c r="I103" s="380"/>
      <c r="J103" s="381"/>
      <c r="K103" s="381"/>
      <c r="L103" s="381"/>
    </row>
    <row r="104" spans="8:12">
      <c r="H104" s="1102"/>
      <c r="I104" s="380"/>
      <c r="J104" s="381"/>
      <c r="K104" s="381"/>
      <c r="L104" s="381"/>
    </row>
    <row r="105" spans="8:12">
      <c r="H105" s="1102"/>
      <c r="I105" s="380"/>
      <c r="J105" s="381"/>
      <c r="K105" s="381"/>
      <c r="L105" s="381"/>
    </row>
    <row r="106" spans="8:12">
      <c r="H106" s="1102"/>
      <c r="I106" s="380"/>
      <c r="J106" s="381"/>
      <c r="K106" s="381"/>
      <c r="L106" s="381"/>
    </row>
    <row r="107" spans="8:12">
      <c r="H107" s="1102"/>
      <c r="I107" s="380"/>
      <c r="J107" s="381"/>
      <c r="K107" s="381"/>
      <c r="L107" s="381"/>
    </row>
    <row r="108" spans="8:12">
      <c r="H108" s="1102"/>
      <c r="I108" s="380"/>
      <c r="J108" s="381"/>
      <c r="K108" s="381"/>
      <c r="L108" s="381"/>
    </row>
    <row r="109" spans="8:12">
      <c r="H109" s="1102"/>
      <c r="I109" s="380"/>
      <c r="J109" s="381"/>
      <c r="K109" s="381"/>
      <c r="L109" s="381"/>
    </row>
    <row r="110" spans="8:12">
      <c r="H110" s="1102"/>
      <c r="I110" s="380"/>
      <c r="J110" s="381"/>
      <c r="K110" s="381"/>
      <c r="L110" s="381"/>
    </row>
    <row r="111" spans="8:12">
      <c r="H111" s="1102"/>
      <c r="I111" s="380"/>
      <c r="J111" s="381"/>
      <c r="K111" s="381"/>
      <c r="L111" s="381"/>
    </row>
    <row r="112" spans="8:12">
      <c r="H112" s="1102"/>
      <c r="I112" s="380"/>
      <c r="J112" s="381"/>
      <c r="K112" s="381"/>
      <c r="L112" s="381"/>
    </row>
    <row r="113" spans="8:12">
      <c r="H113" s="1102"/>
      <c r="I113" s="380"/>
      <c r="J113" s="381"/>
      <c r="K113" s="381"/>
      <c r="L113" s="381"/>
    </row>
    <row r="114" spans="8:12">
      <c r="H114" s="1102"/>
      <c r="I114" s="380"/>
      <c r="J114" s="381"/>
      <c r="K114" s="381"/>
      <c r="L114" s="381"/>
    </row>
    <row r="115" spans="8:12">
      <c r="H115" s="1102"/>
      <c r="I115" s="380"/>
      <c r="J115" s="381"/>
      <c r="K115" s="381"/>
      <c r="L115" s="381"/>
    </row>
    <row r="116" spans="8:12">
      <c r="H116" s="1102"/>
      <c r="I116" s="380"/>
      <c r="J116" s="381"/>
      <c r="K116" s="381"/>
      <c r="L116" s="381"/>
    </row>
    <row r="117" spans="8:12">
      <c r="H117" s="1102"/>
      <c r="I117" s="380"/>
      <c r="J117" s="381"/>
      <c r="K117" s="381"/>
      <c r="L117" s="381"/>
    </row>
    <row r="118" spans="8:12">
      <c r="H118" s="1102"/>
      <c r="I118" s="380"/>
      <c r="J118" s="381"/>
      <c r="K118" s="381"/>
      <c r="L118" s="381"/>
    </row>
    <row r="119" spans="8:12">
      <c r="H119" s="1102"/>
      <c r="I119" s="380"/>
      <c r="J119" s="381"/>
      <c r="K119" s="381"/>
      <c r="L119" s="381"/>
    </row>
    <row r="120" spans="8:12">
      <c r="H120" s="1102"/>
      <c r="I120" s="380"/>
      <c r="J120" s="381"/>
      <c r="K120" s="381"/>
      <c r="L120" s="381"/>
    </row>
    <row r="121" spans="8:12">
      <c r="H121" s="1102"/>
      <c r="I121" s="380"/>
      <c r="J121" s="381"/>
      <c r="K121" s="381"/>
      <c r="L121" s="381"/>
    </row>
    <row r="122" spans="8:12">
      <c r="H122" s="1102"/>
      <c r="I122" s="380"/>
      <c r="J122" s="381"/>
      <c r="K122" s="381"/>
      <c r="L122" s="381"/>
    </row>
    <row r="123" spans="8:12">
      <c r="H123" s="1102"/>
      <c r="I123" s="380"/>
      <c r="J123" s="381"/>
      <c r="K123" s="381"/>
      <c r="L123" s="381"/>
    </row>
    <row r="124" spans="8:12">
      <c r="H124" s="1102"/>
      <c r="I124" s="380"/>
      <c r="J124" s="381"/>
      <c r="K124" s="381"/>
      <c r="L124" s="381"/>
    </row>
    <row r="125" spans="8:12">
      <c r="H125" s="1102"/>
      <c r="I125" s="380"/>
      <c r="J125" s="381"/>
      <c r="K125" s="381"/>
      <c r="L125" s="381"/>
    </row>
    <row r="126" spans="8:12">
      <c r="H126" s="1102"/>
      <c r="I126" s="380"/>
      <c r="J126" s="381"/>
      <c r="K126" s="381"/>
      <c r="L126" s="381"/>
    </row>
    <row r="127" spans="8:12">
      <c r="H127" s="1102"/>
      <c r="I127" s="380"/>
      <c r="J127" s="381"/>
      <c r="K127" s="381"/>
      <c r="L127" s="381"/>
    </row>
    <row r="128" spans="8:12">
      <c r="H128" s="1102"/>
      <c r="I128" s="380"/>
      <c r="J128" s="381"/>
      <c r="K128" s="381"/>
      <c r="L128" s="381"/>
    </row>
    <row r="129" spans="8:12">
      <c r="H129" s="1102"/>
      <c r="I129" s="380"/>
      <c r="J129" s="381"/>
      <c r="K129" s="381"/>
      <c r="L129" s="381"/>
    </row>
    <row r="130" spans="8:12">
      <c r="H130" s="1102"/>
      <c r="I130" s="380"/>
      <c r="J130" s="381"/>
      <c r="K130" s="381"/>
      <c r="L130" s="381"/>
    </row>
    <row r="131" spans="8:12">
      <c r="H131" s="1102"/>
      <c r="I131" s="380"/>
      <c r="J131" s="381"/>
      <c r="K131" s="381"/>
      <c r="L131" s="381"/>
    </row>
    <row r="132" spans="8:12">
      <c r="H132" s="1102"/>
      <c r="I132" s="380"/>
      <c r="J132" s="381"/>
      <c r="K132" s="381"/>
      <c r="L132" s="381"/>
    </row>
    <row r="133" spans="8:12">
      <c r="H133" s="1102"/>
      <c r="I133" s="380"/>
      <c r="J133" s="381"/>
      <c r="K133" s="381"/>
      <c r="L133" s="381"/>
    </row>
    <row r="134" spans="8:12">
      <c r="H134" s="1102"/>
      <c r="I134" s="380"/>
      <c r="J134" s="381"/>
      <c r="K134" s="381"/>
      <c r="L134" s="381"/>
    </row>
    <row r="135" spans="8:12">
      <c r="H135" s="1102"/>
      <c r="I135" s="380"/>
      <c r="J135" s="381"/>
      <c r="K135" s="381"/>
      <c r="L135" s="381"/>
    </row>
    <row r="136" spans="8:12">
      <c r="H136" s="1102"/>
      <c r="I136" s="380"/>
      <c r="J136" s="381"/>
      <c r="K136" s="381"/>
      <c r="L136" s="381"/>
    </row>
    <row r="137" spans="8:12">
      <c r="H137" s="1102"/>
      <c r="I137" s="380"/>
      <c r="J137" s="381"/>
      <c r="K137" s="381"/>
      <c r="L137" s="381"/>
    </row>
    <row r="138" spans="8:12">
      <c r="H138" s="1102"/>
      <c r="I138" s="380"/>
      <c r="J138" s="381"/>
      <c r="K138" s="381"/>
      <c r="L138" s="381"/>
    </row>
    <row r="139" spans="8:12">
      <c r="H139" s="1102"/>
      <c r="I139" s="380"/>
      <c r="J139" s="381"/>
      <c r="K139" s="381"/>
      <c r="L139" s="381"/>
    </row>
    <row r="140" spans="8:12">
      <c r="H140" s="1102"/>
      <c r="I140" s="380"/>
      <c r="J140" s="381"/>
      <c r="K140" s="381"/>
      <c r="L140" s="381"/>
    </row>
    <row r="141" spans="8:12">
      <c r="H141" s="1102"/>
      <c r="I141" s="380"/>
      <c r="J141" s="381"/>
      <c r="K141" s="381"/>
      <c r="L141" s="381"/>
    </row>
    <row r="142" spans="8:12">
      <c r="H142" s="1102"/>
      <c r="I142" s="380"/>
      <c r="J142" s="381"/>
      <c r="K142" s="381"/>
      <c r="L142" s="381"/>
    </row>
    <row r="143" spans="8:12">
      <c r="H143" s="1102"/>
      <c r="I143" s="380"/>
      <c r="J143" s="381"/>
      <c r="K143" s="381"/>
      <c r="L143" s="381"/>
    </row>
    <row r="144" spans="8:12">
      <c r="H144" s="1102"/>
      <c r="I144" s="380"/>
      <c r="J144" s="381"/>
      <c r="K144" s="381"/>
      <c r="L144" s="381"/>
    </row>
    <row r="145" spans="8:12">
      <c r="H145" s="1102"/>
      <c r="I145" s="380"/>
      <c r="J145" s="381"/>
      <c r="K145" s="381"/>
      <c r="L145" s="381"/>
    </row>
    <row r="146" spans="8:12">
      <c r="H146" s="1102"/>
      <c r="I146" s="380"/>
      <c r="J146" s="381"/>
      <c r="K146" s="381"/>
      <c r="L146" s="381"/>
    </row>
    <row r="147" spans="8:12">
      <c r="H147" s="1102"/>
      <c r="I147" s="380"/>
      <c r="J147" s="381"/>
      <c r="K147" s="381"/>
      <c r="L147" s="381"/>
    </row>
    <row r="148" spans="8:12">
      <c r="H148" s="1102"/>
      <c r="I148" s="380"/>
      <c r="J148" s="381"/>
      <c r="K148" s="381"/>
      <c r="L148" s="381"/>
    </row>
    <row r="149" spans="8:12">
      <c r="H149" s="1102"/>
      <c r="I149" s="380"/>
      <c r="J149" s="381"/>
      <c r="K149" s="381"/>
      <c r="L149" s="381"/>
    </row>
    <row r="150" spans="8:12">
      <c r="H150" s="1102"/>
      <c r="I150" s="380"/>
      <c r="J150" s="381"/>
      <c r="K150" s="381"/>
      <c r="L150" s="381"/>
    </row>
    <row r="151" spans="8:12">
      <c r="H151" s="1102"/>
      <c r="I151" s="380"/>
      <c r="J151" s="381"/>
      <c r="K151" s="381"/>
      <c r="L151" s="381"/>
    </row>
    <row r="152" spans="8:12">
      <c r="H152" s="1102"/>
      <c r="I152" s="380"/>
      <c r="J152" s="381"/>
      <c r="K152" s="381"/>
      <c r="L152" s="381"/>
    </row>
    <row r="153" spans="8:12">
      <c r="H153" s="1102"/>
      <c r="I153" s="380"/>
      <c r="J153" s="381"/>
      <c r="K153" s="381"/>
      <c r="L153" s="381"/>
    </row>
    <row r="154" spans="8:12">
      <c r="H154" s="1102"/>
      <c r="I154" s="380"/>
      <c r="J154" s="381"/>
      <c r="K154" s="381"/>
      <c r="L154" s="381"/>
    </row>
    <row r="155" spans="8:12">
      <c r="H155" s="1102"/>
      <c r="I155" s="380"/>
      <c r="J155" s="381"/>
      <c r="K155" s="381"/>
      <c r="L155" s="381"/>
    </row>
    <row r="156" spans="8:12">
      <c r="H156" s="1102"/>
      <c r="I156" s="380"/>
      <c r="J156" s="381"/>
      <c r="K156" s="381"/>
      <c r="L156" s="381"/>
    </row>
    <row r="157" spans="8:12">
      <c r="H157" s="1102"/>
      <c r="I157" s="380"/>
      <c r="J157" s="381"/>
      <c r="K157" s="381"/>
      <c r="L157" s="381"/>
    </row>
    <row r="158" spans="8:12">
      <c r="H158" s="1102"/>
      <c r="I158" s="380"/>
      <c r="J158" s="381"/>
      <c r="K158" s="381"/>
      <c r="L158" s="381"/>
    </row>
    <row r="159" spans="8:12">
      <c r="H159" s="1102"/>
      <c r="I159" s="380"/>
      <c r="J159" s="381"/>
      <c r="K159" s="381"/>
      <c r="L159" s="381"/>
    </row>
    <row r="160" spans="8:12">
      <c r="H160" s="1102"/>
      <c r="I160" s="380"/>
      <c r="J160" s="381"/>
      <c r="K160" s="381"/>
      <c r="L160" s="381"/>
    </row>
    <row r="161" spans="8:12">
      <c r="H161" s="1102"/>
      <c r="I161" s="380"/>
      <c r="J161" s="381"/>
      <c r="K161" s="381"/>
      <c r="L161" s="381"/>
    </row>
    <row r="162" spans="8:12">
      <c r="H162" s="1102"/>
      <c r="I162" s="380"/>
      <c r="J162" s="381"/>
      <c r="K162" s="381"/>
      <c r="L162" s="381"/>
    </row>
    <row r="163" spans="8:12">
      <c r="H163" s="1102"/>
      <c r="I163" s="380"/>
      <c r="J163" s="381"/>
      <c r="K163" s="381"/>
      <c r="L163" s="381"/>
    </row>
    <row r="164" spans="8:12">
      <c r="H164" s="1102"/>
      <c r="I164" s="380"/>
      <c r="J164" s="381"/>
      <c r="K164" s="381"/>
      <c r="L164" s="381"/>
    </row>
    <row r="165" spans="8:12">
      <c r="H165" s="1102"/>
      <c r="I165" s="380"/>
      <c r="J165" s="381"/>
      <c r="K165" s="381"/>
      <c r="L165" s="381"/>
    </row>
    <row r="166" spans="8:12">
      <c r="H166" s="1102"/>
      <c r="I166" s="380"/>
      <c r="J166" s="381"/>
      <c r="K166" s="381"/>
      <c r="L166" s="381"/>
    </row>
    <row r="167" spans="8:12">
      <c r="H167" s="1102"/>
      <c r="I167" s="380"/>
      <c r="J167" s="381"/>
      <c r="K167" s="381"/>
      <c r="L167" s="381"/>
    </row>
    <row r="168" spans="8:12">
      <c r="H168" s="1102"/>
      <c r="I168" s="380"/>
      <c r="J168" s="381"/>
      <c r="K168" s="381"/>
      <c r="L168" s="381"/>
    </row>
    <row r="169" spans="8:12">
      <c r="H169" s="1102"/>
      <c r="I169" s="380"/>
      <c r="J169" s="381"/>
      <c r="K169" s="381"/>
      <c r="L169" s="381"/>
    </row>
    <row r="170" spans="8:12">
      <c r="H170" s="1102"/>
      <c r="I170" s="380"/>
      <c r="J170" s="381"/>
      <c r="K170" s="381"/>
      <c r="L170" s="381"/>
    </row>
    <row r="171" spans="8:12">
      <c r="H171" s="1102"/>
      <c r="I171" s="380"/>
      <c r="J171" s="381"/>
      <c r="K171" s="381"/>
      <c r="L171" s="381"/>
    </row>
    <row r="172" spans="8:12">
      <c r="H172" s="1102"/>
      <c r="I172" s="380"/>
      <c r="J172" s="381"/>
      <c r="K172" s="381"/>
      <c r="L172" s="381"/>
    </row>
    <row r="173" spans="8:12">
      <c r="H173" s="1102"/>
      <c r="I173" s="380"/>
      <c r="J173" s="381"/>
      <c r="K173" s="381"/>
      <c r="L173" s="381"/>
    </row>
    <row r="174" spans="8:12">
      <c r="H174" s="1102"/>
      <c r="I174" s="380"/>
      <c r="J174" s="381"/>
      <c r="K174" s="381"/>
      <c r="L174" s="381"/>
    </row>
    <row r="175" spans="8:12">
      <c r="H175" s="1102"/>
      <c r="I175" s="380"/>
      <c r="J175" s="381"/>
      <c r="K175" s="381"/>
      <c r="L175" s="381"/>
    </row>
    <row r="176" spans="8:12">
      <c r="H176" s="1102"/>
      <c r="I176" s="380"/>
      <c r="J176" s="381"/>
      <c r="K176" s="381"/>
      <c r="L176" s="381"/>
    </row>
    <row r="177" spans="8:12">
      <c r="H177" s="1102"/>
      <c r="I177" s="380"/>
      <c r="J177" s="381"/>
      <c r="K177" s="381"/>
      <c r="L177" s="381"/>
    </row>
    <row r="178" spans="8:12">
      <c r="H178" s="1102"/>
      <c r="I178" s="380"/>
      <c r="J178" s="381"/>
      <c r="K178" s="381"/>
      <c r="L178" s="381"/>
    </row>
    <row r="179" spans="8:12">
      <c r="H179" s="1102"/>
      <c r="I179" s="380"/>
      <c r="J179" s="381"/>
      <c r="K179" s="381"/>
      <c r="L179" s="381"/>
    </row>
    <row r="180" spans="8:12">
      <c r="H180" s="1102"/>
      <c r="I180" s="380"/>
      <c r="J180" s="381"/>
      <c r="K180" s="381"/>
      <c r="L180" s="381"/>
    </row>
    <row r="181" spans="8:12">
      <c r="H181" s="1102"/>
      <c r="I181" s="380"/>
      <c r="J181" s="381"/>
      <c r="K181" s="381"/>
      <c r="L181" s="381"/>
    </row>
    <row r="182" spans="8:12">
      <c r="H182" s="1102"/>
      <c r="I182" s="380"/>
      <c r="J182" s="381"/>
      <c r="K182" s="381"/>
      <c r="L182" s="381"/>
    </row>
    <row r="183" spans="8:12">
      <c r="H183" s="1102"/>
      <c r="I183" s="380"/>
      <c r="J183" s="381"/>
      <c r="K183" s="381"/>
      <c r="L183" s="381"/>
    </row>
    <row r="184" spans="8:12">
      <c r="H184" s="1102"/>
      <c r="I184" s="380"/>
      <c r="J184" s="381"/>
      <c r="K184" s="381"/>
      <c r="L184" s="381"/>
    </row>
    <row r="185" spans="8:12">
      <c r="H185" s="1102"/>
      <c r="I185" s="380"/>
      <c r="J185" s="381"/>
      <c r="K185" s="381"/>
      <c r="L185" s="381"/>
    </row>
    <row r="186" spans="8:12">
      <c r="H186" s="1102"/>
      <c r="I186" s="380"/>
      <c r="J186" s="381"/>
      <c r="K186" s="381"/>
      <c r="L186" s="381"/>
    </row>
    <row r="187" spans="8:12">
      <c r="H187" s="1102"/>
      <c r="I187" s="380"/>
      <c r="J187" s="381"/>
      <c r="K187" s="381"/>
      <c r="L187" s="381"/>
    </row>
    <row r="188" spans="8:12">
      <c r="H188" s="1102"/>
      <c r="I188" s="380"/>
      <c r="J188" s="381"/>
      <c r="K188" s="381"/>
      <c r="L188" s="381"/>
    </row>
    <row r="189" spans="8:12">
      <c r="H189" s="1102"/>
      <c r="I189" s="380"/>
      <c r="J189" s="381"/>
      <c r="K189" s="381"/>
      <c r="L189" s="381"/>
    </row>
    <row r="190" spans="8:12">
      <c r="H190" s="1102"/>
      <c r="I190" s="380"/>
      <c r="J190" s="381"/>
      <c r="K190" s="381"/>
      <c r="L190" s="381"/>
    </row>
    <row r="191" spans="8:12">
      <c r="H191" s="1102"/>
      <c r="I191" s="380"/>
      <c r="J191" s="381"/>
      <c r="K191" s="381"/>
      <c r="L191" s="381"/>
    </row>
    <row r="192" spans="8:12">
      <c r="H192" s="1102"/>
      <c r="I192" s="380"/>
      <c r="J192" s="381"/>
      <c r="K192" s="381"/>
      <c r="L192" s="381"/>
    </row>
    <row r="193" spans="8:12">
      <c r="H193" s="1102"/>
      <c r="I193" s="380"/>
      <c r="J193" s="381"/>
      <c r="K193" s="381"/>
      <c r="L193" s="381"/>
    </row>
    <row r="194" spans="8:12">
      <c r="H194" s="1102"/>
      <c r="I194" s="380"/>
      <c r="J194" s="381"/>
      <c r="K194" s="381"/>
      <c r="L194" s="381"/>
    </row>
    <row r="195" spans="8:12">
      <c r="H195" s="1102"/>
      <c r="I195" s="380"/>
      <c r="J195" s="381"/>
      <c r="K195" s="381"/>
      <c r="L195" s="381"/>
    </row>
    <row r="196" spans="8:12">
      <c r="H196" s="1102"/>
      <c r="I196" s="380"/>
      <c r="J196" s="381"/>
      <c r="K196" s="381"/>
      <c r="L196" s="381"/>
    </row>
    <row r="197" spans="8:12">
      <c r="H197" s="1102"/>
      <c r="I197" s="380"/>
      <c r="J197" s="381"/>
      <c r="K197" s="381"/>
      <c r="L197" s="381"/>
    </row>
    <row r="198" spans="8:12">
      <c r="H198" s="1102"/>
      <c r="I198" s="380"/>
      <c r="J198" s="381"/>
      <c r="K198" s="381"/>
      <c r="L198" s="381"/>
    </row>
    <row r="199" spans="8:12">
      <c r="H199" s="1102"/>
      <c r="I199" s="380"/>
      <c r="J199" s="381"/>
      <c r="K199" s="381"/>
      <c r="L199" s="381"/>
    </row>
    <row r="200" spans="8:12">
      <c r="H200" s="1102"/>
      <c r="I200" s="380"/>
      <c r="J200" s="381"/>
      <c r="K200" s="381"/>
      <c r="L200" s="381"/>
    </row>
    <row r="201" spans="8:12">
      <c r="H201" s="1102"/>
      <c r="I201" s="380"/>
      <c r="J201" s="381"/>
      <c r="K201" s="381"/>
      <c r="L201" s="381"/>
    </row>
    <row r="202" spans="8:12">
      <c r="H202" s="1102"/>
      <c r="I202" s="380"/>
      <c r="J202" s="381"/>
      <c r="K202" s="381"/>
      <c r="L202" s="381"/>
    </row>
    <row r="203" spans="8:12">
      <c r="H203" s="1102"/>
      <c r="I203" s="380"/>
      <c r="J203" s="381"/>
      <c r="K203" s="381"/>
      <c r="L203" s="381"/>
    </row>
    <row r="204" spans="8:12">
      <c r="H204" s="1102"/>
      <c r="I204" s="380"/>
      <c r="J204" s="381"/>
      <c r="K204" s="381"/>
      <c r="L204" s="381"/>
    </row>
    <row r="205" spans="8:12">
      <c r="H205" s="1102"/>
      <c r="I205" s="380"/>
      <c r="J205" s="381"/>
      <c r="K205" s="381"/>
      <c r="L205" s="381"/>
    </row>
    <row r="206" spans="8:12">
      <c r="H206" s="1102"/>
      <c r="I206" s="380"/>
      <c r="J206" s="381"/>
      <c r="K206" s="381"/>
      <c r="L206" s="381"/>
    </row>
    <row r="207" spans="8:12">
      <c r="H207" s="1102"/>
      <c r="I207" s="380"/>
      <c r="J207" s="381"/>
      <c r="K207" s="381"/>
      <c r="L207" s="381"/>
    </row>
    <row r="208" spans="8:12">
      <c r="H208" s="1102"/>
      <c r="I208" s="380"/>
      <c r="J208" s="381"/>
      <c r="K208" s="381"/>
      <c r="L208" s="381"/>
    </row>
    <row r="209" spans="8:12">
      <c r="H209" s="1102"/>
      <c r="I209" s="380"/>
      <c r="J209" s="381"/>
      <c r="K209" s="381"/>
      <c r="L209" s="381"/>
    </row>
    <row r="210" spans="8:12">
      <c r="H210" s="1102"/>
      <c r="I210" s="380"/>
      <c r="J210" s="381"/>
      <c r="K210" s="381"/>
      <c r="L210" s="381"/>
    </row>
    <row r="211" spans="8:12">
      <c r="H211" s="1102"/>
      <c r="I211" s="380"/>
      <c r="J211" s="381"/>
      <c r="K211" s="381"/>
      <c r="L211" s="381"/>
    </row>
    <row r="212" spans="8:12">
      <c r="H212" s="1102"/>
      <c r="I212" s="380"/>
      <c r="J212" s="381"/>
      <c r="K212" s="381"/>
      <c r="L212" s="381"/>
    </row>
    <row r="213" spans="8:12">
      <c r="H213" s="1102"/>
      <c r="I213" s="380"/>
      <c r="J213" s="381"/>
      <c r="K213" s="381"/>
      <c r="L213" s="381"/>
    </row>
    <row r="214" spans="8:12">
      <c r="H214" s="1102"/>
      <c r="I214" s="380"/>
      <c r="J214" s="381"/>
      <c r="K214" s="381"/>
      <c r="L214" s="381"/>
    </row>
    <row r="215" spans="8:12">
      <c r="H215" s="1102"/>
      <c r="I215" s="380"/>
      <c r="J215" s="381"/>
      <c r="K215" s="381"/>
      <c r="L215" s="381"/>
    </row>
    <row r="216" spans="8:12">
      <c r="H216" s="1102"/>
      <c r="I216" s="380"/>
      <c r="J216" s="381"/>
      <c r="K216" s="381"/>
      <c r="L216" s="381"/>
    </row>
    <row r="217" spans="8:12">
      <c r="H217" s="1102"/>
      <c r="I217" s="380"/>
      <c r="J217" s="381"/>
      <c r="K217" s="381"/>
      <c r="L217" s="381"/>
    </row>
    <row r="218" spans="8:12">
      <c r="H218" s="1102"/>
      <c r="I218" s="380"/>
      <c r="J218" s="381"/>
      <c r="K218" s="381"/>
      <c r="L218" s="381"/>
    </row>
    <row r="219" spans="8:12">
      <c r="H219" s="1102"/>
      <c r="I219" s="380"/>
      <c r="J219" s="381"/>
      <c r="K219" s="381"/>
      <c r="L219" s="381"/>
    </row>
    <row r="220" spans="8:12">
      <c r="H220" s="1102"/>
      <c r="I220" s="380"/>
      <c r="J220" s="381"/>
      <c r="K220" s="381"/>
      <c r="L220" s="381"/>
    </row>
    <row r="221" spans="8:12">
      <c r="H221" s="1102"/>
      <c r="I221" s="380"/>
      <c r="J221" s="381"/>
      <c r="K221" s="381"/>
      <c r="L221" s="381"/>
    </row>
    <row r="222" spans="8:12">
      <c r="H222" s="1102"/>
      <c r="I222" s="380"/>
      <c r="J222" s="381"/>
      <c r="K222" s="381"/>
      <c r="L222" s="381"/>
    </row>
    <row r="223" spans="8:12">
      <c r="H223" s="1102"/>
      <c r="I223" s="380"/>
      <c r="J223" s="381"/>
      <c r="K223" s="381"/>
      <c r="L223" s="381"/>
    </row>
    <row r="224" spans="8:12">
      <c r="H224" s="1102"/>
      <c r="I224" s="380"/>
      <c r="J224" s="381"/>
      <c r="K224" s="381"/>
      <c r="L224" s="381"/>
    </row>
    <row r="225" spans="8:12">
      <c r="H225" s="1102"/>
      <c r="I225" s="380"/>
      <c r="J225" s="381"/>
      <c r="K225" s="381"/>
      <c r="L225" s="381"/>
    </row>
    <row r="226" spans="8:12">
      <c r="H226" s="1102"/>
      <c r="I226" s="380"/>
      <c r="J226" s="381"/>
      <c r="K226" s="381"/>
      <c r="L226" s="381"/>
    </row>
    <row r="227" spans="8:12">
      <c r="H227" s="1102"/>
      <c r="I227" s="380"/>
      <c r="J227" s="381"/>
      <c r="K227" s="381"/>
      <c r="L227" s="381"/>
    </row>
    <row r="228" spans="8:12">
      <c r="H228" s="1102"/>
      <c r="I228" s="380"/>
      <c r="J228" s="381"/>
      <c r="K228" s="381"/>
      <c r="L228" s="381"/>
    </row>
    <row r="229" spans="8:12">
      <c r="H229" s="1102"/>
      <c r="I229" s="380"/>
      <c r="J229" s="381"/>
      <c r="K229" s="381"/>
      <c r="L229" s="381"/>
    </row>
    <row r="230" spans="8:12">
      <c r="H230" s="1102"/>
      <c r="I230" s="380"/>
      <c r="J230" s="381"/>
      <c r="K230" s="381"/>
      <c r="L230" s="381"/>
    </row>
    <row r="231" spans="8:12">
      <c r="H231" s="1102"/>
      <c r="I231" s="380"/>
      <c r="J231" s="381"/>
      <c r="K231" s="381"/>
      <c r="L231" s="381"/>
    </row>
    <row r="232" spans="8:12">
      <c r="H232" s="1102"/>
      <c r="I232" s="380"/>
      <c r="J232" s="381"/>
      <c r="K232" s="381"/>
      <c r="L232" s="381"/>
    </row>
    <row r="233" spans="8:12">
      <c r="H233" s="1102"/>
      <c r="I233" s="380"/>
      <c r="J233" s="381"/>
      <c r="K233" s="381"/>
      <c r="L233" s="381"/>
    </row>
    <row r="234" spans="8:12">
      <c r="H234" s="1102"/>
      <c r="I234" s="380"/>
      <c r="J234" s="381"/>
      <c r="K234" s="381"/>
      <c r="L234" s="381"/>
    </row>
    <row r="235" spans="8:12">
      <c r="H235" s="1102"/>
      <c r="I235" s="380"/>
      <c r="J235" s="381"/>
      <c r="K235" s="381"/>
      <c r="L235" s="381"/>
    </row>
    <row r="236" spans="8:12">
      <c r="H236" s="1102"/>
      <c r="I236" s="380"/>
      <c r="J236" s="381"/>
      <c r="K236" s="381"/>
      <c r="L236" s="381"/>
    </row>
    <row r="237" spans="8:12">
      <c r="H237" s="1102"/>
      <c r="I237" s="380"/>
      <c r="J237" s="381"/>
      <c r="K237" s="381"/>
      <c r="L237" s="381"/>
    </row>
    <row r="238" spans="8:12">
      <c r="H238" s="1102"/>
      <c r="I238" s="380"/>
      <c r="J238" s="381"/>
      <c r="K238" s="381"/>
      <c r="L238" s="381"/>
    </row>
    <row r="239" spans="8:12">
      <c r="H239" s="1102"/>
      <c r="I239" s="380"/>
      <c r="J239" s="381"/>
      <c r="K239" s="381"/>
      <c r="L239" s="381"/>
    </row>
    <row r="240" spans="8:12">
      <c r="H240" s="1102"/>
      <c r="I240" s="380"/>
      <c r="J240" s="381"/>
      <c r="K240" s="381"/>
      <c r="L240" s="381"/>
    </row>
    <row r="241" spans="8:12">
      <c r="H241" s="1102"/>
      <c r="I241" s="380"/>
      <c r="J241" s="381"/>
      <c r="K241" s="381"/>
      <c r="L241" s="381"/>
    </row>
    <row r="242" spans="8:12">
      <c r="H242" s="1102"/>
      <c r="I242" s="380"/>
      <c r="J242" s="381"/>
      <c r="K242" s="381"/>
      <c r="L242" s="381"/>
    </row>
    <row r="243" spans="8:12">
      <c r="H243" s="1102"/>
      <c r="I243" s="380"/>
      <c r="J243" s="381"/>
      <c r="K243" s="381"/>
      <c r="L243" s="381"/>
    </row>
    <row r="244" spans="8:12">
      <c r="H244" s="1102"/>
      <c r="I244" s="380"/>
      <c r="J244" s="381"/>
      <c r="K244" s="381"/>
      <c r="L244" s="381"/>
    </row>
  </sheetData>
  <mergeCells count="16">
    <mergeCell ref="J1:L1"/>
    <mergeCell ref="H91:H112"/>
    <mergeCell ref="H113:H134"/>
    <mergeCell ref="H135:H156"/>
    <mergeCell ref="H157:H178"/>
    <mergeCell ref="H2:I2"/>
    <mergeCell ref="H25:H46"/>
    <mergeCell ref="H47:H68"/>
    <mergeCell ref="H69:H90"/>
    <mergeCell ref="H1:I1"/>
    <mergeCell ref="A2:A3"/>
    <mergeCell ref="B2:D2"/>
    <mergeCell ref="H201:H222"/>
    <mergeCell ref="H223:H244"/>
    <mergeCell ref="H3:H24"/>
    <mergeCell ref="H179:H200"/>
  </mergeCells>
  <phoneticPr fontId="10" type="noConversion"/>
  <pageMargins left="0.75" right="0.75" top="1" bottom="1" header="0.5" footer="0.5"/>
  <pageSetup paperSize="9" orientation="portrait" r:id="rId1"/>
  <headerFooter alignWithMargins="0"/>
  <colBreaks count="1" manualBreakCount="1">
    <brk id="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1"/>
  </sheetPr>
  <dimension ref="A1:O244"/>
  <sheetViews>
    <sheetView view="pageBreakPreview" zoomScale="85" zoomScaleNormal="115" zoomScaleSheetLayoutView="85" workbookViewId="0">
      <selection activeCell="J32" sqref="J32"/>
    </sheetView>
  </sheetViews>
  <sheetFormatPr defaultRowHeight="16.5"/>
  <cols>
    <col min="1" max="4" width="17.5546875" style="420" customWidth="1"/>
    <col min="5" max="7" width="8.88671875" style="420"/>
    <col min="8" max="8" width="8.5546875" style="426" bestFit="1" customWidth="1"/>
    <col min="9" max="9" width="9.109375" style="426" bestFit="1" customWidth="1"/>
    <col min="10" max="10" width="11.5546875" style="426" bestFit="1" customWidth="1"/>
    <col min="11" max="12" width="13.44140625" style="426" bestFit="1" customWidth="1"/>
    <col min="13" max="13" width="8.88671875" style="420"/>
    <col min="14" max="14" width="13.88671875" style="420" bestFit="1" customWidth="1"/>
    <col min="15" max="16384" width="8.88671875" style="420"/>
  </cols>
  <sheetData>
    <row r="1" spans="1:15" s="423" customFormat="1" ht="39.950000000000003" customHeight="1">
      <c r="A1" s="376" t="s">
        <v>1063</v>
      </c>
      <c r="B1" s="376"/>
      <c r="C1" s="376"/>
      <c r="D1" s="376"/>
      <c r="E1" s="376"/>
      <c r="F1" s="376"/>
      <c r="G1" s="376"/>
      <c r="H1" s="1107" t="s">
        <v>669</v>
      </c>
      <c r="I1" s="1108" t="s">
        <v>669</v>
      </c>
      <c r="J1" s="1106" t="s">
        <v>696</v>
      </c>
      <c r="K1" s="1106"/>
      <c r="L1" s="1106"/>
      <c r="N1" s="386" t="s">
        <v>595</v>
      </c>
      <c r="O1" s="386" t="s">
        <v>698</v>
      </c>
    </row>
    <row r="2" spans="1:15" ht="23.25" customHeight="1">
      <c r="A2" s="1097" t="s">
        <v>10</v>
      </c>
      <c r="B2" s="1099" t="s">
        <v>697</v>
      </c>
      <c r="C2" s="1099"/>
      <c r="D2" s="1100"/>
      <c r="H2" s="1107" t="s">
        <v>670</v>
      </c>
      <c r="I2" s="1108" t="s">
        <v>670</v>
      </c>
      <c r="J2" s="388" t="s">
        <v>693</v>
      </c>
      <c r="K2" s="388" t="s">
        <v>694</v>
      </c>
      <c r="L2" s="388" t="s">
        <v>695</v>
      </c>
      <c r="N2" s="386" t="s">
        <v>597</v>
      </c>
      <c r="O2" s="386" t="s">
        <v>699</v>
      </c>
    </row>
    <row r="3" spans="1:15" ht="23.25" customHeight="1">
      <c r="A3" s="1098"/>
      <c r="B3" s="372" t="s">
        <v>19</v>
      </c>
      <c r="C3" s="372" t="s">
        <v>76</v>
      </c>
      <c r="D3" s="373" t="s">
        <v>75</v>
      </c>
      <c r="H3" s="1103" t="s">
        <v>671</v>
      </c>
      <c r="I3" s="383" t="s">
        <v>672</v>
      </c>
      <c r="J3" s="384">
        <v>94553</v>
      </c>
      <c r="K3" s="384">
        <v>47198</v>
      </c>
      <c r="L3" s="384">
        <v>47355</v>
      </c>
      <c r="N3" s="386" t="s">
        <v>599</v>
      </c>
      <c r="O3" s="386" t="s">
        <v>700</v>
      </c>
    </row>
    <row r="4" spans="1:15" ht="23.25" customHeight="1">
      <c r="A4" s="374" t="s">
        <v>673</v>
      </c>
      <c r="B4" s="371">
        <f>J4</f>
        <v>3633</v>
      </c>
      <c r="C4" s="371">
        <f t="shared" ref="C4:D19" si="0">K4</f>
        <v>1905</v>
      </c>
      <c r="D4" s="371">
        <f t="shared" si="0"/>
        <v>1728</v>
      </c>
      <c r="G4" s="70"/>
      <c r="H4" s="1104"/>
      <c r="I4" s="383" t="s">
        <v>673</v>
      </c>
      <c r="J4" s="384">
        <v>3633</v>
      </c>
      <c r="K4" s="384">
        <v>1905</v>
      </c>
      <c r="L4" s="384">
        <v>1728</v>
      </c>
      <c r="N4" s="386" t="s">
        <v>601</v>
      </c>
      <c r="O4" s="386" t="s">
        <v>701</v>
      </c>
    </row>
    <row r="5" spans="1:15" ht="23.25" customHeight="1">
      <c r="A5" s="375" t="s">
        <v>674</v>
      </c>
      <c r="B5" s="371">
        <f t="shared" ref="B5:D24" si="1">J5</f>
        <v>4157</v>
      </c>
      <c r="C5" s="371">
        <f t="shared" si="0"/>
        <v>2141</v>
      </c>
      <c r="D5" s="371">
        <f t="shared" si="0"/>
        <v>2016</v>
      </c>
      <c r="H5" s="1104"/>
      <c r="I5" s="383" t="s">
        <v>674</v>
      </c>
      <c r="J5" s="384">
        <v>4157</v>
      </c>
      <c r="K5" s="384">
        <v>2141</v>
      </c>
      <c r="L5" s="384">
        <v>2016</v>
      </c>
      <c r="N5" s="386" t="s">
        <v>603</v>
      </c>
      <c r="O5" s="386" t="s">
        <v>702</v>
      </c>
    </row>
    <row r="6" spans="1:15" ht="23.25" customHeight="1">
      <c r="A6" s="375" t="s">
        <v>675</v>
      </c>
      <c r="B6" s="371">
        <f t="shared" si="1"/>
        <v>4435</v>
      </c>
      <c r="C6" s="371">
        <f t="shared" si="0"/>
        <v>2284</v>
      </c>
      <c r="D6" s="371">
        <f t="shared" si="0"/>
        <v>2151</v>
      </c>
      <c r="H6" s="1104"/>
      <c r="I6" s="383" t="s">
        <v>675</v>
      </c>
      <c r="J6" s="384">
        <v>4435</v>
      </c>
      <c r="K6" s="384">
        <v>2284</v>
      </c>
      <c r="L6" s="384">
        <v>2151</v>
      </c>
      <c r="N6" s="386" t="s">
        <v>605</v>
      </c>
      <c r="O6" s="386" t="s">
        <v>703</v>
      </c>
    </row>
    <row r="7" spans="1:15" ht="23.25" customHeight="1">
      <c r="A7" s="375" t="s">
        <v>676</v>
      </c>
      <c r="B7" s="371">
        <f t="shared" si="1"/>
        <v>5414</v>
      </c>
      <c r="C7" s="371">
        <f t="shared" si="0"/>
        <v>2867</v>
      </c>
      <c r="D7" s="371">
        <f t="shared" si="0"/>
        <v>2547</v>
      </c>
      <c r="F7" s="298"/>
      <c r="G7" s="306"/>
      <c r="H7" s="1104"/>
      <c r="I7" s="383" t="s">
        <v>676</v>
      </c>
      <c r="J7" s="384">
        <v>5414</v>
      </c>
      <c r="K7" s="384">
        <v>2867</v>
      </c>
      <c r="L7" s="384">
        <v>2547</v>
      </c>
      <c r="N7" s="386" t="s">
        <v>124</v>
      </c>
      <c r="O7" s="386" t="s">
        <v>607</v>
      </c>
    </row>
    <row r="8" spans="1:15" ht="23.25" customHeight="1">
      <c r="A8" s="375" t="s">
        <v>677</v>
      </c>
      <c r="B8" s="371">
        <f t="shared" si="1"/>
        <v>5413</v>
      </c>
      <c r="C8" s="371">
        <f t="shared" si="0"/>
        <v>3020</v>
      </c>
      <c r="D8" s="371">
        <f t="shared" si="0"/>
        <v>2393</v>
      </c>
      <c r="F8" s="298"/>
      <c r="G8" s="306"/>
      <c r="H8" s="1104"/>
      <c r="I8" s="383" t="s">
        <v>677</v>
      </c>
      <c r="J8" s="384">
        <v>5413</v>
      </c>
      <c r="K8" s="384">
        <v>3020</v>
      </c>
      <c r="L8" s="384">
        <v>2393</v>
      </c>
      <c r="N8" s="386" t="s">
        <v>704</v>
      </c>
      <c r="O8" s="386" t="s">
        <v>705</v>
      </c>
    </row>
    <row r="9" spans="1:15" ht="23.25" customHeight="1">
      <c r="A9" s="375" t="s">
        <v>678</v>
      </c>
      <c r="B9" s="371">
        <f t="shared" si="1"/>
        <v>4185</v>
      </c>
      <c r="C9" s="371">
        <f t="shared" si="0"/>
        <v>2308</v>
      </c>
      <c r="D9" s="371">
        <f t="shared" si="0"/>
        <v>1877</v>
      </c>
      <c r="F9" s="298"/>
      <c r="G9" s="306"/>
      <c r="H9" s="1104"/>
      <c r="I9" s="383" t="s">
        <v>678</v>
      </c>
      <c r="J9" s="384">
        <v>4185</v>
      </c>
      <c r="K9" s="384">
        <v>2308</v>
      </c>
      <c r="L9" s="384">
        <v>1877</v>
      </c>
      <c r="N9" s="386" t="s">
        <v>608</v>
      </c>
      <c r="O9" s="385"/>
    </row>
    <row r="10" spans="1:15" ht="23.25" customHeight="1">
      <c r="A10" s="375" t="s">
        <v>679</v>
      </c>
      <c r="B10" s="371">
        <f t="shared" si="1"/>
        <v>5021</v>
      </c>
      <c r="C10" s="371">
        <f t="shared" si="0"/>
        <v>2619</v>
      </c>
      <c r="D10" s="371">
        <f t="shared" si="0"/>
        <v>2402</v>
      </c>
      <c r="F10" s="298"/>
      <c r="G10" s="306"/>
      <c r="H10" s="1104"/>
      <c r="I10" s="383" t="s">
        <v>679</v>
      </c>
      <c r="J10" s="384">
        <v>5021</v>
      </c>
      <c r="K10" s="384">
        <v>2619</v>
      </c>
      <c r="L10" s="384">
        <v>2402</v>
      </c>
      <c r="N10" s="386" t="s">
        <v>609</v>
      </c>
      <c r="O10" s="386" t="s">
        <v>706</v>
      </c>
    </row>
    <row r="11" spans="1:15" ht="23.25" customHeight="1">
      <c r="A11" s="375" t="s">
        <v>680</v>
      </c>
      <c r="B11" s="371">
        <f t="shared" si="1"/>
        <v>5802</v>
      </c>
      <c r="C11" s="371">
        <f t="shared" si="0"/>
        <v>2953</v>
      </c>
      <c r="D11" s="371">
        <f t="shared" si="0"/>
        <v>2849</v>
      </c>
      <c r="F11" s="298"/>
      <c r="G11" s="306"/>
      <c r="H11" s="1104"/>
      <c r="I11" s="383" t="s">
        <v>680</v>
      </c>
      <c r="J11" s="384">
        <v>5802</v>
      </c>
      <c r="K11" s="384">
        <v>2953</v>
      </c>
      <c r="L11" s="384">
        <v>2849</v>
      </c>
      <c r="N11" s="386" t="s">
        <v>124</v>
      </c>
      <c r="O11" s="386" t="s">
        <v>707</v>
      </c>
    </row>
    <row r="12" spans="1:15" ht="23.25" customHeight="1">
      <c r="A12" s="375" t="s">
        <v>681</v>
      </c>
      <c r="B12" s="371">
        <f t="shared" si="1"/>
        <v>7109</v>
      </c>
      <c r="C12" s="371">
        <f t="shared" si="0"/>
        <v>3798</v>
      </c>
      <c r="D12" s="371">
        <f t="shared" si="0"/>
        <v>3311</v>
      </c>
      <c r="F12" s="298"/>
      <c r="G12" s="306"/>
      <c r="H12" s="1104"/>
      <c r="I12" s="383" t="s">
        <v>681</v>
      </c>
      <c r="J12" s="384">
        <v>7109</v>
      </c>
      <c r="K12" s="384">
        <v>3798</v>
      </c>
      <c r="L12" s="384">
        <v>3311</v>
      </c>
      <c r="N12" s="386" t="s">
        <v>124</v>
      </c>
      <c r="O12" s="386" t="s">
        <v>708</v>
      </c>
    </row>
    <row r="13" spans="1:15" ht="23.25" customHeight="1">
      <c r="A13" s="375" t="s">
        <v>682</v>
      </c>
      <c r="B13" s="371">
        <f t="shared" si="1"/>
        <v>7158</v>
      </c>
      <c r="C13" s="371">
        <f t="shared" si="0"/>
        <v>3842</v>
      </c>
      <c r="D13" s="371">
        <f t="shared" si="0"/>
        <v>3316</v>
      </c>
      <c r="F13" s="298"/>
      <c r="G13" s="306"/>
      <c r="H13" s="1104"/>
      <c r="I13" s="383" t="s">
        <v>682</v>
      </c>
      <c r="J13" s="384">
        <v>7158</v>
      </c>
      <c r="K13" s="384">
        <v>3842</v>
      </c>
      <c r="L13" s="384">
        <v>3316</v>
      </c>
      <c r="N13" s="386" t="s">
        <v>124</v>
      </c>
      <c r="O13" s="386" t="s">
        <v>709</v>
      </c>
    </row>
    <row r="14" spans="1:15" ht="23.25" customHeight="1">
      <c r="A14" s="375" t="s">
        <v>683</v>
      </c>
      <c r="B14" s="371">
        <f t="shared" si="1"/>
        <v>7678</v>
      </c>
      <c r="C14" s="371">
        <f t="shared" si="0"/>
        <v>3953</v>
      </c>
      <c r="D14" s="371">
        <f t="shared" si="0"/>
        <v>3725</v>
      </c>
      <c r="F14" s="298"/>
      <c r="G14" s="306"/>
      <c r="H14" s="1104"/>
      <c r="I14" s="383" t="s">
        <v>683</v>
      </c>
      <c r="J14" s="384">
        <v>7678</v>
      </c>
      <c r="K14" s="384">
        <v>3953</v>
      </c>
      <c r="L14" s="384">
        <v>3725</v>
      </c>
      <c r="N14" s="386" t="s">
        <v>124</v>
      </c>
      <c r="O14" s="386" t="s">
        <v>710</v>
      </c>
    </row>
    <row r="15" spans="1:15" ht="23.25" customHeight="1">
      <c r="A15" s="375" t="s">
        <v>684</v>
      </c>
      <c r="B15" s="371">
        <f t="shared" si="1"/>
        <v>7589</v>
      </c>
      <c r="C15" s="371">
        <f t="shared" si="0"/>
        <v>3855</v>
      </c>
      <c r="D15" s="371">
        <f t="shared" si="0"/>
        <v>3734</v>
      </c>
      <c r="F15" s="298"/>
      <c r="G15" s="306"/>
      <c r="H15" s="1104"/>
      <c r="I15" s="383" t="s">
        <v>684</v>
      </c>
      <c r="J15" s="384">
        <v>7589</v>
      </c>
      <c r="K15" s="384">
        <v>3855</v>
      </c>
      <c r="L15" s="384">
        <v>3734</v>
      </c>
      <c r="N15" s="386" t="s">
        <v>124</v>
      </c>
      <c r="O15" s="386" t="s">
        <v>711</v>
      </c>
    </row>
    <row r="16" spans="1:15" ht="23.25" customHeight="1">
      <c r="A16" s="375" t="s">
        <v>685</v>
      </c>
      <c r="B16" s="371">
        <f t="shared" si="1"/>
        <v>6334</v>
      </c>
      <c r="C16" s="371">
        <f t="shared" si="0"/>
        <v>3087</v>
      </c>
      <c r="D16" s="371">
        <f t="shared" si="0"/>
        <v>3247</v>
      </c>
      <c r="F16" s="298"/>
      <c r="G16" s="306"/>
      <c r="H16" s="1104"/>
      <c r="I16" s="383" t="s">
        <v>685</v>
      </c>
      <c r="J16" s="384">
        <v>6334</v>
      </c>
      <c r="K16" s="384">
        <v>3087</v>
      </c>
      <c r="L16" s="384">
        <v>3247</v>
      </c>
      <c r="N16" s="386" t="s">
        <v>124</v>
      </c>
      <c r="O16" s="386" t="s">
        <v>712</v>
      </c>
    </row>
    <row r="17" spans="1:12" ht="23.25" customHeight="1">
      <c r="A17" s="375" t="s">
        <v>686</v>
      </c>
      <c r="B17" s="371">
        <f t="shared" si="1"/>
        <v>5517</v>
      </c>
      <c r="C17" s="371">
        <f t="shared" si="0"/>
        <v>2664</v>
      </c>
      <c r="D17" s="371">
        <f t="shared" si="0"/>
        <v>2853</v>
      </c>
      <c r="F17" s="298"/>
      <c r="G17" s="306"/>
      <c r="H17" s="1104"/>
      <c r="I17" s="383" t="s">
        <v>686</v>
      </c>
      <c r="J17" s="384">
        <v>5517</v>
      </c>
      <c r="K17" s="384">
        <v>2664</v>
      </c>
      <c r="L17" s="384">
        <v>2853</v>
      </c>
    </row>
    <row r="18" spans="1:12" ht="23.25" customHeight="1">
      <c r="A18" s="375" t="s">
        <v>687</v>
      </c>
      <c r="B18" s="371">
        <f t="shared" si="1"/>
        <v>4962</v>
      </c>
      <c r="C18" s="371">
        <f t="shared" si="0"/>
        <v>2137</v>
      </c>
      <c r="D18" s="371">
        <f t="shared" si="0"/>
        <v>2825</v>
      </c>
      <c r="F18" s="298"/>
      <c r="G18" s="306"/>
      <c r="H18" s="1104"/>
      <c r="I18" s="383" t="s">
        <v>687</v>
      </c>
      <c r="J18" s="384">
        <v>4962</v>
      </c>
      <c r="K18" s="384">
        <v>2137</v>
      </c>
      <c r="L18" s="384">
        <v>2825</v>
      </c>
    </row>
    <row r="19" spans="1:12" ht="23.25" customHeight="1">
      <c r="A19" s="375" t="s">
        <v>688</v>
      </c>
      <c r="B19" s="371">
        <f t="shared" si="1"/>
        <v>4792</v>
      </c>
      <c r="C19" s="371">
        <f t="shared" si="0"/>
        <v>1928</v>
      </c>
      <c r="D19" s="371">
        <f t="shared" si="0"/>
        <v>2864</v>
      </c>
      <c r="F19" s="298"/>
      <c r="G19" s="306"/>
      <c r="H19" s="1104"/>
      <c r="I19" s="383" t="s">
        <v>688</v>
      </c>
      <c r="J19" s="384">
        <v>4792</v>
      </c>
      <c r="K19" s="384">
        <v>1928</v>
      </c>
      <c r="L19" s="384">
        <v>2864</v>
      </c>
    </row>
    <row r="20" spans="1:12" ht="23.25" customHeight="1">
      <c r="A20" s="375" t="s">
        <v>689</v>
      </c>
      <c r="B20" s="371">
        <f t="shared" si="1"/>
        <v>3358</v>
      </c>
      <c r="C20" s="371">
        <f t="shared" si="1"/>
        <v>1250</v>
      </c>
      <c r="D20" s="371">
        <f t="shared" si="1"/>
        <v>2108</v>
      </c>
      <c r="F20" s="298"/>
      <c r="G20" s="306"/>
      <c r="H20" s="1104"/>
      <c r="I20" s="383" t="s">
        <v>689</v>
      </c>
      <c r="J20" s="384">
        <v>3358</v>
      </c>
      <c r="K20" s="384">
        <v>1250</v>
      </c>
      <c r="L20" s="384">
        <v>2108</v>
      </c>
    </row>
    <row r="21" spans="1:12" ht="23.25" customHeight="1">
      <c r="A21" s="375" t="s">
        <v>690</v>
      </c>
      <c r="B21" s="371">
        <f t="shared" si="1"/>
        <v>1372</v>
      </c>
      <c r="C21" s="371">
        <f t="shared" si="1"/>
        <v>449</v>
      </c>
      <c r="D21" s="371">
        <f t="shared" si="1"/>
        <v>923</v>
      </c>
      <c r="F21" s="421"/>
      <c r="G21" s="306"/>
      <c r="H21" s="1104"/>
      <c r="I21" s="383" t="s">
        <v>690</v>
      </c>
      <c r="J21" s="384">
        <v>1372</v>
      </c>
      <c r="K21" s="384">
        <v>449</v>
      </c>
      <c r="L21" s="384">
        <v>923</v>
      </c>
    </row>
    <row r="22" spans="1:12" ht="23.25" customHeight="1">
      <c r="A22" s="375" t="s">
        <v>691</v>
      </c>
      <c r="B22" s="371">
        <f t="shared" si="1"/>
        <v>486</v>
      </c>
      <c r="C22" s="371">
        <f t="shared" si="1"/>
        <v>103</v>
      </c>
      <c r="D22" s="371">
        <f t="shared" si="1"/>
        <v>383</v>
      </c>
      <c r="F22" s="421"/>
      <c r="G22" s="306"/>
      <c r="H22" s="1104"/>
      <c r="I22" s="383" t="s">
        <v>691</v>
      </c>
      <c r="J22" s="384">
        <v>486</v>
      </c>
      <c r="K22" s="384">
        <v>103</v>
      </c>
      <c r="L22" s="384">
        <v>383</v>
      </c>
    </row>
    <row r="23" spans="1:12" ht="23.25" customHeight="1">
      <c r="A23" s="375" t="s">
        <v>692</v>
      </c>
      <c r="B23" s="371">
        <f t="shared" si="1"/>
        <v>90</v>
      </c>
      <c r="C23" s="371">
        <f t="shared" si="1"/>
        <v>19</v>
      </c>
      <c r="D23" s="371">
        <f t="shared" si="1"/>
        <v>71</v>
      </c>
      <c r="F23" s="421"/>
      <c r="G23" s="306"/>
      <c r="H23" s="1104"/>
      <c r="I23" s="383" t="s">
        <v>692</v>
      </c>
      <c r="J23" s="384">
        <v>90</v>
      </c>
      <c r="K23" s="384">
        <v>19</v>
      </c>
      <c r="L23" s="384">
        <v>71</v>
      </c>
    </row>
    <row r="24" spans="1:12" ht="23.25" customHeight="1">
      <c r="A24" s="375" t="s">
        <v>300</v>
      </c>
      <c r="B24" s="371">
        <f t="shared" si="1"/>
        <v>48</v>
      </c>
      <c r="C24" s="371">
        <f t="shared" si="1"/>
        <v>16</v>
      </c>
      <c r="D24" s="371">
        <f t="shared" si="1"/>
        <v>32</v>
      </c>
      <c r="F24" s="421"/>
      <c r="G24" s="306"/>
      <c r="H24" s="1105"/>
      <c r="I24" s="383" t="s">
        <v>300</v>
      </c>
      <c r="J24" s="384">
        <v>48</v>
      </c>
      <c r="K24" s="384">
        <v>16</v>
      </c>
      <c r="L24" s="384">
        <v>32</v>
      </c>
    </row>
    <row r="25" spans="1:12" ht="23.25" customHeight="1">
      <c r="A25" s="378" t="s">
        <v>50</v>
      </c>
      <c r="B25" s="379">
        <f>SUM(B4:B24)</f>
        <v>94553</v>
      </c>
      <c r="C25" s="379">
        <f t="shared" ref="C25:D25" si="2">SUM(C4:C24)</f>
        <v>47198</v>
      </c>
      <c r="D25" s="379">
        <f t="shared" si="2"/>
        <v>47355</v>
      </c>
      <c r="F25" s="298"/>
      <c r="G25" s="306"/>
      <c r="H25" s="1102"/>
      <c r="I25" s="387"/>
      <c r="J25" s="381"/>
      <c r="K25" s="381"/>
      <c r="L25" s="381"/>
    </row>
    <row r="26" spans="1:12">
      <c r="F26" s="298"/>
      <c r="G26" s="306"/>
      <c r="H26" s="1102"/>
      <c r="I26" s="387"/>
      <c r="J26" s="381"/>
      <c r="K26" s="381"/>
      <c r="L26" s="381"/>
    </row>
    <row r="27" spans="1:12">
      <c r="F27" s="298"/>
      <c r="G27" s="306"/>
      <c r="H27" s="1102"/>
      <c r="I27" s="387"/>
      <c r="J27" s="381"/>
      <c r="K27" s="381"/>
      <c r="L27" s="381"/>
    </row>
    <row r="28" spans="1:12">
      <c r="F28" s="298"/>
      <c r="G28" s="306"/>
      <c r="H28" s="1102"/>
      <c r="I28" s="387"/>
      <c r="J28" s="381"/>
      <c r="K28" s="381"/>
      <c r="L28" s="381"/>
    </row>
    <row r="29" spans="1:12">
      <c r="H29" s="1102"/>
      <c r="I29" s="387"/>
      <c r="J29" s="381"/>
      <c r="K29" s="381"/>
      <c r="L29" s="381"/>
    </row>
    <row r="30" spans="1:12">
      <c r="H30" s="1102"/>
      <c r="I30" s="387"/>
      <c r="J30" s="381"/>
      <c r="K30" s="381"/>
      <c r="L30" s="381"/>
    </row>
    <row r="31" spans="1:12">
      <c r="H31" s="1102"/>
      <c r="I31" s="387"/>
      <c r="J31" s="381"/>
      <c r="K31" s="381"/>
      <c r="L31" s="381"/>
    </row>
    <row r="32" spans="1:12">
      <c r="H32" s="1102"/>
      <c r="I32" s="387"/>
      <c r="J32" s="381"/>
      <c r="K32" s="381"/>
      <c r="L32" s="381"/>
    </row>
    <row r="33" spans="8:12">
      <c r="H33" s="1102"/>
      <c r="I33" s="387"/>
      <c r="J33" s="381"/>
      <c r="K33" s="381"/>
      <c r="L33" s="381"/>
    </row>
    <row r="34" spans="8:12">
      <c r="H34" s="1102"/>
      <c r="I34" s="387"/>
      <c r="J34" s="381"/>
      <c r="K34" s="381"/>
      <c r="L34" s="381"/>
    </row>
    <row r="35" spans="8:12">
      <c r="H35" s="1102"/>
      <c r="I35" s="387"/>
      <c r="J35" s="381"/>
      <c r="K35" s="381"/>
      <c r="L35" s="381"/>
    </row>
    <row r="36" spans="8:12">
      <c r="H36" s="1102"/>
      <c r="I36" s="387"/>
      <c r="J36" s="381"/>
      <c r="K36" s="381"/>
      <c r="L36" s="381"/>
    </row>
    <row r="37" spans="8:12">
      <c r="H37" s="1102"/>
      <c r="I37" s="387"/>
      <c r="J37" s="381"/>
      <c r="K37" s="381"/>
      <c r="L37" s="381"/>
    </row>
    <row r="38" spans="8:12">
      <c r="H38" s="1102"/>
      <c r="I38" s="387"/>
      <c r="J38" s="381"/>
      <c r="K38" s="381"/>
      <c r="L38" s="381"/>
    </row>
    <row r="39" spans="8:12">
      <c r="H39" s="1102"/>
      <c r="I39" s="387"/>
      <c r="J39" s="381"/>
      <c r="K39" s="381"/>
      <c r="L39" s="381"/>
    </row>
    <row r="40" spans="8:12">
      <c r="H40" s="1102"/>
      <c r="I40" s="387"/>
      <c r="J40" s="381"/>
      <c r="K40" s="381"/>
      <c r="L40" s="381"/>
    </row>
    <row r="41" spans="8:12">
      <c r="H41" s="1102"/>
      <c r="I41" s="387"/>
      <c r="J41" s="381"/>
      <c r="K41" s="381"/>
      <c r="L41" s="381"/>
    </row>
    <row r="42" spans="8:12">
      <c r="H42" s="1102"/>
      <c r="I42" s="387"/>
      <c r="J42" s="381"/>
      <c r="K42" s="381"/>
      <c r="L42" s="381"/>
    </row>
    <row r="43" spans="8:12">
      <c r="H43" s="1102"/>
      <c r="I43" s="387"/>
      <c r="J43" s="381"/>
      <c r="K43" s="381"/>
      <c r="L43" s="381"/>
    </row>
    <row r="44" spans="8:12">
      <c r="H44" s="1102"/>
      <c r="I44" s="387"/>
      <c r="J44" s="381"/>
      <c r="K44" s="381"/>
      <c r="L44" s="381"/>
    </row>
    <row r="45" spans="8:12">
      <c r="H45" s="1102"/>
      <c r="I45" s="387"/>
      <c r="J45" s="381"/>
      <c r="K45" s="381"/>
      <c r="L45" s="381"/>
    </row>
    <row r="46" spans="8:12">
      <c r="H46" s="1102"/>
      <c r="I46" s="387"/>
      <c r="J46" s="381"/>
      <c r="K46" s="381"/>
      <c r="L46" s="381"/>
    </row>
    <row r="47" spans="8:12">
      <c r="H47" s="1102"/>
      <c r="I47" s="387"/>
      <c r="J47" s="381"/>
      <c r="K47" s="381"/>
      <c r="L47" s="381"/>
    </row>
    <row r="48" spans="8:12">
      <c r="H48" s="1102"/>
      <c r="I48" s="387"/>
      <c r="J48" s="381"/>
      <c r="K48" s="381"/>
      <c r="L48" s="381"/>
    </row>
    <row r="49" spans="8:12">
      <c r="H49" s="1102"/>
      <c r="I49" s="387"/>
      <c r="J49" s="381"/>
      <c r="K49" s="381"/>
      <c r="L49" s="381"/>
    </row>
    <row r="50" spans="8:12">
      <c r="H50" s="1102"/>
      <c r="I50" s="387"/>
      <c r="J50" s="381"/>
      <c r="K50" s="381"/>
      <c r="L50" s="381"/>
    </row>
    <row r="51" spans="8:12">
      <c r="H51" s="1102"/>
      <c r="I51" s="387"/>
      <c r="J51" s="381"/>
      <c r="K51" s="381"/>
      <c r="L51" s="381"/>
    </row>
    <row r="52" spans="8:12">
      <c r="H52" s="1102"/>
      <c r="I52" s="387"/>
      <c r="J52" s="381"/>
      <c r="K52" s="381"/>
      <c r="L52" s="381"/>
    </row>
    <row r="53" spans="8:12">
      <c r="H53" s="1102"/>
      <c r="I53" s="387"/>
      <c r="J53" s="381"/>
      <c r="K53" s="381"/>
      <c r="L53" s="381"/>
    </row>
    <row r="54" spans="8:12">
      <c r="H54" s="1102"/>
      <c r="I54" s="387"/>
      <c r="J54" s="381"/>
      <c r="K54" s="381"/>
      <c r="L54" s="381"/>
    </row>
    <row r="55" spans="8:12">
      <c r="H55" s="1102"/>
      <c r="I55" s="387"/>
      <c r="J55" s="381"/>
      <c r="K55" s="381"/>
      <c r="L55" s="381"/>
    </row>
    <row r="56" spans="8:12">
      <c r="H56" s="1102"/>
      <c r="I56" s="387"/>
      <c r="J56" s="381"/>
      <c r="K56" s="381"/>
      <c r="L56" s="381"/>
    </row>
    <row r="57" spans="8:12">
      <c r="H57" s="1102"/>
      <c r="I57" s="387"/>
      <c r="J57" s="381"/>
      <c r="K57" s="381"/>
      <c r="L57" s="381"/>
    </row>
    <row r="58" spans="8:12">
      <c r="H58" s="1102"/>
      <c r="I58" s="387"/>
      <c r="J58" s="381"/>
      <c r="K58" s="381"/>
      <c r="L58" s="381"/>
    </row>
    <row r="59" spans="8:12">
      <c r="H59" s="1102"/>
      <c r="I59" s="387"/>
      <c r="J59" s="381"/>
      <c r="K59" s="381"/>
      <c r="L59" s="381"/>
    </row>
    <row r="60" spans="8:12">
      <c r="H60" s="1102"/>
      <c r="I60" s="387"/>
      <c r="J60" s="381"/>
      <c r="K60" s="381"/>
      <c r="L60" s="381"/>
    </row>
    <row r="61" spans="8:12">
      <c r="H61" s="1102"/>
      <c r="I61" s="387"/>
      <c r="J61" s="381"/>
      <c r="K61" s="381"/>
      <c r="L61" s="381"/>
    </row>
    <row r="62" spans="8:12">
      <c r="H62" s="1102"/>
      <c r="I62" s="387"/>
      <c r="J62" s="381"/>
      <c r="K62" s="381"/>
      <c r="L62" s="381"/>
    </row>
    <row r="63" spans="8:12">
      <c r="H63" s="1102"/>
      <c r="I63" s="387"/>
      <c r="J63" s="381"/>
      <c r="K63" s="381"/>
      <c r="L63" s="381"/>
    </row>
    <row r="64" spans="8:12">
      <c r="H64" s="1102"/>
      <c r="I64" s="387"/>
      <c r="J64" s="381"/>
      <c r="K64" s="381"/>
      <c r="L64" s="381"/>
    </row>
    <row r="65" spans="8:12">
      <c r="H65" s="1102"/>
      <c r="I65" s="387"/>
      <c r="J65" s="381"/>
      <c r="K65" s="381"/>
      <c r="L65" s="381"/>
    </row>
    <row r="66" spans="8:12">
      <c r="H66" s="1102"/>
      <c r="I66" s="387"/>
      <c r="J66" s="381"/>
      <c r="K66" s="381"/>
      <c r="L66" s="381"/>
    </row>
    <row r="67" spans="8:12">
      <c r="H67" s="1102"/>
      <c r="I67" s="387"/>
      <c r="J67" s="381"/>
      <c r="K67" s="381"/>
      <c r="L67" s="381"/>
    </row>
    <row r="68" spans="8:12">
      <c r="H68" s="1102"/>
      <c r="I68" s="387"/>
      <c r="J68" s="381"/>
      <c r="K68" s="381"/>
      <c r="L68" s="381"/>
    </row>
    <row r="69" spans="8:12">
      <c r="H69" s="1102"/>
      <c r="I69" s="387"/>
      <c r="J69" s="381"/>
      <c r="K69" s="381"/>
      <c r="L69" s="381"/>
    </row>
    <row r="70" spans="8:12">
      <c r="H70" s="1102"/>
      <c r="I70" s="387"/>
      <c r="J70" s="381"/>
      <c r="K70" s="381"/>
      <c r="L70" s="381"/>
    </row>
    <row r="71" spans="8:12">
      <c r="H71" s="1102"/>
      <c r="I71" s="387"/>
      <c r="J71" s="381"/>
      <c r="K71" s="381"/>
      <c r="L71" s="381"/>
    </row>
    <row r="72" spans="8:12">
      <c r="H72" s="1102"/>
      <c r="I72" s="387"/>
      <c r="J72" s="381"/>
      <c r="K72" s="381"/>
      <c r="L72" s="381"/>
    </row>
    <row r="73" spans="8:12">
      <c r="H73" s="1102"/>
      <c r="I73" s="387"/>
      <c r="J73" s="381"/>
      <c r="K73" s="381"/>
      <c r="L73" s="381"/>
    </row>
    <row r="74" spans="8:12">
      <c r="H74" s="1102"/>
      <c r="I74" s="387"/>
      <c r="J74" s="381"/>
      <c r="K74" s="381"/>
      <c r="L74" s="381"/>
    </row>
    <row r="75" spans="8:12">
      <c r="H75" s="1102"/>
      <c r="I75" s="387"/>
      <c r="J75" s="381"/>
      <c r="K75" s="381"/>
      <c r="L75" s="381"/>
    </row>
    <row r="76" spans="8:12">
      <c r="H76" s="1102"/>
      <c r="I76" s="387"/>
      <c r="J76" s="381"/>
      <c r="K76" s="381"/>
      <c r="L76" s="381"/>
    </row>
    <row r="77" spans="8:12">
      <c r="H77" s="1102"/>
      <c r="I77" s="387"/>
      <c r="J77" s="381"/>
      <c r="K77" s="381"/>
      <c r="L77" s="381"/>
    </row>
    <row r="78" spans="8:12">
      <c r="H78" s="1102"/>
      <c r="I78" s="387"/>
      <c r="J78" s="381"/>
      <c r="K78" s="381"/>
      <c r="L78" s="381"/>
    </row>
    <row r="79" spans="8:12">
      <c r="H79" s="1102"/>
      <c r="I79" s="387"/>
      <c r="J79" s="381"/>
      <c r="K79" s="381"/>
      <c r="L79" s="381"/>
    </row>
    <row r="80" spans="8:12">
      <c r="H80" s="1102"/>
      <c r="I80" s="387"/>
      <c r="J80" s="381"/>
      <c r="K80" s="381"/>
      <c r="L80" s="381"/>
    </row>
    <row r="81" spans="8:12">
      <c r="H81" s="1102"/>
      <c r="I81" s="387"/>
      <c r="J81" s="381"/>
      <c r="K81" s="381"/>
      <c r="L81" s="381"/>
    </row>
    <row r="82" spans="8:12">
      <c r="H82" s="1102"/>
      <c r="I82" s="387"/>
      <c r="J82" s="381"/>
      <c r="K82" s="381"/>
      <c r="L82" s="381"/>
    </row>
    <row r="83" spans="8:12">
      <c r="H83" s="1102"/>
      <c r="I83" s="387"/>
      <c r="J83" s="381"/>
      <c r="K83" s="381"/>
      <c r="L83" s="381"/>
    </row>
    <row r="84" spans="8:12">
      <c r="H84" s="1102"/>
      <c r="I84" s="387"/>
      <c r="J84" s="381"/>
      <c r="K84" s="381"/>
      <c r="L84" s="381"/>
    </row>
    <row r="85" spans="8:12">
      <c r="H85" s="1102"/>
      <c r="I85" s="387"/>
      <c r="J85" s="381"/>
      <c r="K85" s="381"/>
      <c r="L85" s="381"/>
    </row>
    <row r="86" spans="8:12">
      <c r="H86" s="1102"/>
      <c r="I86" s="387"/>
      <c r="J86" s="381"/>
      <c r="K86" s="381"/>
      <c r="L86" s="381"/>
    </row>
    <row r="87" spans="8:12">
      <c r="H87" s="1102"/>
      <c r="I87" s="387"/>
      <c r="J87" s="381"/>
      <c r="K87" s="381"/>
      <c r="L87" s="381"/>
    </row>
    <row r="88" spans="8:12">
      <c r="H88" s="1102"/>
      <c r="I88" s="387"/>
      <c r="J88" s="381"/>
      <c r="K88" s="381"/>
      <c r="L88" s="381"/>
    </row>
    <row r="89" spans="8:12">
      <c r="H89" s="1102"/>
      <c r="I89" s="387"/>
      <c r="J89" s="381"/>
      <c r="K89" s="381"/>
      <c r="L89" s="381"/>
    </row>
    <row r="90" spans="8:12">
      <c r="H90" s="1102"/>
      <c r="I90" s="387"/>
      <c r="J90" s="381"/>
      <c r="K90" s="381"/>
      <c r="L90" s="381"/>
    </row>
    <row r="91" spans="8:12">
      <c r="H91" s="1102"/>
      <c r="I91" s="387"/>
      <c r="J91" s="381"/>
      <c r="K91" s="381"/>
      <c r="L91" s="381"/>
    </row>
    <row r="92" spans="8:12">
      <c r="H92" s="1102"/>
      <c r="I92" s="387"/>
      <c r="J92" s="381"/>
      <c r="K92" s="381"/>
      <c r="L92" s="381"/>
    </row>
    <row r="93" spans="8:12">
      <c r="H93" s="1102"/>
      <c r="I93" s="387"/>
      <c r="J93" s="381"/>
      <c r="K93" s="381"/>
      <c r="L93" s="381"/>
    </row>
    <row r="94" spans="8:12">
      <c r="H94" s="1102"/>
      <c r="I94" s="387"/>
      <c r="J94" s="381"/>
      <c r="K94" s="381"/>
      <c r="L94" s="381"/>
    </row>
    <row r="95" spans="8:12">
      <c r="H95" s="1102"/>
      <c r="I95" s="387"/>
      <c r="J95" s="381"/>
      <c r="K95" s="381"/>
      <c r="L95" s="381"/>
    </row>
    <row r="96" spans="8:12">
      <c r="H96" s="1102"/>
      <c r="I96" s="387"/>
      <c r="J96" s="381"/>
      <c r="K96" s="381"/>
      <c r="L96" s="381"/>
    </row>
    <row r="97" spans="8:12">
      <c r="H97" s="1102"/>
      <c r="I97" s="387"/>
      <c r="J97" s="381"/>
      <c r="K97" s="381"/>
      <c r="L97" s="381"/>
    </row>
    <row r="98" spans="8:12">
      <c r="H98" s="1102"/>
      <c r="I98" s="387"/>
      <c r="J98" s="381"/>
      <c r="K98" s="381"/>
      <c r="L98" s="381"/>
    </row>
    <row r="99" spans="8:12">
      <c r="H99" s="1102"/>
      <c r="I99" s="387"/>
      <c r="J99" s="381"/>
      <c r="K99" s="381"/>
      <c r="L99" s="381"/>
    </row>
    <row r="100" spans="8:12">
      <c r="H100" s="1102"/>
      <c r="I100" s="387"/>
      <c r="J100" s="381"/>
      <c r="K100" s="381"/>
      <c r="L100" s="381"/>
    </row>
    <row r="101" spans="8:12">
      <c r="H101" s="1102"/>
      <c r="I101" s="387"/>
      <c r="J101" s="381"/>
      <c r="K101" s="381"/>
      <c r="L101" s="381"/>
    </row>
    <row r="102" spans="8:12">
      <c r="H102" s="1102"/>
      <c r="I102" s="387"/>
      <c r="J102" s="381"/>
      <c r="K102" s="381"/>
      <c r="L102" s="381"/>
    </row>
    <row r="103" spans="8:12">
      <c r="H103" s="1102"/>
      <c r="I103" s="387"/>
      <c r="J103" s="381"/>
      <c r="K103" s="381"/>
      <c r="L103" s="381"/>
    </row>
    <row r="104" spans="8:12">
      <c r="H104" s="1102"/>
      <c r="I104" s="387"/>
      <c r="J104" s="381"/>
      <c r="K104" s="381"/>
      <c r="L104" s="381"/>
    </row>
    <row r="105" spans="8:12">
      <c r="H105" s="1102"/>
      <c r="I105" s="387"/>
      <c r="J105" s="381"/>
      <c r="K105" s="381"/>
      <c r="L105" s="381"/>
    </row>
    <row r="106" spans="8:12">
      <c r="H106" s="1102"/>
      <c r="I106" s="387"/>
      <c r="J106" s="381"/>
      <c r="K106" s="381"/>
      <c r="L106" s="381"/>
    </row>
    <row r="107" spans="8:12">
      <c r="H107" s="1102"/>
      <c r="I107" s="387"/>
      <c r="J107" s="381"/>
      <c r="K107" s="381"/>
      <c r="L107" s="381"/>
    </row>
    <row r="108" spans="8:12">
      <c r="H108" s="1102"/>
      <c r="I108" s="387"/>
      <c r="J108" s="381"/>
      <c r="K108" s="381"/>
      <c r="L108" s="381"/>
    </row>
    <row r="109" spans="8:12">
      <c r="H109" s="1102"/>
      <c r="I109" s="387"/>
      <c r="J109" s="381"/>
      <c r="K109" s="381"/>
      <c r="L109" s="381"/>
    </row>
    <row r="110" spans="8:12">
      <c r="H110" s="1102"/>
      <c r="I110" s="387"/>
      <c r="J110" s="381"/>
      <c r="K110" s="381"/>
      <c r="L110" s="381"/>
    </row>
    <row r="111" spans="8:12">
      <c r="H111" s="1102"/>
      <c r="I111" s="387"/>
      <c r="J111" s="381"/>
      <c r="K111" s="381"/>
      <c r="L111" s="381"/>
    </row>
    <row r="112" spans="8:12">
      <c r="H112" s="1102"/>
      <c r="I112" s="387"/>
      <c r="J112" s="381"/>
      <c r="K112" s="381"/>
      <c r="L112" s="381"/>
    </row>
    <row r="113" spans="8:12">
      <c r="H113" s="1102"/>
      <c r="I113" s="387"/>
      <c r="J113" s="381"/>
      <c r="K113" s="381"/>
      <c r="L113" s="381"/>
    </row>
    <row r="114" spans="8:12">
      <c r="H114" s="1102"/>
      <c r="I114" s="387"/>
      <c r="J114" s="381"/>
      <c r="K114" s="381"/>
      <c r="L114" s="381"/>
    </row>
    <row r="115" spans="8:12">
      <c r="H115" s="1102"/>
      <c r="I115" s="387"/>
      <c r="J115" s="381"/>
      <c r="K115" s="381"/>
      <c r="L115" s="381"/>
    </row>
    <row r="116" spans="8:12">
      <c r="H116" s="1102"/>
      <c r="I116" s="387"/>
      <c r="J116" s="381"/>
      <c r="K116" s="381"/>
      <c r="L116" s="381"/>
    </row>
    <row r="117" spans="8:12">
      <c r="H117" s="1102"/>
      <c r="I117" s="387"/>
      <c r="J117" s="381"/>
      <c r="K117" s="381"/>
      <c r="L117" s="381"/>
    </row>
    <row r="118" spans="8:12">
      <c r="H118" s="1102"/>
      <c r="I118" s="387"/>
      <c r="J118" s="381"/>
      <c r="K118" s="381"/>
      <c r="L118" s="381"/>
    </row>
    <row r="119" spans="8:12">
      <c r="H119" s="1102"/>
      <c r="I119" s="387"/>
      <c r="J119" s="381"/>
      <c r="K119" s="381"/>
      <c r="L119" s="381"/>
    </row>
    <row r="120" spans="8:12">
      <c r="H120" s="1102"/>
      <c r="I120" s="387"/>
      <c r="J120" s="381"/>
      <c r="K120" s="381"/>
      <c r="L120" s="381"/>
    </row>
    <row r="121" spans="8:12">
      <c r="H121" s="1102"/>
      <c r="I121" s="387"/>
      <c r="J121" s="381"/>
      <c r="K121" s="381"/>
      <c r="L121" s="381"/>
    </row>
    <row r="122" spans="8:12">
      <c r="H122" s="1102"/>
      <c r="I122" s="387"/>
      <c r="J122" s="381"/>
      <c r="K122" s="381"/>
      <c r="L122" s="381"/>
    </row>
    <row r="123" spans="8:12">
      <c r="H123" s="1102"/>
      <c r="I123" s="387"/>
      <c r="J123" s="381"/>
      <c r="K123" s="381"/>
      <c r="L123" s="381"/>
    </row>
    <row r="124" spans="8:12">
      <c r="H124" s="1102"/>
      <c r="I124" s="387"/>
      <c r="J124" s="381"/>
      <c r="K124" s="381"/>
      <c r="L124" s="381"/>
    </row>
    <row r="125" spans="8:12">
      <c r="H125" s="1102"/>
      <c r="I125" s="387"/>
      <c r="J125" s="381"/>
      <c r="K125" s="381"/>
      <c r="L125" s="381"/>
    </row>
    <row r="126" spans="8:12">
      <c r="H126" s="1102"/>
      <c r="I126" s="387"/>
      <c r="J126" s="381"/>
      <c r="K126" s="381"/>
      <c r="L126" s="381"/>
    </row>
    <row r="127" spans="8:12">
      <c r="H127" s="1102"/>
      <c r="I127" s="387"/>
      <c r="J127" s="381"/>
      <c r="K127" s="381"/>
      <c r="L127" s="381"/>
    </row>
    <row r="128" spans="8:12">
      <c r="H128" s="1102"/>
      <c r="I128" s="387"/>
      <c r="J128" s="381"/>
      <c r="K128" s="381"/>
      <c r="L128" s="381"/>
    </row>
    <row r="129" spans="8:12">
      <c r="H129" s="1102"/>
      <c r="I129" s="387"/>
      <c r="J129" s="381"/>
      <c r="K129" s="381"/>
      <c r="L129" s="381"/>
    </row>
    <row r="130" spans="8:12">
      <c r="H130" s="1102"/>
      <c r="I130" s="387"/>
      <c r="J130" s="381"/>
      <c r="K130" s="381"/>
      <c r="L130" s="381"/>
    </row>
    <row r="131" spans="8:12">
      <c r="H131" s="1102"/>
      <c r="I131" s="387"/>
      <c r="J131" s="381"/>
      <c r="K131" s="381"/>
      <c r="L131" s="381"/>
    </row>
    <row r="132" spans="8:12">
      <c r="H132" s="1102"/>
      <c r="I132" s="387"/>
      <c r="J132" s="381"/>
      <c r="K132" s="381"/>
      <c r="L132" s="381"/>
    </row>
    <row r="133" spans="8:12">
      <c r="H133" s="1102"/>
      <c r="I133" s="387"/>
      <c r="J133" s="381"/>
      <c r="K133" s="381"/>
      <c r="L133" s="381"/>
    </row>
    <row r="134" spans="8:12">
      <c r="H134" s="1102"/>
      <c r="I134" s="387"/>
      <c r="J134" s="381"/>
      <c r="K134" s="381"/>
      <c r="L134" s="381"/>
    </row>
    <row r="135" spans="8:12">
      <c r="H135" s="1102"/>
      <c r="I135" s="387"/>
      <c r="J135" s="381"/>
      <c r="K135" s="381"/>
      <c r="L135" s="381"/>
    </row>
    <row r="136" spans="8:12">
      <c r="H136" s="1102"/>
      <c r="I136" s="387"/>
      <c r="J136" s="381"/>
      <c r="K136" s="381"/>
      <c r="L136" s="381"/>
    </row>
    <row r="137" spans="8:12">
      <c r="H137" s="1102"/>
      <c r="I137" s="387"/>
      <c r="J137" s="381"/>
      <c r="K137" s="381"/>
      <c r="L137" s="381"/>
    </row>
    <row r="138" spans="8:12">
      <c r="H138" s="1102"/>
      <c r="I138" s="387"/>
      <c r="J138" s="381"/>
      <c r="K138" s="381"/>
      <c r="L138" s="381"/>
    </row>
    <row r="139" spans="8:12">
      <c r="H139" s="1102"/>
      <c r="I139" s="387"/>
      <c r="J139" s="381"/>
      <c r="K139" s="381"/>
      <c r="L139" s="381"/>
    </row>
    <row r="140" spans="8:12">
      <c r="H140" s="1102"/>
      <c r="I140" s="387"/>
      <c r="J140" s="381"/>
      <c r="K140" s="381"/>
      <c r="L140" s="381"/>
    </row>
    <row r="141" spans="8:12">
      <c r="H141" s="1102"/>
      <c r="I141" s="387"/>
      <c r="J141" s="381"/>
      <c r="K141" s="381"/>
      <c r="L141" s="381"/>
    </row>
    <row r="142" spans="8:12">
      <c r="H142" s="1102"/>
      <c r="I142" s="387"/>
      <c r="J142" s="381"/>
      <c r="K142" s="381"/>
      <c r="L142" s="381"/>
    </row>
    <row r="143" spans="8:12">
      <c r="H143" s="1102"/>
      <c r="I143" s="387"/>
      <c r="J143" s="381"/>
      <c r="K143" s="381"/>
      <c r="L143" s="381"/>
    </row>
    <row r="144" spans="8:12">
      <c r="H144" s="1102"/>
      <c r="I144" s="387"/>
      <c r="J144" s="381"/>
      <c r="K144" s="381"/>
      <c r="L144" s="381"/>
    </row>
    <row r="145" spans="8:12">
      <c r="H145" s="1102"/>
      <c r="I145" s="387"/>
      <c r="J145" s="381"/>
      <c r="K145" s="381"/>
      <c r="L145" s="381"/>
    </row>
    <row r="146" spans="8:12">
      <c r="H146" s="1102"/>
      <c r="I146" s="387"/>
      <c r="J146" s="381"/>
      <c r="K146" s="381"/>
      <c r="L146" s="381"/>
    </row>
    <row r="147" spans="8:12">
      <c r="H147" s="1102"/>
      <c r="I147" s="387"/>
      <c r="J147" s="381"/>
      <c r="K147" s="381"/>
      <c r="L147" s="381"/>
    </row>
    <row r="148" spans="8:12">
      <c r="H148" s="1102"/>
      <c r="I148" s="387"/>
      <c r="J148" s="381"/>
      <c r="K148" s="381"/>
      <c r="L148" s="381"/>
    </row>
    <row r="149" spans="8:12">
      <c r="H149" s="1102"/>
      <c r="I149" s="387"/>
      <c r="J149" s="381"/>
      <c r="K149" s="381"/>
      <c r="L149" s="381"/>
    </row>
    <row r="150" spans="8:12">
      <c r="H150" s="1102"/>
      <c r="I150" s="387"/>
      <c r="J150" s="381"/>
      <c r="K150" s="381"/>
      <c r="L150" s="381"/>
    </row>
    <row r="151" spans="8:12">
      <c r="H151" s="1102"/>
      <c r="I151" s="387"/>
      <c r="J151" s="381"/>
      <c r="K151" s="381"/>
      <c r="L151" s="381"/>
    </row>
    <row r="152" spans="8:12">
      <c r="H152" s="1102"/>
      <c r="I152" s="387"/>
      <c r="J152" s="381"/>
      <c r="K152" s="381"/>
      <c r="L152" s="381"/>
    </row>
    <row r="153" spans="8:12">
      <c r="H153" s="1102"/>
      <c r="I153" s="387"/>
      <c r="J153" s="381"/>
      <c r="K153" s="381"/>
      <c r="L153" s="381"/>
    </row>
    <row r="154" spans="8:12">
      <c r="H154" s="1102"/>
      <c r="I154" s="387"/>
      <c r="J154" s="381"/>
      <c r="K154" s="381"/>
      <c r="L154" s="381"/>
    </row>
    <row r="155" spans="8:12">
      <c r="H155" s="1102"/>
      <c r="I155" s="387"/>
      <c r="J155" s="381"/>
      <c r="K155" s="381"/>
      <c r="L155" s="381"/>
    </row>
    <row r="156" spans="8:12">
      <c r="H156" s="1102"/>
      <c r="I156" s="387"/>
      <c r="J156" s="381"/>
      <c r="K156" s="381"/>
      <c r="L156" s="381"/>
    </row>
    <row r="157" spans="8:12">
      <c r="H157" s="1102"/>
      <c r="I157" s="387"/>
      <c r="J157" s="381"/>
      <c r="K157" s="381"/>
      <c r="L157" s="381"/>
    </row>
    <row r="158" spans="8:12">
      <c r="H158" s="1102"/>
      <c r="I158" s="387"/>
      <c r="J158" s="381"/>
      <c r="K158" s="381"/>
      <c r="L158" s="381"/>
    </row>
    <row r="159" spans="8:12">
      <c r="H159" s="1102"/>
      <c r="I159" s="387"/>
      <c r="J159" s="381"/>
      <c r="K159" s="381"/>
      <c r="L159" s="381"/>
    </row>
    <row r="160" spans="8:12">
      <c r="H160" s="1102"/>
      <c r="I160" s="387"/>
      <c r="J160" s="381"/>
      <c r="K160" s="381"/>
      <c r="L160" s="381"/>
    </row>
    <row r="161" spans="8:12">
      <c r="H161" s="1102"/>
      <c r="I161" s="387"/>
      <c r="J161" s="381"/>
      <c r="K161" s="381"/>
      <c r="L161" s="381"/>
    </row>
    <row r="162" spans="8:12">
      <c r="H162" s="1102"/>
      <c r="I162" s="387"/>
      <c r="J162" s="381"/>
      <c r="K162" s="381"/>
      <c r="L162" s="381"/>
    </row>
    <row r="163" spans="8:12">
      <c r="H163" s="1102"/>
      <c r="I163" s="387"/>
      <c r="J163" s="381"/>
      <c r="K163" s="381"/>
      <c r="L163" s="381"/>
    </row>
    <row r="164" spans="8:12">
      <c r="H164" s="1102"/>
      <c r="I164" s="387"/>
      <c r="J164" s="381"/>
      <c r="K164" s="381"/>
      <c r="L164" s="381"/>
    </row>
    <row r="165" spans="8:12">
      <c r="H165" s="1102"/>
      <c r="I165" s="387"/>
      <c r="J165" s="381"/>
      <c r="K165" s="381"/>
      <c r="L165" s="381"/>
    </row>
    <row r="166" spans="8:12">
      <c r="H166" s="1102"/>
      <c r="I166" s="387"/>
      <c r="J166" s="381"/>
      <c r="K166" s="381"/>
      <c r="L166" s="381"/>
    </row>
    <row r="167" spans="8:12">
      <c r="H167" s="1102"/>
      <c r="I167" s="387"/>
      <c r="J167" s="381"/>
      <c r="K167" s="381"/>
      <c r="L167" s="381"/>
    </row>
    <row r="168" spans="8:12">
      <c r="H168" s="1102"/>
      <c r="I168" s="387"/>
      <c r="J168" s="381"/>
      <c r="K168" s="381"/>
      <c r="L168" s="381"/>
    </row>
    <row r="169" spans="8:12">
      <c r="H169" s="1102"/>
      <c r="I169" s="387"/>
      <c r="J169" s="381"/>
      <c r="K169" s="381"/>
      <c r="L169" s="381"/>
    </row>
    <row r="170" spans="8:12">
      <c r="H170" s="1102"/>
      <c r="I170" s="387"/>
      <c r="J170" s="381"/>
      <c r="K170" s="381"/>
      <c r="L170" s="381"/>
    </row>
    <row r="171" spans="8:12">
      <c r="H171" s="1102"/>
      <c r="I171" s="387"/>
      <c r="J171" s="381"/>
      <c r="K171" s="381"/>
      <c r="L171" s="381"/>
    </row>
    <row r="172" spans="8:12">
      <c r="H172" s="1102"/>
      <c r="I172" s="387"/>
      <c r="J172" s="381"/>
      <c r="K172" s="381"/>
      <c r="L172" s="381"/>
    </row>
    <row r="173" spans="8:12">
      <c r="H173" s="1102"/>
      <c r="I173" s="387"/>
      <c r="J173" s="381"/>
      <c r="K173" s="381"/>
      <c r="L173" s="381"/>
    </row>
    <row r="174" spans="8:12">
      <c r="H174" s="1102"/>
      <c r="I174" s="387"/>
      <c r="J174" s="381"/>
      <c r="K174" s="381"/>
      <c r="L174" s="381"/>
    </row>
    <row r="175" spans="8:12">
      <c r="H175" s="1102"/>
      <c r="I175" s="387"/>
      <c r="J175" s="381"/>
      <c r="K175" s="381"/>
      <c r="L175" s="381"/>
    </row>
    <row r="176" spans="8:12">
      <c r="H176" s="1102"/>
      <c r="I176" s="387"/>
      <c r="J176" s="381"/>
      <c r="K176" s="381"/>
      <c r="L176" s="381"/>
    </row>
    <row r="177" spans="8:12">
      <c r="H177" s="1102"/>
      <c r="I177" s="387"/>
      <c r="J177" s="381"/>
      <c r="K177" s="381"/>
      <c r="L177" s="381"/>
    </row>
    <row r="178" spans="8:12">
      <c r="H178" s="1102"/>
      <c r="I178" s="387"/>
      <c r="J178" s="381"/>
      <c r="K178" s="381"/>
      <c r="L178" s="381"/>
    </row>
    <row r="179" spans="8:12">
      <c r="H179" s="1102"/>
      <c r="I179" s="387"/>
      <c r="J179" s="381"/>
      <c r="K179" s="381"/>
      <c r="L179" s="381"/>
    </row>
    <row r="180" spans="8:12">
      <c r="H180" s="1102"/>
      <c r="I180" s="387"/>
      <c r="J180" s="381"/>
      <c r="K180" s="381"/>
      <c r="L180" s="381"/>
    </row>
    <row r="181" spans="8:12">
      <c r="H181" s="1102"/>
      <c r="I181" s="387"/>
      <c r="J181" s="381"/>
      <c r="K181" s="381"/>
      <c r="L181" s="381"/>
    </row>
    <row r="182" spans="8:12">
      <c r="H182" s="1102"/>
      <c r="I182" s="387"/>
      <c r="J182" s="381"/>
      <c r="K182" s="381"/>
      <c r="L182" s="381"/>
    </row>
    <row r="183" spans="8:12">
      <c r="H183" s="1102"/>
      <c r="I183" s="387"/>
      <c r="J183" s="381"/>
      <c r="K183" s="381"/>
      <c r="L183" s="381"/>
    </row>
    <row r="184" spans="8:12">
      <c r="H184" s="1102"/>
      <c r="I184" s="387"/>
      <c r="J184" s="381"/>
      <c r="K184" s="381"/>
      <c r="L184" s="381"/>
    </row>
    <row r="185" spans="8:12">
      <c r="H185" s="1102"/>
      <c r="I185" s="387"/>
      <c r="J185" s="381"/>
      <c r="K185" s="381"/>
      <c r="L185" s="381"/>
    </row>
    <row r="186" spans="8:12">
      <c r="H186" s="1102"/>
      <c r="I186" s="387"/>
      <c r="J186" s="381"/>
      <c r="K186" s="381"/>
      <c r="L186" s="381"/>
    </row>
    <row r="187" spans="8:12">
      <c r="H187" s="1102"/>
      <c r="I187" s="387"/>
      <c r="J187" s="381"/>
      <c r="K187" s="381"/>
      <c r="L187" s="381"/>
    </row>
    <row r="188" spans="8:12">
      <c r="H188" s="1102"/>
      <c r="I188" s="387"/>
      <c r="J188" s="381"/>
      <c r="K188" s="381"/>
      <c r="L188" s="381"/>
    </row>
    <row r="189" spans="8:12">
      <c r="H189" s="1102"/>
      <c r="I189" s="387"/>
      <c r="J189" s="381"/>
      <c r="K189" s="381"/>
      <c r="L189" s="381"/>
    </row>
    <row r="190" spans="8:12">
      <c r="H190" s="1102"/>
      <c r="I190" s="387"/>
      <c r="J190" s="381"/>
      <c r="K190" s="381"/>
      <c r="L190" s="381"/>
    </row>
    <row r="191" spans="8:12">
      <c r="H191" s="1102"/>
      <c r="I191" s="387"/>
      <c r="J191" s="381"/>
      <c r="K191" s="381"/>
      <c r="L191" s="381"/>
    </row>
    <row r="192" spans="8:12">
      <c r="H192" s="1102"/>
      <c r="I192" s="387"/>
      <c r="J192" s="381"/>
      <c r="K192" s="381"/>
      <c r="L192" s="381"/>
    </row>
    <row r="193" spans="8:12">
      <c r="H193" s="1102"/>
      <c r="I193" s="387"/>
      <c r="J193" s="381"/>
      <c r="K193" s="381"/>
      <c r="L193" s="381"/>
    </row>
    <row r="194" spans="8:12">
      <c r="H194" s="1102"/>
      <c r="I194" s="387"/>
      <c r="J194" s="381"/>
      <c r="K194" s="381"/>
      <c r="L194" s="381"/>
    </row>
    <row r="195" spans="8:12">
      <c r="H195" s="1102"/>
      <c r="I195" s="387"/>
      <c r="J195" s="381"/>
      <c r="K195" s="381"/>
      <c r="L195" s="381"/>
    </row>
    <row r="196" spans="8:12">
      <c r="H196" s="1102"/>
      <c r="I196" s="387"/>
      <c r="J196" s="381"/>
      <c r="K196" s="381"/>
      <c r="L196" s="381"/>
    </row>
    <row r="197" spans="8:12">
      <c r="H197" s="1102"/>
      <c r="I197" s="387"/>
      <c r="J197" s="381"/>
      <c r="K197" s="381"/>
      <c r="L197" s="381"/>
    </row>
    <row r="198" spans="8:12">
      <c r="H198" s="1102"/>
      <c r="I198" s="387"/>
      <c r="J198" s="381"/>
      <c r="K198" s="381"/>
      <c r="L198" s="381"/>
    </row>
    <row r="199" spans="8:12">
      <c r="H199" s="1102"/>
      <c r="I199" s="387"/>
      <c r="J199" s="381"/>
      <c r="K199" s="381"/>
      <c r="L199" s="381"/>
    </row>
    <row r="200" spans="8:12">
      <c r="H200" s="1102"/>
      <c r="I200" s="387"/>
      <c r="J200" s="381"/>
      <c r="K200" s="381"/>
      <c r="L200" s="381"/>
    </row>
    <row r="201" spans="8:12">
      <c r="H201" s="1102"/>
      <c r="I201" s="387"/>
      <c r="J201" s="381"/>
      <c r="K201" s="381"/>
      <c r="L201" s="381"/>
    </row>
    <row r="202" spans="8:12">
      <c r="H202" s="1102"/>
      <c r="I202" s="387"/>
      <c r="J202" s="381"/>
      <c r="K202" s="381"/>
      <c r="L202" s="381"/>
    </row>
    <row r="203" spans="8:12">
      <c r="H203" s="1102"/>
      <c r="I203" s="387"/>
      <c r="J203" s="381"/>
      <c r="K203" s="381"/>
      <c r="L203" s="381"/>
    </row>
    <row r="204" spans="8:12">
      <c r="H204" s="1102"/>
      <c r="I204" s="387"/>
      <c r="J204" s="381"/>
      <c r="K204" s="381"/>
      <c r="L204" s="381"/>
    </row>
    <row r="205" spans="8:12">
      <c r="H205" s="1102"/>
      <c r="I205" s="387"/>
      <c r="J205" s="381"/>
      <c r="K205" s="381"/>
      <c r="L205" s="381"/>
    </row>
    <row r="206" spans="8:12">
      <c r="H206" s="1102"/>
      <c r="I206" s="387"/>
      <c r="J206" s="381"/>
      <c r="K206" s="381"/>
      <c r="L206" s="381"/>
    </row>
    <row r="207" spans="8:12">
      <c r="H207" s="1102"/>
      <c r="I207" s="387"/>
      <c r="J207" s="381"/>
      <c r="K207" s="381"/>
      <c r="L207" s="381"/>
    </row>
    <row r="208" spans="8:12">
      <c r="H208" s="1102"/>
      <c r="I208" s="387"/>
      <c r="J208" s="381"/>
      <c r="K208" s="381"/>
      <c r="L208" s="381"/>
    </row>
    <row r="209" spans="8:12">
      <c r="H209" s="1102"/>
      <c r="I209" s="387"/>
      <c r="J209" s="381"/>
      <c r="K209" s="381"/>
      <c r="L209" s="381"/>
    </row>
    <row r="210" spans="8:12">
      <c r="H210" s="1102"/>
      <c r="I210" s="387"/>
      <c r="J210" s="381"/>
      <c r="K210" s="381"/>
      <c r="L210" s="381"/>
    </row>
    <row r="211" spans="8:12">
      <c r="H211" s="1102"/>
      <c r="I211" s="387"/>
      <c r="J211" s="381"/>
      <c r="K211" s="381"/>
      <c r="L211" s="381"/>
    </row>
    <row r="212" spans="8:12">
      <c r="H212" s="1102"/>
      <c r="I212" s="387"/>
      <c r="J212" s="381"/>
      <c r="K212" s="381"/>
      <c r="L212" s="381"/>
    </row>
    <row r="213" spans="8:12">
      <c r="H213" s="1102"/>
      <c r="I213" s="387"/>
      <c r="J213" s="381"/>
      <c r="K213" s="381"/>
      <c r="L213" s="381"/>
    </row>
    <row r="214" spans="8:12">
      <c r="H214" s="1102"/>
      <c r="I214" s="387"/>
      <c r="J214" s="381"/>
      <c r="K214" s="381"/>
      <c r="L214" s="381"/>
    </row>
    <row r="215" spans="8:12">
      <c r="H215" s="1102"/>
      <c r="I215" s="387"/>
      <c r="J215" s="381"/>
      <c r="K215" s="381"/>
      <c r="L215" s="381"/>
    </row>
    <row r="216" spans="8:12">
      <c r="H216" s="1102"/>
      <c r="I216" s="387"/>
      <c r="J216" s="381"/>
      <c r="K216" s="381"/>
      <c r="L216" s="381"/>
    </row>
    <row r="217" spans="8:12">
      <c r="H217" s="1102"/>
      <c r="I217" s="387"/>
      <c r="J217" s="381"/>
      <c r="K217" s="381"/>
      <c r="L217" s="381"/>
    </row>
    <row r="218" spans="8:12">
      <c r="H218" s="1102"/>
      <c r="I218" s="387"/>
      <c r="J218" s="381"/>
      <c r="K218" s="381"/>
      <c r="L218" s="381"/>
    </row>
    <row r="219" spans="8:12">
      <c r="H219" s="1102"/>
      <c r="I219" s="387"/>
      <c r="J219" s="381"/>
      <c r="K219" s="381"/>
      <c r="L219" s="381"/>
    </row>
    <row r="220" spans="8:12">
      <c r="H220" s="1102"/>
      <c r="I220" s="387"/>
      <c r="J220" s="381"/>
      <c r="K220" s="381"/>
      <c r="L220" s="381"/>
    </row>
    <row r="221" spans="8:12">
      <c r="H221" s="1102"/>
      <c r="I221" s="387"/>
      <c r="J221" s="381"/>
      <c r="K221" s="381"/>
      <c r="L221" s="381"/>
    </row>
    <row r="222" spans="8:12">
      <c r="H222" s="1102"/>
      <c r="I222" s="387"/>
      <c r="J222" s="381"/>
      <c r="K222" s="381"/>
      <c r="L222" s="381"/>
    </row>
    <row r="223" spans="8:12">
      <c r="H223" s="1102"/>
      <c r="I223" s="387"/>
      <c r="J223" s="381"/>
      <c r="K223" s="381"/>
      <c r="L223" s="381"/>
    </row>
    <row r="224" spans="8:12">
      <c r="H224" s="1102"/>
      <c r="I224" s="387"/>
      <c r="J224" s="381"/>
      <c r="K224" s="381"/>
      <c r="L224" s="381"/>
    </row>
    <row r="225" spans="8:12">
      <c r="H225" s="1102"/>
      <c r="I225" s="387"/>
      <c r="J225" s="381"/>
      <c r="K225" s="381"/>
      <c r="L225" s="381"/>
    </row>
    <row r="226" spans="8:12">
      <c r="H226" s="1102"/>
      <c r="I226" s="387"/>
      <c r="J226" s="381"/>
      <c r="K226" s="381"/>
      <c r="L226" s="381"/>
    </row>
    <row r="227" spans="8:12">
      <c r="H227" s="1102"/>
      <c r="I227" s="387"/>
      <c r="J227" s="381"/>
      <c r="K227" s="381"/>
      <c r="L227" s="381"/>
    </row>
    <row r="228" spans="8:12">
      <c r="H228" s="1102"/>
      <c r="I228" s="387"/>
      <c r="J228" s="381"/>
      <c r="K228" s="381"/>
      <c r="L228" s="381"/>
    </row>
    <row r="229" spans="8:12">
      <c r="H229" s="1102"/>
      <c r="I229" s="387"/>
      <c r="J229" s="381"/>
      <c r="K229" s="381"/>
      <c r="L229" s="381"/>
    </row>
    <row r="230" spans="8:12">
      <c r="H230" s="1102"/>
      <c r="I230" s="387"/>
      <c r="J230" s="381"/>
      <c r="K230" s="381"/>
      <c r="L230" s="381"/>
    </row>
    <row r="231" spans="8:12">
      <c r="H231" s="1102"/>
      <c r="I231" s="387"/>
      <c r="J231" s="381"/>
      <c r="K231" s="381"/>
      <c r="L231" s="381"/>
    </row>
    <row r="232" spans="8:12">
      <c r="H232" s="1102"/>
      <c r="I232" s="387"/>
      <c r="J232" s="381"/>
      <c r="K232" s="381"/>
      <c r="L232" s="381"/>
    </row>
    <row r="233" spans="8:12">
      <c r="H233" s="1102"/>
      <c r="I233" s="387"/>
      <c r="J233" s="381"/>
      <c r="K233" s="381"/>
      <c r="L233" s="381"/>
    </row>
    <row r="234" spans="8:12">
      <c r="H234" s="1102"/>
      <c r="I234" s="387"/>
      <c r="J234" s="381"/>
      <c r="K234" s="381"/>
      <c r="L234" s="381"/>
    </row>
    <row r="235" spans="8:12">
      <c r="H235" s="1102"/>
      <c r="I235" s="387"/>
      <c r="J235" s="381"/>
      <c r="K235" s="381"/>
      <c r="L235" s="381"/>
    </row>
    <row r="236" spans="8:12">
      <c r="H236" s="1102"/>
      <c r="I236" s="387"/>
      <c r="J236" s="381"/>
      <c r="K236" s="381"/>
      <c r="L236" s="381"/>
    </row>
    <row r="237" spans="8:12">
      <c r="H237" s="1102"/>
      <c r="I237" s="387"/>
      <c r="J237" s="381"/>
      <c r="K237" s="381"/>
      <c r="L237" s="381"/>
    </row>
    <row r="238" spans="8:12">
      <c r="H238" s="1102"/>
      <c r="I238" s="387"/>
      <c r="J238" s="381"/>
      <c r="K238" s="381"/>
      <c r="L238" s="381"/>
    </row>
    <row r="239" spans="8:12">
      <c r="H239" s="1102"/>
      <c r="I239" s="387"/>
      <c r="J239" s="381"/>
      <c r="K239" s="381"/>
      <c r="L239" s="381"/>
    </row>
    <row r="240" spans="8:12">
      <c r="H240" s="1102"/>
      <c r="I240" s="387"/>
      <c r="J240" s="381"/>
      <c r="K240" s="381"/>
      <c r="L240" s="381"/>
    </row>
    <row r="241" spans="8:12">
      <c r="H241" s="1102"/>
      <c r="I241" s="387"/>
      <c r="J241" s="381"/>
      <c r="K241" s="381"/>
      <c r="L241" s="381"/>
    </row>
    <row r="242" spans="8:12">
      <c r="H242" s="1102"/>
      <c r="I242" s="387"/>
      <c r="J242" s="381"/>
      <c r="K242" s="381"/>
      <c r="L242" s="381"/>
    </row>
    <row r="243" spans="8:12">
      <c r="H243" s="1102"/>
      <c r="I243" s="387"/>
      <c r="J243" s="381"/>
      <c r="K243" s="381"/>
      <c r="L243" s="381"/>
    </row>
    <row r="244" spans="8:12">
      <c r="H244" s="1102"/>
      <c r="I244" s="387"/>
      <c r="J244" s="381"/>
      <c r="K244" s="381"/>
      <c r="L244" s="381"/>
    </row>
  </sheetData>
  <mergeCells count="16">
    <mergeCell ref="H157:H178"/>
    <mergeCell ref="H179:H200"/>
    <mergeCell ref="H201:H222"/>
    <mergeCell ref="H223:H244"/>
    <mergeCell ref="H25:H46"/>
    <mergeCell ref="H47:H68"/>
    <mergeCell ref="H69:H90"/>
    <mergeCell ref="H91:H112"/>
    <mergeCell ref="H113:H134"/>
    <mergeCell ref="H135:H156"/>
    <mergeCell ref="H1:I1"/>
    <mergeCell ref="J1:L1"/>
    <mergeCell ref="A2:A3"/>
    <mergeCell ref="B2:D2"/>
    <mergeCell ref="H2:I2"/>
    <mergeCell ref="H3:H24"/>
  </mergeCells>
  <phoneticPr fontId="10" type="noConversion"/>
  <pageMargins left="0.75" right="0.75" top="1" bottom="1" header="0.5" footer="0.5"/>
  <pageSetup paperSize="9" orientation="portrait" r:id="rId1"/>
  <headerFooter alignWithMargins="0"/>
  <colBreaks count="1" manualBreakCount="1">
    <brk id="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30">
    <tabColor theme="1"/>
  </sheetPr>
  <dimension ref="A1:AU65"/>
  <sheetViews>
    <sheetView view="pageBreakPreview" zoomScaleSheetLayoutView="100" workbookViewId="0">
      <selection activeCell="F34" sqref="F34"/>
    </sheetView>
  </sheetViews>
  <sheetFormatPr defaultRowHeight="16.5"/>
  <cols>
    <col min="1" max="1" width="5.77734375" style="1" customWidth="1"/>
    <col min="2" max="14" width="4.5546875" style="1" customWidth="1"/>
    <col min="15" max="15" width="12" style="69" customWidth="1"/>
    <col min="16" max="16" width="16.21875" style="69" customWidth="1"/>
    <col min="17" max="21" width="10.6640625" style="69" customWidth="1"/>
    <col min="22" max="47" width="8.88671875" style="69"/>
    <col min="48" max="16384" width="8.88671875" style="1"/>
  </cols>
  <sheetData>
    <row r="1" spans="1:47" ht="28.5" customHeight="1">
      <c r="A1" s="370" t="s">
        <v>152</v>
      </c>
      <c r="O1" s="346" t="s">
        <v>595</v>
      </c>
      <c r="P1" s="355" t="s">
        <v>151</v>
      </c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47" ht="15" customHeight="1">
      <c r="K2" s="1127" t="s">
        <v>246</v>
      </c>
      <c r="L2" s="1127"/>
      <c r="M2" s="1127"/>
      <c r="N2" s="52"/>
      <c r="O2" s="346" t="s">
        <v>597</v>
      </c>
      <c r="P2" s="355" t="s">
        <v>664</v>
      </c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</row>
    <row r="3" spans="1:47" ht="17.100000000000001" customHeight="1" thickBot="1">
      <c r="A3" s="53" t="s">
        <v>81</v>
      </c>
      <c r="B3" s="1116" t="s">
        <v>150</v>
      </c>
      <c r="C3" s="1117"/>
      <c r="D3" s="1116" t="s">
        <v>149</v>
      </c>
      <c r="E3" s="1117"/>
      <c r="F3" s="1116" t="s">
        <v>148</v>
      </c>
      <c r="G3" s="1117"/>
      <c r="H3" s="1116" t="s">
        <v>147</v>
      </c>
      <c r="I3" s="1117"/>
      <c r="J3" s="1116" t="s">
        <v>146</v>
      </c>
      <c r="K3" s="1117"/>
      <c r="L3" s="1130" t="s">
        <v>145</v>
      </c>
      <c r="M3" s="1131"/>
      <c r="N3" s="54"/>
      <c r="O3" s="346" t="s">
        <v>599</v>
      </c>
      <c r="P3" s="355" t="s">
        <v>665</v>
      </c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</row>
    <row r="4" spans="1:47" ht="17.100000000000001" customHeight="1" thickTop="1" thickBot="1">
      <c r="A4" s="55" t="s">
        <v>126</v>
      </c>
      <c r="B4" s="1111">
        <f t="shared" ref="B4:B12" si="0">Q48</f>
        <v>100.2</v>
      </c>
      <c r="C4" s="1119"/>
      <c r="D4" s="1111">
        <f t="shared" ref="D4:D12" si="1">R48</f>
        <v>99.6</v>
      </c>
      <c r="E4" s="1119"/>
      <c r="F4" s="1111">
        <f t="shared" ref="F4:F12" si="2">S48</f>
        <v>99.179999999999993</v>
      </c>
      <c r="G4" s="1119"/>
      <c r="H4" s="1111">
        <f t="shared" ref="H4:H12" si="3">T48</f>
        <v>98.78</v>
      </c>
      <c r="I4" s="1119"/>
      <c r="J4" s="1111">
        <f t="shared" ref="J4:J12" si="4">U48</f>
        <v>98.4</v>
      </c>
      <c r="K4" s="1119"/>
      <c r="L4" s="1111">
        <f t="shared" ref="L4:L12" si="5">V48</f>
        <v>98.000000000000014</v>
      </c>
      <c r="M4" s="1112"/>
      <c r="N4" s="54"/>
      <c r="O4" s="346" t="s">
        <v>601</v>
      </c>
      <c r="P4" s="355" t="s">
        <v>602</v>
      </c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</row>
    <row r="5" spans="1:47" ht="17.100000000000001" customHeight="1" thickTop="1">
      <c r="A5" s="56" t="s">
        <v>144</v>
      </c>
      <c r="B5" s="1109">
        <f t="shared" si="0"/>
        <v>96.52000000000001</v>
      </c>
      <c r="C5" s="1110"/>
      <c r="D5" s="1109">
        <f t="shared" si="1"/>
        <v>95.439999999999984</v>
      </c>
      <c r="E5" s="1110"/>
      <c r="F5" s="1109">
        <f t="shared" si="2"/>
        <v>94.740000000000009</v>
      </c>
      <c r="G5" s="1110"/>
      <c r="H5" s="1109">
        <f t="shared" si="3"/>
        <v>94.2</v>
      </c>
      <c r="I5" s="1110"/>
      <c r="J5" s="1109">
        <f t="shared" si="4"/>
        <v>93.7</v>
      </c>
      <c r="K5" s="1110"/>
      <c r="L5" s="1109">
        <f t="shared" si="5"/>
        <v>93.2</v>
      </c>
      <c r="M5" s="1113"/>
      <c r="N5" s="54"/>
      <c r="O5" s="346" t="s">
        <v>603</v>
      </c>
      <c r="P5" s="355" t="s">
        <v>666</v>
      </c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</row>
    <row r="6" spans="1:47" ht="17.100000000000001" customHeight="1">
      <c r="A6" s="56" t="s">
        <v>143</v>
      </c>
      <c r="B6" s="1114">
        <f t="shared" si="0"/>
        <v>96.88</v>
      </c>
      <c r="C6" s="1115"/>
      <c r="D6" s="1114">
        <f t="shared" si="1"/>
        <v>95.96</v>
      </c>
      <c r="E6" s="1115"/>
      <c r="F6" s="1114">
        <f t="shared" si="2"/>
        <v>95.179999999999993</v>
      </c>
      <c r="G6" s="1115"/>
      <c r="H6" s="1114">
        <f t="shared" si="3"/>
        <v>94.52</v>
      </c>
      <c r="I6" s="1115"/>
      <c r="J6" s="1114">
        <f t="shared" si="4"/>
        <v>94.12</v>
      </c>
      <c r="K6" s="1115"/>
      <c r="L6" s="1114">
        <f t="shared" si="5"/>
        <v>93.820000000000007</v>
      </c>
      <c r="M6" s="1118"/>
      <c r="N6" s="54"/>
      <c r="O6" s="346" t="s">
        <v>605</v>
      </c>
      <c r="P6" s="355" t="s">
        <v>667</v>
      </c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</row>
    <row r="7" spans="1:47" ht="17.100000000000001" customHeight="1">
      <c r="A7" s="56" t="s">
        <v>142</v>
      </c>
      <c r="B7" s="1114">
        <f t="shared" si="0"/>
        <v>98.7</v>
      </c>
      <c r="C7" s="1115"/>
      <c r="D7" s="1114">
        <f t="shared" si="1"/>
        <v>97.559999999999988</v>
      </c>
      <c r="E7" s="1115"/>
      <c r="F7" s="1114">
        <f t="shared" si="2"/>
        <v>96.56</v>
      </c>
      <c r="G7" s="1115"/>
      <c r="H7" s="1114">
        <f t="shared" si="3"/>
        <v>95.839999999999989</v>
      </c>
      <c r="I7" s="1115"/>
      <c r="J7" s="1114">
        <f t="shared" si="4"/>
        <v>95.38</v>
      </c>
      <c r="K7" s="1115"/>
      <c r="L7" s="1114">
        <f t="shared" si="5"/>
        <v>95.02000000000001</v>
      </c>
      <c r="M7" s="1118"/>
      <c r="N7" s="54"/>
      <c r="O7" s="346" t="s">
        <v>124</v>
      </c>
      <c r="P7" s="355" t="s">
        <v>607</v>
      </c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</row>
    <row r="8" spans="1:47" ht="17.100000000000001" customHeight="1">
      <c r="A8" s="56" t="s">
        <v>141</v>
      </c>
      <c r="B8" s="1114">
        <f t="shared" si="0"/>
        <v>101.66</v>
      </c>
      <c r="C8" s="1115"/>
      <c r="D8" s="1114">
        <f t="shared" si="1"/>
        <v>100.72</v>
      </c>
      <c r="E8" s="1115"/>
      <c r="F8" s="1114">
        <f t="shared" si="2"/>
        <v>99.92</v>
      </c>
      <c r="G8" s="1115"/>
      <c r="H8" s="1114">
        <f t="shared" si="3"/>
        <v>99.240000000000009</v>
      </c>
      <c r="I8" s="1115"/>
      <c r="J8" s="1114">
        <f t="shared" si="4"/>
        <v>98.580000000000013</v>
      </c>
      <c r="K8" s="1115"/>
      <c r="L8" s="1114">
        <f t="shared" si="5"/>
        <v>97.960000000000008</v>
      </c>
      <c r="M8" s="1118"/>
      <c r="N8" s="54"/>
      <c r="O8" s="346" t="s">
        <v>608</v>
      </c>
      <c r="P8" s="354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</row>
    <row r="9" spans="1:47" ht="17.100000000000001" customHeight="1">
      <c r="A9" s="56" t="s">
        <v>218</v>
      </c>
      <c r="B9" s="1114">
        <f t="shared" si="0"/>
        <v>98.7</v>
      </c>
      <c r="C9" s="1115"/>
      <c r="D9" s="1114">
        <f t="shared" si="1"/>
        <v>98.460000000000008</v>
      </c>
      <c r="E9" s="1115"/>
      <c r="F9" s="1114">
        <f t="shared" si="2"/>
        <v>98.179999999999993</v>
      </c>
      <c r="G9" s="1115"/>
      <c r="H9" s="1114">
        <f t="shared" si="3"/>
        <v>97.97999999999999</v>
      </c>
      <c r="I9" s="1115"/>
      <c r="J9" s="1114">
        <f t="shared" si="4"/>
        <v>97.9</v>
      </c>
      <c r="K9" s="1115"/>
      <c r="L9" s="1114">
        <f t="shared" si="5"/>
        <v>97.9</v>
      </c>
      <c r="M9" s="1118"/>
      <c r="N9" s="54"/>
      <c r="O9" s="346" t="s">
        <v>609</v>
      </c>
      <c r="P9" s="355" t="s">
        <v>624</v>
      </c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</row>
    <row r="10" spans="1:47" ht="17.100000000000001" customHeight="1">
      <c r="A10" s="56" t="s">
        <v>140</v>
      </c>
      <c r="B10" s="1114">
        <f t="shared" si="0"/>
        <v>100.8</v>
      </c>
      <c r="C10" s="1115"/>
      <c r="D10" s="1114">
        <f t="shared" si="1"/>
        <v>100.3</v>
      </c>
      <c r="E10" s="1115"/>
      <c r="F10" s="1114">
        <f t="shared" si="2"/>
        <v>99.9</v>
      </c>
      <c r="G10" s="1115"/>
      <c r="H10" s="1114">
        <f t="shared" si="3"/>
        <v>99.54</v>
      </c>
      <c r="I10" s="1115"/>
      <c r="J10" s="1114">
        <f t="shared" si="4"/>
        <v>99.239999999999981</v>
      </c>
      <c r="K10" s="1115"/>
      <c r="L10" s="1114">
        <f t="shared" si="5"/>
        <v>98.919999999999987</v>
      </c>
      <c r="M10" s="1118"/>
      <c r="N10" s="54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</row>
    <row r="11" spans="1:47" ht="17.100000000000001" customHeight="1">
      <c r="A11" s="56" t="s">
        <v>139</v>
      </c>
      <c r="B11" s="1114">
        <f t="shared" si="0"/>
        <v>108.48000000000002</v>
      </c>
      <c r="C11" s="1115"/>
      <c r="D11" s="1114">
        <f t="shared" si="1"/>
        <v>108.5</v>
      </c>
      <c r="E11" s="1115"/>
      <c r="F11" s="1114">
        <f t="shared" si="2"/>
        <v>107.94000000000001</v>
      </c>
      <c r="G11" s="1115"/>
      <c r="H11" s="1114">
        <f t="shared" si="3"/>
        <v>107.36000000000001</v>
      </c>
      <c r="I11" s="1115"/>
      <c r="J11" s="1114">
        <f t="shared" si="4"/>
        <v>107.05999999999999</v>
      </c>
      <c r="K11" s="1115"/>
      <c r="L11" s="1114">
        <f t="shared" si="5"/>
        <v>106.9</v>
      </c>
      <c r="M11" s="1118"/>
      <c r="N11" s="54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</row>
    <row r="12" spans="1:47" s="283" customFormat="1" ht="17.100000000000001" customHeight="1">
      <c r="A12" s="304" t="s">
        <v>662</v>
      </c>
      <c r="B12" s="1114">
        <f t="shared" si="0"/>
        <v>110.075</v>
      </c>
      <c r="C12" s="1115"/>
      <c r="D12" s="1114">
        <f t="shared" si="1"/>
        <v>105.85999999999999</v>
      </c>
      <c r="E12" s="1115"/>
      <c r="F12" s="1114">
        <f t="shared" si="2"/>
        <v>104.35999999999999</v>
      </c>
      <c r="G12" s="1115"/>
      <c r="H12" s="1114">
        <f t="shared" si="3"/>
        <v>103.55999999999999</v>
      </c>
      <c r="I12" s="1115"/>
      <c r="J12" s="1114">
        <f t="shared" si="4"/>
        <v>103</v>
      </c>
      <c r="K12" s="1115"/>
      <c r="L12" s="1114">
        <f t="shared" si="5"/>
        <v>102.66000000000001</v>
      </c>
      <c r="M12" s="1118"/>
      <c r="N12" s="303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</row>
    <row r="13" spans="1:47" ht="17.100000000000001" customHeight="1">
      <c r="A13" s="304" t="s">
        <v>125</v>
      </c>
      <c r="B13" s="1114">
        <f t="shared" ref="B13:B21" si="6">Q57</f>
        <v>102.08000000000001</v>
      </c>
      <c r="C13" s="1115"/>
      <c r="D13" s="1114">
        <f t="shared" ref="D13:D21" si="7">R57</f>
        <v>101.33999999999999</v>
      </c>
      <c r="E13" s="1115"/>
      <c r="F13" s="1114">
        <f t="shared" ref="F13:F21" si="8">S57</f>
        <v>100.72</v>
      </c>
      <c r="G13" s="1115"/>
      <c r="H13" s="1114">
        <f t="shared" ref="H13:H21" si="9">T57</f>
        <v>100.22</v>
      </c>
      <c r="I13" s="1115"/>
      <c r="J13" s="1114">
        <f t="shared" ref="J13:J21" si="10">U57</f>
        <v>99.8</v>
      </c>
      <c r="K13" s="1115"/>
      <c r="L13" s="1114">
        <f t="shared" ref="L13:L21" si="11">V57</f>
        <v>99.4</v>
      </c>
      <c r="M13" s="1118"/>
      <c r="N13" s="57"/>
      <c r="O13" s="51" t="s">
        <v>138</v>
      </c>
      <c r="P13" s="51" t="s">
        <v>124</v>
      </c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</row>
    <row r="14" spans="1:47" ht="17.100000000000001" customHeight="1">
      <c r="A14" s="304" t="s">
        <v>137</v>
      </c>
      <c r="B14" s="1114">
        <f t="shared" si="6"/>
        <v>102.30000000000001</v>
      </c>
      <c r="C14" s="1115"/>
      <c r="D14" s="1114">
        <f t="shared" si="7"/>
        <v>101.67999999999999</v>
      </c>
      <c r="E14" s="1115"/>
      <c r="F14" s="1114">
        <f t="shared" si="8"/>
        <v>100.96000000000001</v>
      </c>
      <c r="G14" s="1115"/>
      <c r="H14" s="1114">
        <f t="shared" si="9"/>
        <v>100.24000000000001</v>
      </c>
      <c r="I14" s="1115"/>
      <c r="J14" s="1114">
        <f t="shared" si="10"/>
        <v>99.639999999999986</v>
      </c>
      <c r="K14" s="1115"/>
      <c r="L14" s="1114">
        <f t="shared" si="11"/>
        <v>99.039999999999992</v>
      </c>
      <c r="M14" s="1118"/>
      <c r="N14" s="54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</row>
    <row r="15" spans="1:47" ht="17.100000000000001" customHeight="1">
      <c r="A15" s="304" t="s">
        <v>136</v>
      </c>
      <c r="B15" s="1114">
        <f t="shared" si="6"/>
        <v>102</v>
      </c>
      <c r="C15" s="1115"/>
      <c r="D15" s="1114">
        <f t="shared" si="7"/>
        <v>102.35999999999999</v>
      </c>
      <c r="E15" s="1115"/>
      <c r="F15" s="1114">
        <f t="shared" si="8"/>
        <v>102.5</v>
      </c>
      <c r="G15" s="1115"/>
      <c r="H15" s="1114">
        <f t="shared" si="9"/>
        <v>102.34</v>
      </c>
      <c r="I15" s="1115"/>
      <c r="J15" s="1114">
        <f t="shared" si="10"/>
        <v>102.04</v>
      </c>
      <c r="K15" s="1115"/>
      <c r="L15" s="1114">
        <f t="shared" si="11"/>
        <v>101.6</v>
      </c>
      <c r="M15" s="1118"/>
      <c r="N15" s="54"/>
      <c r="O15" s="347" t="s">
        <v>135</v>
      </c>
      <c r="P15" s="347" t="s">
        <v>635</v>
      </c>
      <c r="Q15" s="348" t="s">
        <v>275</v>
      </c>
      <c r="R15" s="348" t="s">
        <v>636</v>
      </c>
      <c r="S15" s="348" t="s">
        <v>637</v>
      </c>
      <c r="T15" s="348" t="s">
        <v>638</v>
      </c>
      <c r="U15" s="348" t="s">
        <v>639</v>
      </c>
      <c r="V15" s="348" t="s">
        <v>274</v>
      </c>
      <c r="W15" s="348" t="s">
        <v>640</v>
      </c>
      <c r="X15" s="348" t="s">
        <v>641</v>
      </c>
      <c r="Y15" s="348" t="s">
        <v>642</v>
      </c>
      <c r="Z15" s="348" t="s">
        <v>643</v>
      </c>
      <c r="AA15" s="348" t="s">
        <v>273</v>
      </c>
      <c r="AB15" s="348" t="s">
        <v>644</v>
      </c>
      <c r="AC15" s="348" t="s">
        <v>645</v>
      </c>
      <c r="AD15" s="348" t="s">
        <v>646</v>
      </c>
      <c r="AE15" s="348" t="s">
        <v>647</v>
      </c>
      <c r="AF15" s="348" t="s">
        <v>272</v>
      </c>
      <c r="AG15" s="348" t="s">
        <v>648</v>
      </c>
      <c r="AH15" s="348" t="s">
        <v>649</v>
      </c>
      <c r="AI15" s="348" t="s">
        <v>650</v>
      </c>
      <c r="AJ15" s="348" t="s">
        <v>651</v>
      </c>
      <c r="AK15" s="348" t="s">
        <v>271</v>
      </c>
      <c r="AL15" s="348" t="s">
        <v>652</v>
      </c>
      <c r="AM15" s="348" t="s">
        <v>653</v>
      </c>
      <c r="AN15" s="348" t="s">
        <v>654</v>
      </c>
      <c r="AO15" s="348" t="s">
        <v>655</v>
      </c>
      <c r="AP15" s="348" t="s">
        <v>270</v>
      </c>
      <c r="AQ15" s="348" t="s">
        <v>656</v>
      </c>
      <c r="AR15" s="348" t="s">
        <v>657</v>
      </c>
      <c r="AS15" s="348" t="s">
        <v>658</v>
      </c>
      <c r="AT15" s="348" t="s">
        <v>659</v>
      </c>
      <c r="AU15" s="348" t="s">
        <v>269</v>
      </c>
    </row>
    <row r="16" spans="1:47" ht="17.100000000000001" customHeight="1">
      <c r="A16" s="304" t="s">
        <v>134</v>
      </c>
      <c r="B16" s="1114">
        <f t="shared" si="6"/>
        <v>104.5</v>
      </c>
      <c r="C16" s="1115"/>
      <c r="D16" s="1125">
        <f t="shared" si="7"/>
        <v>104.01999999999998</v>
      </c>
      <c r="E16" s="1126"/>
      <c r="F16" s="1125">
        <f t="shared" si="8"/>
        <v>103.74000000000001</v>
      </c>
      <c r="G16" s="1126"/>
      <c r="H16" s="1125">
        <f t="shared" si="9"/>
        <v>103.47999999999999</v>
      </c>
      <c r="I16" s="1126"/>
      <c r="J16" s="1125">
        <f t="shared" si="10"/>
        <v>103</v>
      </c>
      <c r="K16" s="1126"/>
      <c r="L16" s="1125">
        <f t="shared" si="11"/>
        <v>102.3</v>
      </c>
      <c r="M16" s="1132"/>
      <c r="N16" s="54"/>
      <c r="O16" s="351" t="s">
        <v>106</v>
      </c>
      <c r="P16" s="351" t="s">
        <v>89</v>
      </c>
      <c r="Q16" s="350">
        <v>100.4</v>
      </c>
      <c r="R16" s="350">
        <v>100.4</v>
      </c>
      <c r="S16" s="350">
        <v>100.3</v>
      </c>
      <c r="T16" s="350">
        <v>100.2</v>
      </c>
      <c r="U16" s="350">
        <v>100.1</v>
      </c>
      <c r="V16" s="350">
        <v>100</v>
      </c>
      <c r="W16" s="350">
        <v>99.8</v>
      </c>
      <c r="X16" s="350">
        <v>99.7</v>
      </c>
      <c r="Y16" s="350">
        <v>99.6</v>
      </c>
      <c r="Z16" s="350">
        <v>99.5</v>
      </c>
      <c r="AA16" s="350">
        <v>99.4</v>
      </c>
      <c r="AB16" s="350">
        <v>99.3</v>
      </c>
      <c r="AC16" s="350">
        <v>99.3</v>
      </c>
      <c r="AD16" s="350">
        <v>99.2</v>
      </c>
      <c r="AE16" s="350">
        <v>99.1</v>
      </c>
      <c r="AF16" s="350">
        <v>99</v>
      </c>
      <c r="AG16" s="350">
        <v>98.9</v>
      </c>
      <c r="AH16" s="350">
        <v>98.9</v>
      </c>
      <c r="AI16" s="350">
        <v>98.8</v>
      </c>
      <c r="AJ16" s="350">
        <v>98.7</v>
      </c>
      <c r="AK16" s="350">
        <v>98.6</v>
      </c>
      <c r="AL16" s="350">
        <v>98.6</v>
      </c>
      <c r="AM16" s="350">
        <v>98.5</v>
      </c>
      <c r="AN16" s="350">
        <v>98.4</v>
      </c>
      <c r="AO16" s="350">
        <v>98.3</v>
      </c>
      <c r="AP16" s="350">
        <v>98.2</v>
      </c>
      <c r="AQ16" s="350">
        <v>98.2</v>
      </c>
      <c r="AR16" s="350">
        <v>98.1</v>
      </c>
      <c r="AS16" s="350">
        <v>98</v>
      </c>
      <c r="AT16" s="350">
        <v>97.9</v>
      </c>
      <c r="AU16" s="350">
        <v>97.8</v>
      </c>
    </row>
    <row r="17" spans="1:47" ht="17.100000000000001" customHeight="1">
      <c r="A17" s="304" t="s">
        <v>133</v>
      </c>
      <c r="B17" s="1114">
        <f t="shared" si="6"/>
        <v>97.4</v>
      </c>
      <c r="C17" s="1115"/>
      <c r="D17" s="1114">
        <f t="shared" si="7"/>
        <v>97.56</v>
      </c>
      <c r="E17" s="1115"/>
      <c r="F17" s="1114">
        <f t="shared" si="8"/>
        <v>97.859999999999985</v>
      </c>
      <c r="G17" s="1115"/>
      <c r="H17" s="1114">
        <f t="shared" si="9"/>
        <v>98</v>
      </c>
      <c r="I17" s="1115"/>
      <c r="J17" s="1114">
        <f t="shared" si="10"/>
        <v>97.919999999999987</v>
      </c>
      <c r="K17" s="1115"/>
      <c r="L17" s="1114">
        <f t="shared" si="11"/>
        <v>97.500000000000014</v>
      </c>
      <c r="M17" s="1118"/>
      <c r="N17" s="54"/>
      <c r="O17" s="351" t="s">
        <v>105</v>
      </c>
      <c r="P17" s="351" t="s">
        <v>89</v>
      </c>
      <c r="Q17" s="350">
        <v>97.6</v>
      </c>
      <c r="R17" s="350">
        <v>97.2</v>
      </c>
      <c r="S17" s="350">
        <v>96.9</v>
      </c>
      <c r="T17" s="350">
        <v>96.5</v>
      </c>
      <c r="U17" s="350">
        <v>96.1</v>
      </c>
      <c r="V17" s="350">
        <v>95.9</v>
      </c>
      <c r="W17" s="350">
        <v>95.8</v>
      </c>
      <c r="X17" s="350">
        <v>95.6</v>
      </c>
      <c r="Y17" s="350">
        <v>95.4</v>
      </c>
      <c r="Z17" s="350">
        <v>95.3</v>
      </c>
      <c r="AA17" s="350">
        <v>95.1</v>
      </c>
      <c r="AB17" s="350">
        <v>95</v>
      </c>
      <c r="AC17" s="350">
        <v>94.9</v>
      </c>
      <c r="AD17" s="350">
        <v>94.7</v>
      </c>
      <c r="AE17" s="350">
        <v>94.6</v>
      </c>
      <c r="AF17" s="350">
        <v>94.5</v>
      </c>
      <c r="AG17" s="350">
        <v>94.4</v>
      </c>
      <c r="AH17" s="350">
        <v>94.3</v>
      </c>
      <c r="AI17" s="350">
        <v>94.2</v>
      </c>
      <c r="AJ17" s="350">
        <v>94.1</v>
      </c>
      <c r="AK17" s="350">
        <v>94</v>
      </c>
      <c r="AL17" s="350">
        <v>93.9</v>
      </c>
      <c r="AM17" s="350">
        <v>93.8</v>
      </c>
      <c r="AN17" s="350">
        <v>93.7</v>
      </c>
      <c r="AO17" s="350">
        <v>93.6</v>
      </c>
      <c r="AP17" s="350">
        <v>93.5</v>
      </c>
      <c r="AQ17" s="350">
        <v>93.4</v>
      </c>
      <c r="AR17" s="350">
        <v>93.3</v>
      </c>
      <c r="AS17" s="350">
        <v>93.2</v>
      </c>
      <c r="AT17" s="350">
        <v>93.1</v>
      </c>
      <c r="AU17" s="350">
        <v>93</v>
      </c>
    </row>
    <row r="18" spans="1:47" ht="17.100000000000001" customHeight="1">
      <c r="A18" s="304" t="s">
        <v>132</v>
      </c>
      <c r="B18" s="1114">
        <f t="shared" si="6"/>
        <v>97.6</v>
      </c>
      <c r="C18" s="1115"/>
      <c r="D18" s="1114">
        <f t="shared" si="7"/>
        <v>98.62</v>
      </c>
      <c r="E18" s="1115"/>
      <c r="F18" s="1114">
        <f t="shared" si="8"/>
        <v>99.62</v>
      </c>
      <c r="G18" s="1115"/>
      <c r="H18" s="1114">
        <f t="shared" si="9"/>
        <v>100.16</v>
      </c>
      <c r="I18" s="1115"/>
      <c r="J18" s="1114">
        <f t="shared" si="10"/>
        <v>100.3</v>
      </c>
      <c r="K18" s="1115"/>
      <c r="L18" s="1114">
        <f t="shared" si="11"/>
        <v>100.05999999999999</v>
      </c>
      <c r="M18" s="1118"/>
      <c r="N18" s="54"/>
      <c r="O18" s="351" t="s">
        <v>104</v>
      </c>
      <c r="P18" s="351" t="s">
        <v>89</v>
      </c>
      <c r="Q18" s="350">
        <v>97.5</v>
      </c>
      <c r="R18" s="350">
        <v>97.4</v>
      </c>
      <c r="S18" s="350">
        <v>97.1</v>
      </c>
      <c r="T18" s="350">
        <v>96.8</v>
      </c>
      <c r="U18" s="350">
        <v>96.6</v>
      </c>
      <c r="V18" s="350">
        <v>96.5</v>
      </c>
      <c r="W18" s="350">
        <v>96.3</v>
      </c>
      <c r="X18" s="350">
        <v>96.1</v>
      </c>
      <c r="Y18" s="350">
        <v>96</v>
      </c>
      <c r="Z18" s="350">
        <v>95.8</v>
      </c>
      <c r="AA18" s="350">
        <v>95.6</v>
      </c>
      <c r="AB18" s="350">
        <v>95.5</v>
      </c>
      <c r="AC18" s="350">
        <v>95.3</v>
      </c>
      <c r="AD18" s="350">
        <v>95.2</v>
      </c>
      <c r="AE18" s="350">
        <v>95</v>
      </c>
      <c r="AF18" s="350">
        <v>94.9</v>
      </c>
      <c r="AG18" s="350">
        <v>94.8</v>
      </c>
      <c r="AH18" s="350">
        <v>94.6</v>
      </c>
      <c r="AI18" s="350">
        <v>94.5</v>
      </c>
      <c r="AJ18" s="350">
        <v>94.4</v>
      </c>
      <c r="AK18" s="350">
        <v>94.3</v>
      </c>
      <c r="AL18" s="350">
        <v>94.3</v>
      </c>
      <c r="AM18" s="350">
        <v>94.2</v>
      </c>
      <c r="AN18" s="350">
        <v>94.1</v>
      </c>
      <c r="AO18" s="350">
        <v>94</v>
      </c>
      <c r="AP18" s="350">
        <v>94</v>
      </c>
      <c r="AQ18" s="350">
        <v>93.9</v>
      </c>
      <c r="AR18" s="350">
        <v>93.9</v>
      </c>
      <c r="AS18" s="350">
        <v>93.8</v>
      </c>
      <c r="AT18" s="350">
        <v>93.8</v>
      </c>
      <c r="AU18" s="350">
        <v>93.7</v>
      </c>
    </row>
    <row r="19" spans="1:47" ht="17.100000000000001" customHeight="1">
      <c r="A19" s="304" t="s">
        <v>131</v>
      </c>
      <c r="B19" s="1114">
        <f t="shared" si="6"/>
        <v>100.42</v>
      </c>
      <c r="C19" s="1115"/>
      <c r="D19" s="1114">
        <f t="shared" si="7"/>
        <v>100.47999999999999</v>
      </c>
      <c r="E19" s="1115"/>
      <c r="F19" s="1114">
        <f t="shared" si="8"/>
        <v>100.6</v>
      </c>
      <c r="G19" s="1115"/>
      <c r="H19" s="1114">
        <f t="shared" si="9"/>
        <v>100.58</v>
      </c>
      <c r="I19" s="1115"/>
      <c r="J19" s="1114">
        <f t="shared" si="10"/>
        <v>100.41999999999999</v>
      </c>
      <c r="K19" s="1115"/>
      <c r="L19" s="1114">
        <f t="shared" si="11"/>
        <v>100.00000000000001</v>
      </c>
      <c r="M19" s="1118"/>
      <c r="N19" s="54"/>
      <c r="O19" s="351" t="s">
        <v>103</v>
      </c>
      <c r="P19" s="351" t="s">
        <v>89</v>
      </c>
      <c r="Q19" s="350">
        <v>99.3</v>
      </c>
      <c r="R19" s="350">
        <v>99.1</v>
      </c>
      <c r="S19" s="350">
        <v>98.9</v>
      </c>
      <c r="T19" s="350">
        <v>98.7</v>
      </c>
      <c r="U19" s="350">
        <v>98.5</v>
      </c>
      <c r="V19" s="350">
        <v>98.3</v>
      </c>
      <c r="W19" s="350">
        <v>98</v>
      </c>
      <c r="X19" s="350">
        <v>97.8</v>
      </c>
      <c r="Y19" s="350">
        <v>97.6</v>
      </c>
      <c r="Z19" s="350">
        <v>97.3</v>
      </c>
      <c r="AA19" s="350">
        <v>97.1</v>
      </c>
      <c r="AB19" s="350">
        <v>96.9</v>
      </c>
      <c r="AC19" s="350">
        <v>96.7</v>
      </c>
      <c r="AD19" s="350">
        <v>96.6</v>
      </c>
      <c r="AE19" s="350">
        <v>96.4</v>
      </c>
      <c r="AF19" s="350">
        <v>96.2</v>
      </c>
      <c r="AG19" s="350">
        <v>96.1</v>
      </c>
      <c r="AH19" s="350">
        <v>96</v>
      </c>
      <c r="AI19" s="350">
        <v>95.8</v>
      </c>
      <c r="AJ19" s="350">
        <v>95.7</v>
      </c>
      <c r="AK19" s="350">
        <v>95.6</v>
      </c>
      <c r="AL19" s="350">
        <v>95.5</v>
      </c>
      <c r="AM19" s="350">
        <v>95.5</v>
      </c>
      <c r="AN19" s="350">
        <v>95.4</v>
      </c>
      <c r="AO19" s="350">
        <v>95.3</v>
      </c>
      <c r="AP19" s="350">
        <v>95.2</v>
      </c>
      <c r="AQ19" s="350">
        <v>95.2</v>
      </c>
      <c r="AR19" s="350">
        <v>95.1</v>
      </c>
      <c r="AS19" s="350">
        <v>95</v>
      </c>
      <c r="AT19" s="350">
        <v>94.9</v>
      </c>
      <c r="AU19" s="350">
        <v>94.9</v>
      </c>
    </row>
    <row r="20" spans="1:47" ht="17.100000000000001" customHeight="1">
      <c r="A20" s="304" t="s">
        <v>130</v>
      </c>
      <c r="B20" s="1114">
        <f t="shared" si="6"/>
        <v>103.58</v>
      </c>
      <c r="C20" s="1115"/>
      <c r="D20" s="1114">
        <f t="shared" si="7"/>
        <v>102.84</v>
      </c>
      <c r="E20" s="1115"/>
      <c r="F20" s="1114">
        <f t="shared" si="8"/>
        <v>102.16</v>
      </c>
      <c r="G20" s="1115"/>
      <c r="H20" s="1114">
        <f t="shared" si="9"/>
        <v>101.6</v>
      </c>
      <c r="I20" s="1115"/>
      <c r="J20" s="1114">
        <f t="shared" si="10"/>
        <v>101.1</v>
      </c>
      <c r="K20" s="1115"/>
      <c r="L20" s="1114">
        <f t="shared" si="11"/>
        <v>100.44000000000001</v>
      </c>
      <c r="M20" s="1118"/>
      <c r="N20" s="54"/>
      <c r="O20" s="351" t="s">
        <v>102</v>
      </c>
      <c r="P20" s="351" t="s">
        <v>89</v>
      </c>
      <c r="Q20" s="350">
        <v>102.3</v>
      </c>
      <c r="R20" s="350">
        <v>102.1</v>
      </c>
      <c r="S20" s="350">
        <v>101.8</v>
      </c>
      <c r="T20" s="350">
        <v>101.6</v>
      </c>
      <c r="U20" s="350">
        <v>101.5</v>
      </c>
      <c r="V20" s="350">
        <v>101.3</v>
      </c>
      <c r="W20" s="350">
        <v>101.1</v>
      </c>
      <c r="X20" s="350">
        <v>100.9</v>
      </c>
      <c r="Y20" s="350">
        <v>100.7</v>
      </c>
      <c r="Z20" s="350">
        <v>100.5</v>
      </c>
      <c r="AA20" s="350">
        <v>100.4</v>
      </c>
      <c r="AB20" s="350">
        <v>100.2</v>
      </c>
      <c r="AC20" s="350">
        <v>100.1</v>
      </c>
      <c r="AD20" s="350">
        <v>99.9</v>
      </c>
      <c r="AE20" s="350">
        <v>99.8</v>
      </c>
      <c r="AF20" s="350">
        <v>99.6</v>
      </c>
      <c r="AG20" s="350">
        <v>99.5</v>
      </c>
      <c r="AH20" s="350">
        <v>99.4</v>
      </c>
      <c r="AI20" s="350">
        <v>99.2</v>
      </c>
      <c r="AJ20" s="350">
        <v>99.1</v>
      </c>
      <c r="AK20" s="350">
        <v>99</v>
      </c>
      <c r="AL20" s="350">
        <v>98.8</v>
      </c>
      <c r="AM20" s="350">
        <v>98.7</v>
      </c>
      <c r="AN20" s="350">
        <v>98.6</v>
      </c>
      <c r="AO20" s="350">
        <v>98.5</v>
      </c>
      <c r="AP20" s="350">
        <v>98.3</v>
      </c>
      <c r="AQ20" s="350">
        <v>98.2</v>
      </c>
      <c r="AR20" s="350">
        <v>98.1</v>
      </c>
      <c r="AS20" s="350">
        <v>98</v>
      </c>
      <c r="AT20" s="350">
        <v>97.8</v>
      </c>
      <c r="AU20" s="350">
        <v>97.7</v>
      </c>
    </row>
    <row r="21" spans="1:47" ht="17.100000000000001" customHeight="1">
      <c r="A21" s="56" t="s">
        <v>129</v>
      </c>
      <c r="B21" s="1133">
        <f t="shared" si="6"/>
        <v>100.64</v>
      </c>
      <c r="C21" s="1134"/>
      <c r="D21" s="1133">
        <f t="shared" si="7"/>
        <v>100.50000000000001</v>
      </c>
      <c r="E21" s="1134"/>
      <c r="F21" s="1133">
        <f t="shared" si="8"/>
        <v>99.859999999999985</v>
      </c>
      <c r="G21" s="1134"/>
      <c r="H21" s="1133">
        <f t="shared" si="9"/>
        <v>99.259999999999991</v>
      </c>
      <c r="I21" s="1134"/>
      <c r="J21" s="1133">
        <f t="shared" si="10"/>
        <v>98.7</v>
      </c>
      <c r="K21" s="1134"/>
      <c r="L21" s="1133">
        <f t="shared" si="11"/>
        <v>98.06</v>
      </c>
      <c r="M21" s="1135"/>
      <c r="N21" s="54"/>
      <c r="O21" s="351" t="s">
        <v>101</v>
      </c>
      <c r="P21" s="351" t="s">
        <v>89</v>
      </c>
      <c r="Q21" s="350">
        <v>98.8</v>
      </c>
      <c r="R21" s="350">
        <v>98.8</v>
      </c>
      <c r="S21" s="350">
        <v>98.7</v>
      </c>
      <c r="T21" s="350">
        <v>98.7</v>
      </c>
      <c r="U21" s="350">
        <v>98.7</v>
      </c>
      <c r="V21" s="350">
        <v>98.6</v>
      </c>
      <c r="W21" s="350">
        <v>98.6</v>
      </c>
      <c r="X21" s="350">
        <v>98.5</v>
      </c>
      <c r="Y21" s="350">
        <v>98.5</v>
      </c>
      <c r="Z21" s="350">
        <v>98.4</v>
      </c>
      <c r="AA21" s="350">
        <v>98.3</v>
      </c>
      <c r="AB21" s="350">
        <v>98.3</v>
      </c>
      <c r="AC21" s="350">
        <v>98.2</v>
      </c>
      <c r="AD21" s="350">
        <v>98.2</v>
      </c>
      <c r="AE21" s="350">
        <v>98.1</v>
      </c>
      <c r="AF21" s="350">
        <v>98.1</v>
      </c>
      <c r="AG21" s="350">
        <v>98</v>
      </c>
      <c r="AH21" s="350">
        <v>98</v>
      </c>
      <c r="AI21" s="350">
        <v>98</v>
      </c>
      <c r="AJ21" s="350">
        <v>98</v>
      </c>
      <c r="AK21" s="350">
        <v>97.9</v>
      </c>
      <c r="AL21" s="350">
        <v>97.9</v>
      </c>
      <c r="AM21" s="350">
        <v>97.9</v>
      </c>
      <c r="AN21" s="350">
        <v>97.9</v>
      </c>
      <c r="AO21" s="350">
        <v>97.9</v>
      </c>
      <c r="AP21" s="350">
        <v>97.9</v>
      </c>
      <c r="AQ21" s="350">
        <v>97.9</v>
      </c>
      <c r="AR21" s="350">
        <v>97.9</v>
      </c>
      <c r="AS21" s="350">
        <v>97.9</v>
      </c>
      <c r="AT21" s="350">
        <v>97.9</v>
      </c>
      <c r="AU21" s="350">
        <v>97.9</v>
      </c>
    </row>
    <row r="22" spans="1:47" ht="14.25" customHeight="1">
      <c r="A22" s="1128" t="s">
        <v>668</v>
      </c>
      <c r="B22" s="1128"/>
      <c r="C22" s="1128"/>
      <c r="D22" s="1128"/>
      <c r="E22" s="1128"/>
      <c r="F22" s="1128"/>
      <c r="G22" s="1128"/>
      <c r="H22" s="1128"/>
      <c r="I22" s="1128"/>
      <c r="J22" s="1128"/>
      <c r="K22" s="1128"/>
      <c r="L22" s="1128"/>
      <c r="M22" s="1128"/>
      <c r="N22" s="58"/>
      <c r="O22" s="351" t="s">
        <v>100</v>
      </c>
      <c r="P22" s="351" t="s">
        <v>89</v>
      </c>
      <c r="Q22" s="350">
        <v>101.1</v>
      </c>
      <c r="R22" s="350">
        <v>101</v>
      </c>
      <c r="S22" s="350">
        <v>100.9</v>
      </c>
      <c r="T22" s="350">
        <v>100.8</v>
      </c>
      <c r="U22" s="350">
        <v>100.7</v>
      </c>
      <c r="V22" s="350">
        <v>100.6</v>
      </c>
      <c r="W22" s="350">
        <v>100.5</v>
      </c>
      <c r="X22" s="350">
        <v>100.4</v>
      </c>
      <c r="Y22" s="350">
        <v>100.3</v>
      </c>
      <c r="Z22" s="350">
        <v>100.2</v>
      </c>
      <c r="AA22" s="350">
        <v>100.1</v>
      </c>
      <c r="AB22" s="350">
        <v>100</v>
      </c>
      <c r="AC22" s="350">
        <v>100</v>
      </c>
      <c r="AD22" s="350">
        <v>99.9</v>
      </c>
      <c r="AE22" s="350">
        <v>99.8</v>
      </c>
      <c r="AF22" s="350">
        <v>99.8</v>
      </c>
      <c r="AG22" s="350">
        <v>99.7</v>
      </c>
      <c r="AH22" s="350">
        <v>99.6</v>
      </c>
      <c r="AI22" s="350">
        <v>99.5</v>
      </c>
      <c r="AJ22" s="350">
        <v>99.5</v>
      </c>
      <c r="AK22" s="350">
        <v>99.4</v>
      </c>
      <c r="AL22" s="350">
        <v>99.4</v>
      </c>
      <c r="AM22" s="350">
        <v>99.3</v>
      </c>
      <c r="AN22" s="350">
        <v>99.2</v>
      </c>
      <c r="AO22" s="350">
        <v>99.2</v>
      </c>
      <c r="AP22" s="350">
        <v>99.1</v>
      </c>
      <c r="AQ22" s="350">
        <v>99</v>
      </c>
      <c r="AR22" s="350">
        <v>99</v>
      </c>
      <c r="AS22" s="350">
        <v>98.9</v>
      </c>
      <c r="AT22" s="350">
        <v>98.9</v>
      </c>
      <c r="AU22" s="350">
        <v>98.8</v>
      </c>
    </row>
    <row r="23" spans="1:47" ht="12.75" customHeight="1">
      <c r="A23" s="1129"/>
      <c r="B23" s="1129"/>
      <c r="C23" s="1129"/>
      <c r="D23" s="1129"/>
      <c r="E23" s="1129"/>
      <c r="F23" s="1129"/>
      <c r="G23" s="1129"/>
      <c r="H23" s="1129"/>
      <c r="I23" s="1129"/>
      <c r="J23" s="1129"/>
      <c r="K23" s="1129"/>
      <c r="L23" s="1129"/>
      <c r="M23" s="1129"/>
      <c r="N23" s="58"/>
      <c r="O23" s="351" t="s">
        <v>99</v>
      </c>
      <c r="P23" s="351" t="s">
        <v>89</v>
      </c>
      <c r="Q23" s="350">
        <v>108</v>
      </c>
      <c r="R23" s="350">
        <v>108.2</v>
      </c>
      <c r="S23" s="350">
        <v>108.4</v>
      </c>
      <c r="T23" s="350">
        <v>108.5</v>
      </c>
      <c r="U23" s="350">
        <v>108.6</v>
      </c>
      <c r="V23" s="350">
        <v>108.7</v>
      </c>
      <c r="W23" s="350">
        <v>108.7</v>
      </c>
      <c r="X23" s="350">
        <v>108.6</v>
      </c>
      <c r="Y23" s="350">
        <v>108.5</v>
      </c>
      <c r="Z23" s="350">
        <v>108.4</v>
      </c>
      <c r="AA23" s="350">
        <v>108.3</v>
      </c>
      <c r="AB23" s="350">
        <v>108.2</v>
      </c>
      <c r="AC23" s="350">
        <v>108.1</v>
      </c>
      <c r="AD23" s="350">
        <v>107.9</v>
      </c>
      <c r="AE23" s="350">
        <v>107.8</v>
      </c>
      <c r="AF23" s="350">
        <v>107.7</v>
      </c>
      <c r="AG23" s="350">
        <v>107.5</v>
      </c>
      <c r="AH23" s="350">
        <v>107.4</v>
      </c>
      <c r="AI23" s="350">
        <v>107.4</v>
      </c>
      <c r="AJ23" s="350">
        <v>107.3</v>
      </c>
      <c r="AK23" s="350">
        <v>107.2</v>
      </c>
      <c r="AL23" s="350">
        <v>107.2</v>
      </c>
      <c r="AM23" s="350">
        <v>107.1</v>
      </c>
      <c r="AN23" s="350">
        <v>107</v>
      </c>
      <c r="AO23" s="350">
        <v>107</v>
      </c>
      <c r="AP23" s="350">
        <v>107</v>
      </c>
      <c r="AQ23" s="350">
        <v>106.9</v>
      </c>
      <c r="AR23" s="350">
        <v>106.9</v>
      </c>
      <c r="AS23" s="350">
        <v>106.9</v>
      </c>
      <c r="AT23" s="350">
        <v>106.9</v>
      </c>
      <c r="AU23" s="350">
        <v>106.9</v>
      </c>
    </row>
    <row r="24" spans="1:47" ht="17.100000000000001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351" t="s">
        <v>660</v>
      </c>
      <c r="P24" s="351" t="s">
        <v>89</v>
      </c>
      <c r="Q24" s="349" t="s">
        <v>661</v>
      </c>
      <c r="R24" s="349" t="s">
        <v>661</v>
      </c>
      <c r="S24" s="350">
        <v>112.3</v>
      </c>
      <c r="T24" s="350">
        <v>110.9</v>
      </c>
      <c r="U24" s="350">
        <v>109.4</v>
      </c>
      <c r="V24" s="350">
        <v>107.7</v>
      </c>
      <c r="W24" s="350">
        <v>106.8</v>
      </c>
      <c r="X24" s="350">
        <v>106.3</v>
      </c>
      <c r="Y24" s="350">
        <v>105.8</v>
      </c>
      <c r="Z24" s="350">
        <v>105.4</v>
      </c>
      <c r="AA24" s="349">
        <v>105</v>
      </c>
      <c r="AB24" s="350">
        <v>104.8</v>
      </c>
      <c r="AC24" s="350">
        <v>104.5</v>
      </c>
      <c r="AD24" s="350">
        <v>104.3</v>
      </c>
      <c r="AE24" s="350">
        <v>104.2</v>
      </c>
      <c r="AF24" s="349">
        <v>104</v>
      </c>
      <c r="AG24" s="350">
        <v>103.8</v>
      </c>
      <c r="AH24" s="350">
        <v>103.7</v>
      </c>
      <c r="AI24" s="350">
        <v>103.6</v>
      </c>
      <c r="AJ24" s="350">
        <v>103.4</v>
      </c>
      <c r="AK24" s="350">
        <v>103.3</v>
      </c>
      <c r="AL24" s="350">
        <v>103.2</v>
      </c>
      <c r="AM24" s="350">
        <v>103.1</v>
      </c>
      <c r="AN24" s="349">
        <v>103</v>
      </c>
      <c r="AO24" s="350">
        <v>102.9</v>
      </c>
      <c r="AP24" s="350">
        <v>102.8</v>
      </c>
      <c r="AQ24" s="350">
        <v>102.8</v>
      </c>
      <c r="AR24" s="350">
        <v>102.7</v>
      </c>
      <c r="AS24" s="350">
        <v>102.6</v>
      </c>
      <c r="AT24" s="350">
        <v>102.6</v>
      </c>
      <c r="AU24" s="350">
        <v>102.6</v>
      </c>
    </row>
    <row r="25" spans="1:47" ht="17.100000000000001" customHeight="1">
      <c r="O25" s="351" t="s">
        <v>98</v>
      </c>
      <c r="P25" s="351" t="s">
        <v>89</v>
      </c>
      <c r="Q25" s="350">
        <v>102.3</v>
      </c>
      <c r="R25" s="350">
        <v>102.4</v>
      </c>
      <c r="S25" s="350">
        <v>102.2</v>
      </c>
      <c r="T25" s="350">
        <v>102.1</v>
      </c>
      <c r="U25" s="350">
        <v>101.9</v>
      </c>
      <c r="V25" s="350">
        <v>101.8</v>
      </c>
      <c r="W25" s="350">
        <v>101.6</v>
      </c>
      <c r="X25" s="350">
        <v>101.5</v>
      </c>
      <c r="Y25" s="350">
        <v>101.3</v>
      </c>
      <c r="Z25" s="350">
        <v>101.2</v>
      </c>
      <c r="AA25" s="350">
        <v>101.1</v>
      </c>
      <c r="AB25" s="350">
        <v>101</v>
      </c>
      <c r="AC25" s="350">
        <v>100.8</v>
      </c>
      <c r="AD25" s="350">
        <v>100.7</v>
      </c>
      <c r="AE25" s="350">
        <v>100.6</v>
      </c>
      <c r="AF25" s="350">
        <v>100.5</v>
      </c>
      <c r="AG25" s="350">
        <v>100.4</v>
      </c>
      <c r="AH25" s="350">
        <v>100.3</v>
      </c>
      <c r="AI25" s="350">
        <v>100.2</v>
      </c>
      <c r="AJ25" s="350">
        <v>100.1</v>
      </c>
      <c r="AK25" s="350">
        <v>100.1</v>
      </c>
      <c r="AL25" s="350">
        <v>100</v>
      </c>
      <c r="AM25" s="350">
        <v>99.9</v>
      </c>
      <c r="AN25" s="350">
        <v>99.8</v>
      </c>
      <c r="AO25" s="350">
        <v>99.7</v>
      </c>
      <c r="AP25" s="350">
        <v>99.6</v>
      </c>
      <c r="AQ25" s="350">
        <v>99.5</v>
      </c>
      <c r="AR25" s="350">
        <v>99.5</v>
      </c>
      <c r="AS25" s="350">
        <v>99.4</v>
      </c>
      <c r="AT25" s="350">
        <v>99.3</v>
      </c>
      <c r="AU25" s="350">
        <v>99.3</v>
      </c>
    </row>
    <row r="26" spans="1:47" s="60" customFormat="1" ht="17.100000000000001" customHeight="1">
      <c r="A26" s="1120" t="s">
        <v>81</v>
      </c>
      <c r="B26" s="1122" t="str">
        <f>B3</f>
        <v>2010-2015</v>
      </c>
      <c r="C26" s="1122"/>
      <c r="D26" s="1122" t="str">
        <f>D3</f>
        <v>2015-2020</v>
      </c>
      <c r="E26" s="1122"/>
      <c r="F26" s="1122" t="str">
        <f>F3</f>
        <v>2020-2025</v>
      </c>
      <c r="G26" s="1122"/>
      <c r="H26" s="1123" t="str">
        <f>H3</f>
        <v>2025-2030</v>
      </c>
      <c r="I26" s="1122"/>
      <c r="J26" s="1123" t="str">
        <f>J3</f>
        <v>2030-2035</v>
      </c>
      <c r="K26" s="1122"/>
      <c r="L26" s="1123" t="str">
        <f>L3</f>
        <v>2035-2040</v>
      </c>
      <c r="M26" s="1124"/>
      <c r="N26" s="59"/>
      <c r="O26" s="351" t="s">
        <v>97</v>
      </c>
      <c r="P26" s="351" t="s">
        <v>89</v>
      </c>
      <c r="Q26" s="350">
        <v>102.1</v>
      </c>
      <c r="R26" s="350">
        <v>102.2</v>
      </c>
      <c r="S26" s="350">
        <v>102.4</v>
      </c>
      <c r="T26" s="350">
        <v>102.3</v>
      </c>
      <c r="U26" s="350">
        <v>102.4</v>
      </c>
      <c r="V26" s="350">
        <v>102.2</v>
      </c>
      <c r="W26" s="350">
        <v>102</v>
      </c>
      <c r="X26" s="350">
        <v>101.8</v>
      </c>
      <c r="Y26" s="350">
        <v>101.7</v>
      </c>
      <c r="Z26" s="350">
        <v>101.5</v>
      </c>
      <c r="AA26" s="350">
        <v>101.4</v>
      </c>
      <c r="AB26" s="350">
        <v>101.2</v>
      </c>
      <c r="AC26" s="350">
        <v>101.1</v>
      </c>
      <c r="AD26" s="350">
        <v>101</v>
      </c>
      <c r="AE26" s="350">
        <v>100.8</v>
      </c>
      <c r="AF26" s="350">
        <v>100.7</v>
      </c>
      <c r="AG26" s="350">
        <v>100.5</v>
      </c>
      <c r="AH26" s="350">
        <v>100.4</v>
      </c>
      <c r="AI26" s="350">
        <v>100.2</v>
      </c>
      <c r="AJ26" s="350">
        <v>100.1</v>
      </c>
      <c r="AK26" s="350">
        <v>100</v>
      </c>
      <c r="AL26" s="350">
        <v>99.9</v>
      </c>
      <c r="AM26" s="350">
        <v>99.8</v>
      </c>
      <c r="AN26" s="350">
        <v>99.6</v>
      </c>
      <c r="AO26" s="350">
        <v>99.5</v>
      </c>
      <c r="AP26" s="350">
        <v>99.4</v>
      </c>
      <c r="AQ26" s="350">
        <v>99.3</v>
      </c>
      <c r="AR26" s="350">
        <v>99.2</v>
      </c>
      <c r="AS26" s="350">
        <v>99</v>
      </c>
      <c r="AT26" s="350">
        <v>98.9</v>
      </c>
      <c r="AU26" s="350">
        <v>98.8</v>
      </c>
    </row>
    <row r="27" spans="1:47" s="60" customFormat="1" ht="17.100000000000001" customHeight="1" thickBot="1">
      <c r="A27" s="1121"/>
      <c r="B27" s="61" t="s">
        <v>128</v>
      </c>
      <c r="C27" s="61" t="s">
        <v>127</v>
      </c>
      <c r="D27" s="61" t="s">
        <v>128</v>
      </c>
      <c r="E27" s="61" t="s">
        <v>127</v>
      </c>
      <c r="F27" s="61" t="s">
        <v>128</v>
      </c>
      <c r="G27" s="61" t="s">
        <v>127</v>
      </c>
      <c r="H27" s="61" t="s">
        <v>128</v>
      </c>
      <c r="I27" s="61" t="s">
        <v>127</v>
      </c>
      <c r="J27" s="61" t="s">
        <v>128</v>
      </c>
      <c r="K27" s="61" t="s">
        <v>127</v>
      </c>
      <c r="L27" s="61" t="s">
        <v>128</v>
      </c>
      <c r="M27" s="62" t="s">
        <v>127</v>
      </c>
      <c r="N27" s="59"/>
      <c r="O27" s="351" t="s">
        <v>96</v>
      </c>
      <c r="P27" s="351" t="s">
        <v>89</v>
      </c>
      <c r="Q27" s="350">
        <v>101.8</v>
      </c>
      <c r="R27" s="350">
        <v>101.9</v>
      </c>
      <c r="S27" s="350">
        <v>101.9</v>
      </c>
      <c r="T27" s="350">
        <v>102</v>
      </c>
      <c r="U27" s="350">
        <v>102.1</v>
      </c>
      <c r="V27" s="350">
        <v>102.1</v>
      </c>
      <c r="W27" s="350">
        <v>102.2</v>
      </c>
      <c r="X27" s="350">
        <v>102.3</v>
      </c>
      <c r="Y27" s="350">
        <v>102.4</v>
      </c>
      <c r="Z27" s="350">
        <v>102.4</v>
      </c>
      <c r="AA27" s="350">
        <v>102.5</v>
      </c>
      <c r="AB27" s="350">
        <v>102.5</v>
      </c>
      <c r="AC27" s="350">
        <v>102.5</v>
      </c>
      <c r="AD27" s="350">
        <v>102.5</v>
      </c>
      <c r="AE27" s="350">
        <v>102.5</v>
      </c>
      <c r="AF27" s="350">
        <v>102.5</v>
      </c>
      <c r="AG27" s="350">
        <v>102.4</v>
      </c>
      <c r="AH27" s="350">
        <v>102.4</v>
      </c>
      <c r="AI27" s="350">
        <v>102.4</v>
      </c>
      <c r="AJ27" s="350">
        <v>102.3</v>
      </c>
      <c r="AK27" s="350">
        <v>102.2</v>
      </c>
      <c r="AL27" s="350">
        <v>102.2</v>
      </c>
      <c r="AM27" s="350">
        <v>102.1</v>
      </c>
      <c r="AN27" s="350">
        <v>102</v>
      </c>
      <c r="AO27" s="350">
        <v>102</v>
      </c>
      <c r="AP27" s="350">
        <v>101.9</v>
      </c>
      <c r="AQ27" s="350">
        <v>101.8</v>
      </c>
      <c r="AR27" s="350">
        <v>101.7</v>
      </c>
      <c r="AS27" s="350">
        <v>101.6</v>
      </c>
      <c r="AT27" s="350">
        <v>101.5</v>
      </c>
      <c r="AU27" s="350">
        <v>101.4</v>
      </c>
    </row>
    <row r="28" spans="1:47" s="60" customFormat="1" ht="17.100000000000001" customHeight="1" thickTop="1" thickBot="1">
      <c r="A28" s="63" t="s">
        <v>126</v>
      </c>
      <c r="B28" s="64">
        <f>B4/(100+B4)</f>
        <v>0.50049950049950054</v>
      </c>
      <c r="C28" s="64">
        <f>100/(100+B4)</f>
        <v>0.49950049950049952</v>
      </c>
      <c r="D28" s="64">
        <f>D4/(100+D4)</f>
        <v>0.49899799599198397</v>
      </c>
      <c r="E28" s="64">
        <f>100/(100+D4)</f>
        <v>0.50100200400801609</v>
      </c>
      <c r="F28" s="64">
        <f>F4/(100+F4)</f>
        <v>0.49794156039763021</v>
      </c>
      <c r="G28" s="64">
        <f>100/(100+F4)</f>
        <v>0.50205843960236973</v>
      </c>
      <c r="H28" s="64">
        <f>H4/(100+H4)</f>
        <v>0.49693128081295906</v>
      </c>
      <c r="I28" s="64">
        <f>100/(100+H4)</f>
        <v>0.50306871918704099</v>
      </c>
      <c r="J28" s="64">
        <f>J4/(100+J4)</f>
        <v>0.49596774193548387</v>
      </c>
      <c r="K28" s="64">
        <f>100/(100+J4)</f>
        <v>0.50403225806451613</v>
      </c>
      <c r="L28" s="64">
        <f>L4/(100+L4)</f>
        <v>0.49494949494949503</v>
      </c>
      <c r="M28" s="65">
        <f>100/(100+L4)</f>
        <v>0.50505050505050508</v>
      </c>
      <c r="N28" s="66"/>
      <c r="O28" s="351" t="s">
        <v>95</v>
      </c>
      <c r="P28" s="351" t="s">
        <v>89</v>
      </c>
      <c r="Q28" s="350">
        <v>104</v>
      </c>
      <c r="R28" s="350">
        <v>104.5</v>
      </c>
      <c r="S28" s="350">
        <v>104.3</v>
      </c>
      <c r="T28" s="350">
        <v>104.5</v>
      </c>
      <c r="U28" s="350">
        <v>104.7</v>
      </c>
      <c r="V28" s="350">
        <v>104.5</v>
      </c>
      <c r="W28" s="350">
        <v>104.3</v>
      </c>
      <c r="X28" s="350">
        <v>104.1</v>
      </c>
      <c r="Y28" s="350">
        <v>104</v>
      </c>
      <c r="Z28" s="350">
        <v>103.9</v>
      </c>
      <c r="AA28" s="350">
        <v>103.8</v>
      </c>
      <c r="AB28" s="350">
        <v>103.8</v>
      </c>
      <c r="AC28" s="350">
        <v>103.8</v>
      </c>
      <c r="AD28" s="350">
        <v>103.7</v>
      </c>
      <c r="AE28" s="350">
        <v>103.7</v>
      </c>
      <c r="AF28" s="350">
        <v>103.7</v>
      </c>
      <c r="AG28" s="350">
        <v>103.6</v>
      </c>
      <c r="AH28" s="350">
        <v>103.6</v>
      </c>
      <c r="AI28" s="350">
        <v>103.5</v>
      </c>
      <c r="AJ28" s="350">
        <v>103.4</v>
      </c>
      <c r="AK28" s="350">
        <v>103.3</v>
      </c>
      <c r="AL28" s="350">
        <v>103.2</v>
      </c>
      <c r="AM28" s="350">
        <v>103.1</v>
      </c>
      <c r="AN28" s="350">
        <v>103</v>
      </c>
      <c r="AO28" s="350">
        <v>102.9</v>
      </c>
      <c r="AP28" s="350">
        <v>102.8</v>
      </c>
      <c r="AQ28" s="350">
        <v>102.6</v>
      </c>
      <c r="AR28" s="350">
        <v>102.5</v>
      </c>
      <c r="AS28" s="350">
        <v>102.3</v>
      </c>
      <c r="AT28" s="350">
        <v>102.1</v>
      </c>
      <c r="AU28" s="350">
        <v>102</v>
      </c>
    </row>
    <row r="29" spans="1:47" s="60" customFormat="1" ht="17.100000000000001" customHeight="1" thickTop="1">
      <c r="A29" s="67" t="s">
        <v>134</v>
      </c>
      <c r="B29" s="305">
        <f>B16/(100+B16)</f>
        <v>0.51100244498777503</v>
      </c>
      <c r="C29" s="305">
        <f>100/(100+B16)</f>
        <v>0.48899755501222492</v>
      </c>
      <c r="D29" s="357">
        <f>D16/(100+D16)</f>
        <v>0.50985197529653947</v>
      </c>
      <c r="E29" s="357">
        <f>100/(100+D16)</f>
        <v>0.49014802470346047</v>
      </c>
      <c r="F29" s="357">
        <f>F16/(100+F16)</f>
        <v>0.50917836458231081</v>
      </c>
      <c r="G29" s="357">
        <f>100/(100+F16)</f>
        <v>0.49082163541768919</v>
      </c>
      <c r="H29" s="357">
        <f>H16/(100+H16)</f>
        <v>0.50855120896402595</v>
      </c>
      <c r="I29" s="357">
        <f>100/(100+H16)</f>
        <v>0.49144879103597405</v>
      </c>
      <c r="J29" s="357">
        <f>J16/(100+J16)</f>
        <v>0.5073891625615764</v>
      </c>
      <c r="K29" s="357">
        <f>100/(100+J16)</f>
        <v>0.49261083743842365</v>
      </c>
      <c r="L29" s="357">
        <f>L16/(100+L16)</f>
        <v>0.50568462679189319</v>
      </c>
      <c r="M29" s="358">
        <f>100/(100+L16)</f>
        <v>0.49431537320810676</v>
      </c>
      <c r="N29" s="68"/>
      <c r="O29" s="351" t="s">
        <v>94</v>
      </c>
      <c r="P29" s="351" t="s">
        <v>89</v>
      </c>
      <c r="Q29" s="350">
        <v>97.2</v>
      </c>
      <c r="R29" s="350">
        <v>97.5</v>
      </c>
      <c r="S29" s="350">
        <v>97.5</v>
      </c>
      <c r="T29" s="350">
        <v>97.4</v>
      </c>
      <c r="U29" s="350">
        <v>97.3</v>
      </c>
      <c r="V29" s="350">
        <v>97.3</v>
      </c>
      <c r="W29" s="350">
        <v>97.4</v>
      </c>
      <c r="X29" s="350">
        <v>97.5</v>
      </c>
      <c r="Y29" s="350">
        <v>97.6</v>
      </c>
      <c r="Z29" s="350">
        <v>97.6</v>
      </c>
      <c r="AA29" s="350">
        <v>97.7</v>
      </c>
      <c r="AB29" s="350">
        <v>97.8</v>
      </c>
      <c r="AC29" s="350">
        <v>97.8</v>
      </c>
      <c r="AD29" s="350">
        <v>97.9</v>
      </c>
      <c r="AE29" s="350">
        <v>97.9</v>
      </c>
      <c r="AF29" s="350">
        <v>97.9</v>
      </c>
      <c r="AG29" s="350">
        <v>98</v>
      </c>
      <c r="AH29" s="350">
        <v>98</v>
      </c>
      <c r="AI29" s="350">
        <v>98</v>
      </c>
      <c r="AJ29" s="350">
        <v>98</v>
      </c>
      <c r="AK29" s="350">
        <v>98</v>
      </c>
      <c r="AL29" s="350">
        <v>98</v>
      </c>
      <c r="AM29" s="350">
        <v>98</v>
      </c>
      <c r="AN29" s="350">
        <v>97.9</v>
      </c>
      <c r="AO29" s="350">
        <v>97.9</v>
      </c>
      <c r="AP29" s="350">
        <v>97.8</v>
      </c>
      <c r="AQ29" s="350">
        <v>97.7</v>
      </c>
      <c r="AR29" s="350">
        <v>97.6</v>
      </c>
      <c r="AS29" s="350">
        <v>97.5</v>
      </c>
      <c r="AT29" s="350">
        <v>97.4</v>
      </c>
      <c r="AU29" s="350">
        <v>97.3</v>
      </c>
    </row>
    <row r="30" spans="1:47">
      <c r="O30" s="351" t="s">
        <v>93</v>
      </c>
      <c r="P30" s="351" t="s">
        <v>89</v>
      </c>
      <c r="Q30" s="350">
        <v>97.3</v>
      </c>
      <c r="R30" s="350">
        <v>97.5</v>
      </c>
      <c r="S30" s="350">
        <v>97.6</v>
      </c>
      <c r="T30" s="350">
        <v>97.6</v>
      </c>
      <c r="U30" s="350">
        <v>97.5</v>
      </c>
      <c r="V30" s="350">
        <v>97.8</v>
      </c>
      <c r="W30" s="350">
        <v>98.1</v>
      </c>
      <c r="X30" s="350">
        <v>98.4</v>
      </c>
      <c r="Y30" s="350">
        <v>98.6</v>
      </c>
      <c r="Z30" s="350">
        <v>98.9</v>
      </c>
      <c r="AA30" s="350">
        <v>99.1</v>
      </c>
      <c r="AB30" s="350">
        <v>99.3</v>
      </c>
      <c r="AC30" s="350">
        <v>99.5</v>
      </c>
      <c r="AD30" s="350">
        <v>99.6</v>
      </c>
      <c r="AE30" s="350">
        <v>99.8</v>
      </c>
      <c r="AF30" s="350">
        <v>99.9</v>
      </c>
      <c r="AG30" s="350">
        <v>100</v>
      </c>
      <c r="AH30" s="350">
        <v>100.1</v>
      </c>
      <c r="AI30" s="350">
        <v>100.2</v>
      </c>
      <c r="AJ30" s="350">
        <v>100.2</v>
      </c>
      <c r="AK30" s="350">
        <v>100.3</v>
      </c>
      <c r="AL30" s="350">
        <v>100.3</v>
      </c>
      <c r="AM30" s="350">
        <v>100.3</v>
      </c>
      <c r="AN30" s="350">
        <v>100.3</v>
      </c>
      <c r="AO30" s="350">
        <v>100.3</v>
      </c>
      <c r="AP30" s="350">
        <v>100.3</v>
      </c>
      <c r="AQ30" s="350">
        <v>100.2</v>
      </c>
      <c r="AR30" s="350">
        <v>100.1</v>
      </c>
      <c r="AS30" s="350">
        <v>100.1</v>
      </c>
      <c r="AT30" s="350">
        <v>100</v>
      </c>
      <c r="AU30" s="350">
        <v>99.9</v>
      </c>
    </row>
    <row r="31" spans="1:47">
      <c r="O31" s="351" t="s">
        <v>92</v>
      </c>
      <c r="P31" s="351" t="s">
        <v>89</v>
      </c>
      <c r="Q31" s="350">
        <v>100.2</v>
      </c>
      <c r="R31" s="350">
        <v>100.4</v>
      </c>
      <c r="S31" s="350">
        <v>100.4</v>
      </c>
      <c r="T31" s="350">
        <v>100.5</v>
      </c>
      <c r="U31" s="350">
        <v>100.4</v>
      </c>
      <c r="V31" s="350">
        <v>100.4</v>
      </c>
      <c r="W31" s="350">
        <v>100.4</v>
      </c>
      <c r="X31" s="350">
        <v>100.5</v>
      </c>
      <c r="Y31" s="350">
        <v>100.5</v>
      </c>
      <c r="Z31" s="350">
        <v>100.5</v>
      </c>
      <c r="AA31" s="350">
        <v>100.5</v>
      </c>
      <c r="AB31" s="350">
        <v>100.6</v>
      </c>
      <c r="AC31" s="350">
        <v>100.6</v>
      </c>
      <c r="AD31" s="350">
        <v>100.6</v>
      </c>
      <c r="AE31" s="350">
        <v>100.6</v>
      </c>
      <c r="AF31" s="350">
        <v>100.6</v>
      </c>
      <c r="AG31" s="350">
        <v>100.6</v>
      </c>
      <c r="AH31" s="350">
        <v>100.6</v>
      </c>
      <c r="AI31" s="350">
        <v>100.6</v>
      </c>
      <c r="AJ31" s="350">
        <v>100.6</v>
      </c>
      <c r="AK31" s="350">
        <v>100.5</v>
      </c>
      <c r="AL31" s="350">
        <v>100.5</v>
      </c>
      <c r="AM31" s="350">
        <v>100.5</v>
      </c>
      <c r="AN31" s="350">
        <v>100.4</v>
      </c>
      <c r="AO31" s="350">
        <v>100.4</v>
      </c>
      <c r="AP31" s="350">
        <v>100.3</v>
      </c>
      <c r="AQ31" s="350">
        <v>100.2</v>
      </c>
      <c r="AR31" s="350">
        <v>100.1</v>
      </c>
      <c r="AS31" s="350">
        <v>100</v>
      </c>
      <c r="AT31" s="350">
        <v>99.9</v>
      </c>
      <c r="AU31" s="350">
        <v>99.8</v>
      </c>
    </row>
    <row r="32" spans="1:47">
      <c r="O32" s="351" t="s">
        <v>91</v>
      </c>
      <c r="P32" s="351" t="s">
        <v>89</v>
      </c>
      <c r="Q32" s="350">
        <v>103.3</v>
      </c>
      <c r="R32" s="350">
        <v>103.6</v>
      </c>
      <c r="S32" s="350">
        <v>103.6</v>
      </c>
      <c r="T32" s="350">
        <v>103.6</v>
      </c>
      <c r="U32" s="350">
        <v>103.7</v>
      </c>
      <c r="V32" s="350">
        <v>103.4</v>
      </c>
      <c r="W32" s="350">
        <v>103.2</v>
      </c>
      <c r="X32" s="350">
        <v>103</v>
      </c>
      <c r="Y32" s="350">
        <v>102.8</v>
      </c>
      <c r="Z32" s="350">
        <v>102.7</v>
      </c>
      <c r="AA32" s="350">
        <v>102.5</v>
      </c>
      <c r="AB32" s="350">
        <v>102.4</v>
      </c>
      <c r="AC32" s="350">
        <v>102.3</v>
      </c>
      <c r="AD32" s="350">
        <v>102.2</v>
      </c>
      <c r="AE32" s="350">
        <v>102</v>
      </c>
      <c r="AF32" s="350">
        <v>101.9</v>
      </c>
      <c r="AG32" s="350">
        <v>101.8</v>
      </c>
      <c r="AH32" s="350">
        <v>101.7</v>
      </c>
      <c r="AI32" s="350">
        <v>101.6</v>
      </c>
      <c r="AJ32" s="350">
        <v>101.5</v>
      </c>
      <c r="AK32" s="350">
        <v>101.4</v>
      </c>
      <c r="AL32" s="350">
        <v>101.3</v>
      </c>
      <c r="AM32" s="350">
        <v>101.2</v>
      </c>
      <c r="AN32" s="350">
        <v>101.1</v>
      </c>
      <c r="AO32" s="350">
        <v>101</v>
      </c>
      <c r="AP32" s="350">
        <v>100.9</v>
      </c>
      <c r="AQ32" s="350">
        <v>100.7</v>
      </c>
      <c r="AR32" s="350">
        <v>100.6</v>
      </c>
      <c r="AS32" s="350">
        <v>100.5</v>
      </c>
      <c r="AT32" s="350">
        <v>100.3</v>
      </c>
      <c r="AU32" s="350">
        <v>100.1</v>
      </c>
    </row>
    <row r="33" spans="15:47">
      <c r="O33" s="352" t="s">
        <v>90</v>
      </c>
      <c r="P33" s="352" t="s">
        <v>89</v>
      </c>
      <c r="Q33" s="350">
        <v>100</v>
      </c>
      <c r="R33" s="350">
        <v>100.3</v>
      </c>
      <c r="S33" s="350">
        <v>100.5</v>
      </c>
      <c r="T33" s="350">
        <v>100.7</v>
      </c>
      <c r="U33" s="350">
        <v>100.9</v>
      </c>
      <c r="V33" s="350">
        <v>100.8</v>
      </c>
      <c r="W33" s="350">
        <v>100.7</v>
      </c>
      <c r="X33" s="350">
        <v>100.6</v>
      </c>
      <c r="Y33" s="350">
        <v>100.5</v>
      </c>
      <c r="Z33" s="350">
        <v>100.4</v>
      </c>
      <c r="AA33" s="350">
        <v>100.3</v>
      </c>
      <c r="AB33" s="350">
        <v>100.1</v>
      </c>
      <c r="AC33" s="350">
        <v>100</v>
      </c>
      <c r="AD33" s="350">
        <v>99.9</v>
      </c>
      <c r="AE33" s="350">
        <v>99.7</v>
      </c>
      <c r="AF33" s="350">
        <v>99.6</v>
      </c>
      <c r="AG33" s="350">
        <v>99.5</v>
      </c>
      <c r="AH33" s="350">
        <v>99.4</v>
      </c>
      <c r="AI33" s="350">
        <v>99.3</v>
      </c>
      <c r="AJ33" s="350">
        <v>99.1</v>
      </c>
      <c r="AK33" s="350">
        <v>99</v>
      </c>
      <c r="AL33" s="350">
        <v>98.9</v>
      </c>
      <c r="AM33" s="350">
        <v>98.8</v>
      </c>
      <c r="AN33" s="350">
        <v>98.7</v>
      </c>
      <c r="AO33" s="350">
        <v>98.6</v>
      </c>
      <c r="AP33" s="350">
        <v>98.5</v>
      </c>
      <c r="AQ33" s="350">
        <v>98.3</v>
      </c>
      <c r="AR33" s="350">
        <v>98.2</v>
      </c>
      <c r="AS33" s="350">
        <v>98.1</v>
      </c>
      <c r="AT33" s="350">
        <v>97.9</v>
      </c>
      <c r="AU33" s="350">
        <v>97.8</v>
      </c>
    </row>
    <row r="34" spans="15:47"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</row>
    <row r="35" spans="15:47">
      <c r="O35" s="51" t="s">
        <v>124</v>
      </c>
      <c r="P35" s="51" t="s">
        <v>123</v>
      </c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</row>
    <row r="36" spans="15:47">
      <c r="O36" s="51" t="s">
        <v>122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</row>
    <row r="37" spans="15:47">
      <c r="O37" s="51" t="s">
        <v>121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</row>
    <row r="38" spans="15:47">
      <c r="O38" s="51" t="s">
        <v>120</v>
      </c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</row>
    <row r="39" spans="15:47">
      <c r="O39" s="51" t="s">
        <v>119</v>
      </c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</row>
    <row r="40" spans="15:47">
      <c r="O40" s="51" t="s">
        <v>118</v>
      </c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</row>
    <row r="41" spans="15:47">
      <c r="O41" s="51" t="s">
        <v>117</v>
      </c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</row>
    <row r="42" spans="15:47">
      <c r="O42" s="51" t="s">
        <v>116</v>
      </c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</row>
    <row r="43" spans="15:47">
      <c r="O43" s="51" t="s">
        <v>115</v>
      </c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</row>
    <row r="44" spans="15:47">
      <c r="O44" s="51" t="s">
        <v>114</v>
      </c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</row>
    <row r="45" spans="15:47">
      <c r="O45" s="51" t="s">
        <v>113</v>
      </c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</row>
    <row r="46" spans="15:47"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</row>
    <row r="47" spans="15:47">
      <c r="O47" s="353"/>
      <c r="P47" s="353"/>
      <c r="Q47" s="353" t="s">
        <v>112</v>
      </c>
      <c r="R47" s="353" t="s">
        <v>111</v>
      </c>
      <c r="S47" s="353" t="s">
        <v>110</v>
      </c>
      <c r="T47" s="353" t="s">
        <v>109</v>
      </c>
      <c r="U47" s="353" t="s">
        <v>108</v>
      </c>
      <c r="V47" s="353" t="s">
        <v>107</v>
      </c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</row>
    <row r="48" spans="15:47">
      <c r="O48" s="353" t="s">
        <v>106</v>
      </c>
      <c r="P48" s="353" t="s">
        <v>89</v>
      </c>
      <c r="Q48" s="356">
        <f t="shared" ref="Q48" si="12">AVERAGE(R16:V16)</f>
        <v>100.2</v>
      </c>
      <c r="R48" s="356">
        <f t="shared" ref="R48" si="13">AVERAGE(W16:AA16)</f>
        <v>99.6</v>
      </c>
      <c r="S48" s="356">
        <f t="shared" ref="S48" si="14">AVERAGE(AB16:AF16)</f>
        <v>99.179999999999993</v>
      </c>
      <c r="T48" s="356">
        <f t="shared" ref="T48" si="15">AVERAGE(AG16:AK16)</f>
        <v>98.78</v>
      </c>
      <c r="U48" s="356">
        <f t="shared" ref="U48" si="16">AVERAGE(AL16:AP16)</f>
        <v>98.4</v>
      </c>
      <c r="V48" s="356">
        <f t="shared" ref="V48" si="17">AVERAGE(AQ16:AU16)</f>
        <v>98.000000000000014</v>
      </c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</row>
    <row r="49" spans="15:47">
      <c r="O49" s="353" t="s">
        <v>105</v>
      </c>
      <c r="P49" s="353" t="s">
        <v>89</v>
      </c>
      <c r="Q49" s="356">
        <f t="shared" ref="Q49:Q65" si="18">AVERAGE(R17:V17)</f>
        <v>96.52000000000001</v>
      </c>
      <c r="R49" s="356">
        <f t="shared" ref="R49:R65" si="19">AVERAGE(W17:AA17)</f>
        <v>95.439999999999984</v>
      </c>
      <c r="S49" s="356">
        <f t="shared" ref="S49:S65" si="20">AVERAGE(AB17:AF17)</f>
        <v>94.740000000000009</v>
      </c>
      <c r="T49" s="356">
        <f t="shared" ref="T49:T65" si="21">AVERAGE(AG17:AK17)</f>
        <v>94.2</v>
      </c>
      <c r="U49" s="356">
        <f t="shared" ref="U49:U65" si="22">AVERAGE(AL17:AP17)</f>
        <v>93.7</v>
      </c>
      <c r="V49" s="356">
        <f t="shared" ref="V49:V65" si="23">AVERAGE(AQ17:AU17)</f>
        <v>93.2</v>
      </c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</row>
    <row r="50" spans="15:47">
      <c r="O50" s="353" t="s">
        <v>104</v>
      </c>
      <c r="P50" s="353" t="s">
        <v>89</v>
      </c>
      <c r="Q50" s="356">
        <f t="shared" si="18"/>
        <v>96.88</v>
      </c>
      <c r="R50" s="356">
        <f t="shared" si="19"/>
        <v>95.96</v>
      </c>
      <c r="S50" s="356">
        <f t="shared" si="20"/>
        <v>95.179999999999993</v>
      </c>
      <c r="T50" s="356">
        <f t="shared" si="21"/>
        <v>94.52</v>
      </c>
      <c r="U50" s="356">
        <f t="shared" si="22"/>
        <v>94.12</v>
      </c>
      <c r="V50" s="356">
        <f t="shared" si="23"/>
        <v>93.820000000000007</v>
      </c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</row>
    <row r="51" spans="15:47">
      <c r="O51" s="353" t="s">
        <v>103</v>
      </c>
      <c r="P51" s="353" t="s">
        <v>89</v>
      </c>
      <c r="Q51" s="356">
        <f t="shared" si="18"/>
        <v>98.7</v>
      </c>
      <c r="R51" s="356">
        <f t="shared" si="19"/>
        <v>97.559999999999988</v>
      </c>
      <c r="S51" s="356">
        <f t="shared" si="20"/>
        <v>96.56</v>
      </c>
      <c r="T51" s="356">
        <f t="shared" si="21"/>
        <v>95.839999999999989</v>
      </c>
      <c r="U51" s="356">
        <f t="shared" si="22"/>
        <v>95.38</v>
      </c>
      <c r="V51" s="356">
        <f t="shared" si="23"/>
        <v>95.02000000000001</v>
      </c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</row>
    <row r="52" spans="15:47">
      <c r="O52" s="353" t="s">
        <v>102</v>
      </c>
      <c r="P52" s="353" t="s">
        <v>89</v>
      </c>
      <c r="Q52" s="356">
        <f t="shared" si="18"/>
        <v>101.66</v>
      </c>
      <c r="R52" s="356">
        <f t="shared" si="19"/>
        <v>100.72</v>
      </c>
      <c r="S52" s="356">
        <f t="shared" si="20"/>
        <v>99.92</v>
      </c>
      <c r="T52" s="356">
        <f t="shared" si="21"/>
        <v>99.240000000000009</v>
      </c>
      <c r="U52" s="356">
        <f t="shared" si="22"/>
        <v>98.580000000000013</v>
      </c>
      <c r="V52" s="356">
        <f t="shared" si="23"/>
        <v>97.960000000000008</v>
      </c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</row>
    <row r="53" spans="15:47">
      <c r="O53" s="353" t="s">
        <v>101</v>
      </c>
      <c r="P53" s="353" t="s">
        <v>89</v>
      </c>
      <c r="Q53" s="356">
        <f t="shared" si="18"/>
        <v>98.7</v>
      </c>
      <c r="R53" s="356">
        <f t="shared" si="19"/>
        <v>98.460000000000008</v>
      </c>
      <c r="S53" s="356">
        <f t="shared" si="20"/>
        <v>98.179999999999993</v>
      </c>
      <c r="T53" s="356">
        <f t="shared" si="21"/>
        <v>97.97999999999999</v>
      </c>
      <c r="U53" s="356">
        <f t="shared" si="22"/>
        <v>97.9</v>
      </c>
      <c r="V53" s="356">
        <f t="shared" si="23"/>
        <v>97.9</v>
      </c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</row>
    <row r="54" spans="15:47">
      <c r="O54" s="353" t="s">
        <v>100</v>
      </c>
      <c r="P54" s="353" t="s">
        <v>89</v>
      </c>
      <c r="Q54" s="356">
        <f t="shared" si="18"/>
        <v>100.8</v>
      </c>
      <c r="R54" s="356">
        <f t="shared" si="19"/>
        <v>100.3</v>
      </c>
      <c r="S54" s="356">
        <f t="shared" si="20"/>
        <v>99.9</v>
      </c>
      <c r="T54" s="356">
        <f t="shared" si="21"/>
        <v>99.54</v>
      </c>
      <c r="U54" s="356">
        <f t="shared" si="22"/>
        <v>99.239999999999981</v>
      </c>
      <c r="V54" s="356">
        <f t="shared" si="23"/>
        <v>98.919999999999987</v>
      </c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</row>
    <row r="55" spans="15:47">
      <c r="O55" s="353" t="s">
        <v>99</v>
      </c>
      <c r="P55" s="353" t="s">
        <v>89</v>
      </c>
      <c r="Q55" s="356">
        <f t="shared" si="18"/>
        <v>108.48000000000002</v>
      </c>
      <c r="R55" s="356">
        <f t="shared" si="19"/>
        <v>108.5</v>
      </c>
      <c r="S55" s="356">
        <f t="shared" si="20"/>
        <v>107.94000000000001</v>
      </c>
      <c r="T55" s="356">
        <f t="shared" si="21"/>
        <v>107.36000000000001</v>
      </c>
      <c r="U55" s="356">
        <f t="shared" si="22"/>
        <v>107.05999999999999</v>
      </c>
      <c r="V55" s="356">
        <f t="shared" si="23"/>
        <v>106.9</v>
      </c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</row>
    <row r="56" spans="15:47" s="283" customFormat="1">
      <c r="O56" s="353" t="s">
        <v>663</v>
      </c>
      <c r="P56" s="353" t="s">
        <v>89</v>
      </c>
      <c r="Q56" s="356">
        <f t="shared" si="18"/>
        <v>110.075</v>
      </c>
      <c r="R56" s="356">
        <f t="shared" si="19"/>
        <v>105.85999999999999</v>
      </c>
      <c r="S56" s="356">
        <f t="shared" si="20"/>
        <v>104.35999999999999</v>
      </c>
      <c r="T56" s="356">
        <f t="shared" si="21"/>
        <v>103.55999999999999</v>
      </c>
      <c r="U56" s="356">
        <f t="shared" si="22"/>
        <v>103</v>
      </c>
      <c r="V56" s="356">
        <f t="shared" si="23"/>
        <v>102.66000000000001</v>
      </c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</row>
    <row r="57" spans="15:47">
      <c r="O57" s="353" t="s">
        <v>98</v>
      </c>
      <c r="P57" s="353" t="s">
        <v>89</v>
      </c>
      <c r="Q57" s="356">
        <f t="shared" si="18"/>
        <v>102.08000000000001</v>
      </c>
      <c r="R57" s="356">
        <f t="shared" si="19"/>
        <v>101.33999999999999</v>
      </c>
      <c r="S57" s="356">
        <f t="shared" si="20"/>
        <v>100.72</v>
      </c>
      <c r="T57" s="356">
        <f t="shared" si="21"/>
        <v>100.22</v>
      </c>
      <c r="U57" s="356">
        <f t="shared" si="22"/>
        <v>99.8</v>
      </c>
      <c r="V57" s="356">
        <f t="shared" si="23"/>
        <v>99.4</v>
      </c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</row>
    <row r="58" spans="15:47">
      <c r="O58" s="353" t="s">
        <v>97</v>
      </c>
      <c r="P58" s="353" t="s">
        <v>89</v>
      </c>
      <c r="Q58" s="356">
        <f t="shared" si="18"/>
        <v>102.30000000000001</v>
      </c>
      <c r="R58" s="356">
        <f t="shared" si="19"/>
        <v>101.67999999999999</v>
      </c>
      <c r="S58" s="356">
        <f t="shared" si="20"/>
        <v>100.96000000000001</v>
      </c>
      <c r="T58" s="356">
        <f t="shared" si="21"/>
        <v>100.24000000000001</v>
      </c>
      <c r="U58" s="356">
        <f t="shared" si="22"/>
        <v>99.639999999999986</v>
      </c>
      <c r="V58" s="356">
        <f t="shared" si="23"/>
        <v>99.039999999999992</v>
      </c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</row>
    <row r="59" spans="15:47">
      <c r="O59" s="353" t="s">
        <v>96</v>
      </c>
      <c r="P59" s="353" t="s">
        <v>89</v>
      </c>
      <c r="Q59" s="356">
        <f t="shared" si="18"/>
        <v>102</v>
      </c>
      <c r="R59" s="356">
        <f t="shared" si="19"/>
        <v>102.35999999999999</v>
      </c>
      <c r="S59" s="356">
        <f t="shared" si="20"/>
        <v>102.5</v>
      </c>
      <c r="T59" s="356">
        <f t="shared" si="21"/>
        <v>102.34</v>
      </c>
      <c r="U59" s="356">
        <f t="shared" si="22"/>
        <v>102.04</v>
      </c>
      <c r="V59" s="356">
        <f t="shared" si="23"/>
        <v>101.6</v>
      </c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</row>
    <row r="60" spans="15:47">
      <c r="O60" s="353" t="s">
        <v>95</v>
      </c>
      <c r="P60" s="353" t="s">
        <v>89</v>
      </c>
      <c r="Q60" s="356">
        <f t="shared" si="18"/>
        <v>104.5</v>
      </c>
      <c r="R60" s="356">
        <f t="shared" si="19"/>
        <v>104.01999999999998</v>
      </c>
      <c r="S60" s="356">
        <f t="shared" si="20"/>
        <v>103.74000000000001</v>
      </c>
      <c r="T60" s="356">
        <f t="shared" si="21"/>
        <v>103.47999999999999</v>
      </c>
      <c r="U60" s="356">
        <f t="shared" si="22"/>
        <v>103</v>
      </c>
      <c r="V60" s="356">
        <f t="shared" si="23"/>
        <v>102.3</v>
      </c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</row>
    <row r="61" spans="15:47">
      <c r="O61" s="353" t="s">
        <v>94</v>
      </c>
      <c r="P61" s="353" t="s">
        <v>89</v>
      </c>
      <c r="Q61" s="356">
        <f t="shared" si="18"/>
        <v>97.4</v>
      </c>
      <c r="R61" s="356">
        <f t="shared" si="19"/>
        <v>97.56</v>
      </c>
      <c r="S61" s="356">
        <f t="shared" si="20"/>
        <v>97.859999999999985</v>
      </c>
      <c r="T61" s="356">
        <f t="shared" si="21"/>
        <v>98</v>
      </c>
      <c r="U61" s="356">
        <f t="shared" si="22"/>
        <v>97.919999999999987</v>
      </c>
      <c r="V61" s="356">
        <f t="shared" si="23"/>
        <v>97.500000000000014</v>
      </c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</row>
    <row r="62" spans="15:47">
      <c r="O62" s="353" t="s">
        <v>93</v>
      </c>
      <c r="P62" s="353" t="s">
        <v>89</v>
      </c>
      <c r="Q62" s="356">
        <f t="shared" si="18"/>
        <v>97.6</v>
      </c>
      <c r="R62" s="356">
        <f t="shared" si="19"/>
        <v>98.62</v>
      </c>
      <c r="S62" s="356">
        <f t="shared" si="20"/>
        <v>99.62</v>
      </c>
      <c r="T62" s="356">
        <f t="shared" si="21"/>
        <v>100.16</v>
      </c>
      <c r="U62" s="356">
        <f t="shared" si="22"/>
        <v>100.3</v>
      </c>
      <c r="V62" s="356">
        <f t="shared" si="23"/>
        <v>100.05999999999999</v>
      </c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</row>
    <row r="63" spans="15:47">
      <c r="O63" s="353" t="s">
        <v>92</v>
      </c>
      <c r="P63" s="353" t="s">
        <v>89</v>
      </c>
      <c r="Q63" s="356">
        <f t="shared" si="18"/>
        <v>100.42</v>
      </c>
      <c r="R63" s="356">
        <f t="shared" si="19"/>
        <v>100.47999999999999</v>
      </c>
      <c r="S63" s="356">
        <f t="shared" si="20"/>
        <v>100.6</v>
      </c>
      <c r="T63" s="356">
        <f t="shared" si="21"/>
        <v>100.58</v>
      </c>
      <c r="U63" s="356">
        <f t="shared" si="22"/>
        <v>100.41999999999999</v>
      </c>
      <c r="V63" s="356">
        <f t="shared" si="23"/>
        <v>100.00000000000001</v>
      </c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</row>
    <row r="64" spans="15:47">
      <c r="O64" s="353" t="s">
        <v>91</v>
      </c>
      <c r="P64" s="353" t="s">
        <v>89</v>
      </c>
      <c r="Q64" s="356">
        <f t="shared" si="18"/>
        <v>103.58</v>
      </c>
      <c r="R64" s="356">
        <f t="shared" si="19"/>
        <v>102.84</v>
      </c>
      <c r="S64" s="356">
        <f t="shared" si="20"/>
        <v>102.16</v>
      </c>
      <c r="T64" s="356">
        <f t="shared" si="21"/>
        <v>101.6</v>
      </c>
      <c r="U64" s="356">
        <f t="shared" si="22"/>
        <v>101.1</v>
      </c>
      <c r="V64" s="356">
        <f t="shared" si="23"/>
        <v>100.44000000000001</v>
      </c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</row>
    <row r="65" spans="15:47">
      <c r="O65" s="353" t="s">
        <v>90</v>
      </c>
      <c r="P65" s="353" t="s">
        <v>89</v>
      </c>
      <c r="Q65" s="356">
        <f t="shared" si="18"/>
        <v>100.64</v>
      </c>
      <c r="R65" s="356">
        <f t="shared" si="19"/>
        <v>100.50000000000001</v>
      </c>
      <c r="S65" s="356">
        <f t="shared" si="20"/>
        <v>99.859999999999985</v>
      </c>
      <c r="T65" s="356">
        <f t="shared" si="21"/>
        <v>99.259999999999991</v>
      </c>
      <c r="U65" s="356">
        <f t="shared" si="22"/>
        <v>98.7</v>
      </c>
      <c r="V65" s="356">
        <f t="shared" si="23"/>
        <v>98.06</v>
      </c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</row>
  </sheetData>
  <mergeCells count="123">
    <mergeCell ref="H12:I12"/>
    <mergeCell ref="J12:K12"/>
    <mergeCell ref="L12:M1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J16:K16"/>
    <mergeCell ref="L16:M16"/>
    <mergeCell ref="B15:C15"/>
    <mergeCell ref="D15:E15"/>
    <mergeCell ref="F15:G15"/>
    <mergeCell ref="H15:I15"/>
    <mergeCell ref="J15:K15"/>
    <mergeCell ref="L15:M15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L6:M6"/>
    <mergeCell ref="K2:M2"/>
    <mergeCell ref="A22:M23"/>
    <mergeCell ref="B6:C6"/>
    <mergeCell ref="D6:E6"/>
    <mergeCell ref="B7:C7"/>
    <mergeCell ref="D7:E7"/>
    <mergeCell ref="F7:G7"/>
    <mergeCell ref="H7:I7"/>
    <mergeCell ref="J7:K7"/>
    <mergeCell ref="B3:C3"/>
    <mergeCell ref="D3:E3"/>
    <mergeCell ref="J3:K3"/>
    <mergeCell ref="L3:M3"/>
    <mergeCell ref="F10:G10"/>
    <mergeCell ref="H3:I3"/>
    <mergeCell ref="H4:I4"/>
    <mergeCell ref="H10:I10"/>
    <mergeCell ref="F6:G6"/>
    <mergeCell ref="B14:C14"/>
    <mergeCell ref="D14:E14"/>
    <mergeCell ref="F14:G14"/>
    <mergeCell ref="H14:I14"/>
    <mergeCell ref="J14:K14"/>
    <mergeCell ref="J9:K9"/>
    <mergeCell ref="D9:E9"/>
    <mergeCell ref="F9:G9"/>
    <mergeCell ref="H9:I9"/>
    <mergeCell ref="B8:C8"/>
    <mergeCell ref="D8:E8"/>
    <mergeCell ref="F8:G8"/>
    <mergeCell ref="J8:K8"/>
    <mergeCell ref="L8:M8"/>
    <mergeCell ref="B9:C9"/>
    <mergeCell ref="J13:K13"/>
    <mergeCell ref="L13:M13"/>
    <mergeCell ref="B11:C11"/>
    <mergeCell ref="D11:E11"/>
    <mergeCell ref="F11:G11"/>
    <mergeCell ref="H11:I11"/>
    <mergeCell ref="J11:K11"/>
    <mergeCell ref="L11:M11"/>
    <mergeCell ref="A26:A27"/>
    <mergeCell ref="B26:C26"/>
    <mergeCell ref="D26:E26"/>
    <mergeCell ref="F26:G26"/>
    <mergeCell ref="J26:K26"/>
    <mergeCell ref="L26:M26"/>
    <mergeCell ref="H26:I26"/>
    <mergeCell ref="D13:E13"/>
    <mergeCell ref="F13:G13"/>
    <mergeCell ref="H13:I13"/>
    <mergeCell ref="L14:M14"/>
    <mergeCell ref="B13:C13"/>
    <mergeCell ref="B16:C16"/>
    <mergeCell ref="D16:E16"/>
    <mergeCell ref="F16:G16"/>
    <mergeCell ref="H16:I16"/>
    <mergeCell ref="F5:G5"/>
    <mergeCell ref="H5:I5"/>
    <mergeCell ref="L4:M4"/>
    <mergeCell ref="J5:K5"/>
    <mergeCell ref="L5:M5"/>
    <mergeCell ref="H6:I6"/>
    <mergeCell ref="F3:G3"/>
    <mergeCell ref="L7:M7"/>
    <mergeCell ref="B12:C12"/>
    <mergeCell ref="D12:E12"/>
    <mergeCell ref="F12:G12"/>
    <mergeCell ref="B4:C4"/>
    <mergeCell ref="B10:C10"/>
    <mergeCell ref="D4:E4"/>
    <mergeCell ref="D10:E10"/>
    <mergeCell ref="B5:C5"/>
    <mergeCell ref="D5:E5"/>
    <mergeCell ref="F4:G4"/>
    <mergeCell ref="L10:M10"/>
    <mergeCell ref="J4:K4"/>
    <mergeCell ref="J10:K10"/>
    <mergeCell ref="J6:K6"/>
    <mergeCell ref="H8:I8"/>
    <mergeCell ref="L9:M9"/>
  </mergeCells>
  <phoneticPr fontId="10" type="noConversion"/>
  <printOptions horizontalCentered="1"/>
  <pageMargins left="0.51181102362204722" right="0.3937007874015748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FF00"/>
  </sheetPr>
  <dimension ref="B2:AJ83"/>
  <sheetViews>
    <sheetView tabSelected="1" view="pageBreakPreview" zoomScale="70" zoomScaleSheetLayoutView="70" workbookViewId="0">
      <pane xSplit="2" ySplit="6" topLeftCell="C7" activePane="bottomRight" state="frozen"/>
      <selection activeCell="P13" sqref="P13"/>
      <selection pane="topRight" activeCell="P13" sqref="P13"/>
      <selection pane="bottomLeft" activeCell="P13" sqref="P13"/>
      <selection pane="bottomRight" activeCell="T18" sqref="T18"/>
    </sheetView>
  </sheetViews>
  <sheetFormatPr defaultRowHeight="13.5"/>
  <cols>
    <col min="1" max="1" width="3.33203125" style="498" customWidth="1"/>
    <col min="2" max="2" width="8.88671875" style="498"/>
    <col min="3" max="3" width="10.109375" style="498" bestFit="1" customWidth="1"/>
    <col min="4" max="4" width="12.88671875" style="498" bestFit="1" customWidth="1"/>
    <col min="5" max="6" width="10.109375" style="498" bestFit="1" customWidth="1"/>
    <col min="7" max="7" width="12.88671875" style="498" bestFit="1" customWidth="1"/>
    <col min="8" max="9" width="11" style="498" bestFit="1" customWidth="1"/>
    <col min="10" max="12" width="9.88671875" style="498" bestFit="1" customWidth="1"/>
    <col min="13" max="13" width="9" style="498" bestFit="1" customWidth="1"/>
    <col min="14" max="14" width="9" style="498" hidden="1" customWidth="1"/>
    <col min="15" max="16" width="9" style="498" bestFit="1" customWidth="1"/>
    <col min="17" max="17" width="9.88671875" style="498" bestFit="1" customWidth="1"/>
    <col min="18" max="19" width="8.88671875" style="498"/>
    <col min="20" max="20" width="12.44140625" style="498" customWidth="1"/>
    <col min="21" max="16384" width="8.88671875" style="498"/>
  </cols>
  <sheetData>
    <row r="2" spans="2:20" ht="24.95" customHeight="1">
      <c r="B2" s="504" t="s">
        <v>973</v>
      </c>
    </row>
    <row r="3" spans="2:20" ht="24.95" customHeight="1">
      <c r="B3" s="504" t="s">
        <v>1130</v>
      </c>
    </row>
    <row r="4" spans="2:20" ht="24.95" customHeight="1">
      <c r="B4" s="504" t="s">
        <v>591</v>
      </c>
    </row>
    <row r="5" spans="2:20" s="506" customFormat="1" ht="39.950000000000003" customHeight="1">
      <c r="B5" s="950" t="s">
        <v>10</v>
      </c>
      <c r="C5" s="941" t="s">
        <v>8</v>
      </c>
      <c r="D5" s="941" t="s">
        <v>9</v>
      </c>
      <c r="E5" s="941"/>
      <c r="F5" s="941"/>
      <c r="G5" s="941" t="s">
        <v>14</v>
      </c>
      <c r="H5" s="941"/>
      <c r="I5" s="941"/>
      <c r="J5" s="941" t="s">
        <v>15</v>
      </c>
      <c r="K5" s="941"/>
      <c r="L5" s="941"/>
      <c r="M5" s="941" t="s">
        <v>0</v>
      </c>
      <c r="N5" s="505"/>
      <c r="O5" s="941" t="s">
        <v>1</v>
      </c>
      <c r="P5" s="941" t="s">
        <v>250</v>
      </c>
      <c r="Q5" s="941" t="s">
        <v>12</v>
      </c>
      <c r="R5" s="943" t="s">
        <v>13</v>
      </c>
    </row>
    <row r="6" spans="2:20" s="506" customFormat="1" ht="39.950000000000003" customHeight="1">
      <c r="B6" s="951"/>
      <c r="C6" s="942"/>
      <c r="D6" s="755" t="s">
        <v>1071</v>
      </c>
      <c r="E6" s="507" t="s">
        <v>16</v>
      </c>
      <c r="F6" s="507" t="s">
        <v>17</v>
      </c>
      <c r="G6" s="507" t="s">
        <v>18</v>
      </c>
      <c r="H6" s="507" t="s">
        <v>16</v>
      </c>
      <c r="I6" s="507" t="s">
        <v>17</v>
      </c>
      <c r="J6" s="507" t="s">
        <v>18</v>
      </c>
      <c r="K6" s="507" t="s">
        <v>16</v>
      </c>
      <c r="L6" s="507" t="s">
        <v>17</v>
      </c>
      <c r="M6" s="942"/>
      <c r="N6" s="507"/>
      <c r="O6" s="942"/>
      <c r="P6" s="942"/>
      <c r="Q6" s="942"/>
      <c r="R6" s="944"/>
      <c r="T6" s="508" t="s">
        <v>721</v>
      </c>
    </row>
    <row r="7" spans="2:20" s="515" customFormat="1" ht="39.950000000000003" customHeight="1">
      <c r="B7" s="509" t="s">
        <v>2</v>
      </c>
      <c r="C7" s="510">
        <v>33763</v>
      </c>
      <c r="D7" s="510">
        <f t="shared" ref="D7:D14" si="0">D27</f>
        <v>91699</v>
      </c>
      <c r="E7" s="511">
        <f t="shared" ref="E7:E15" si="1">H7+K7</f>
        <v>45660</v>
      </c>
      <c r="F7" s="511">
        <f t="shared" ref="F7:F15" si="2">I7+L7</f>
        <v>46039</v>
      </c>
      <c r="G7" s="510">
        <f>G27</f>
        <v>91223</v>
      </c>
      <c r="H7" s="510">
        <f t="shared" ref="H7" si="3">ROUND($G7*Z27,0)</f>
        <v>45358</v>
      </c>
      <c r="I7" s="510">
        <f t="shared" ref="I7:I17" si="4">ROUND($G7*AA27,0)</f>
        <v>45865</v>
      </c>
      <c r="J7" s="510">
        <f t="shared" ref="J7:J18" si="5">K7+L7</f>
        <v>476</v>
      </c>
      <c r="K7" s="510">
        <v>302</v>
      </c>
      <c r="L7" s="510">
        <v>174</v>
      </c>
      <c r="M7" s="512">
        <f t="shared" ref="M7:M16" si="6">N7</f>
        <v>-0.76582505683857849</v>
      </c>
      <c r="N7" s="512">
        <f>(G7-T7)/T7*100</f>
        <v>-0.76582505683857849</v>
      </c>
      <c r="O7" s="513">
        <f>G7/C7</f>
        <v>2.7018629861090542</v>
      </c>
      <c r="P7" s="510">
        <v>15559</v>
      </c>
      <c r="Q7" s="513">
        <v>205.5451657240711</v>
      </c>
      <c r="R7" s="514">
        <v>443.81</v>
      </c>
      <c r="T7" s="511">
        <v>91927</v>
      </c>
    </row>
    <row r="8" spans="2:20" s="515" customFormat="1" ht="39.950000000000003" customHeight="1">
      <c r="B8" s="509" t="s">
        <v>3</v>
      </c>
      <c r="C8" s="510">
        <v>34610</v>
      </c>
      <c r="D8" s="510">
        <f t="shared" si="0"/>
        <v>91432</v>
      </c>
      <c r="E8" s="511">
        <f t="shared" si="1"/>
        <v>45473</v>
      </c>
      <c r="F8" s="511">
        <f t="shared" si="2"/>
        <v>45959</v>
      </c>
      <c r="G8" s="510">
        <f t="shared" ref="G8:G15" si="7">G28</f>
        <v>90931</v>
      </c>
      <c r="H8" s="510">
        <f t="shared" ref="H8:H17" si="8">ROUND($G8*Z28,0)</f>
        <v>45176</v>
      </c>
      <c r="I8" s="510">
        <f t="shared" si="4"/>
        <v>45755</v>
      </c>
      <c r="J8" s="510">
        <f t="shared" si="5"/>
        <v>501</v>
      </c>
      <c r="K8" s="510">
        <v>297</v>
      </c>
      <c r="L8" s="510">
        <v>204</v>
      </c>
      <c r="M8" s="512">
        <f t="shared" si="6"/>
        <v>-0.32009471295616237</v>
      </c>
      <c r="N8" s="512">
        <f>(G8-G7)/G7*100</f>
        <v>-0.32009471295616237</v>
      </c>
      <c r="O8" s="513">
        <f t="shared" ref="O8:O18" si="9">G8/C8</f>
        <v>2.6273042473273622</v>
      </c>
      <c r="P8" s="510">
        <v>15884</v>
      </c>
      <c r="Q8" s="513">
        <v>204.88261006714433</v>
      </c>
      <c r="R8" s="514">
        <v>443.82</v>
      </c>
    </row>
    <row r="9" spans="2:20" s="515" customFormat="1" ht="39.950000000000003" customHeight="1">
      <c r="B9" s="509" t="s">
        <v>4</v>
      </c>
      <c r="C9" s="510">
        <v>35177</v>
      </c>
      <c r="D9" s="510">
        <f t="shared" si="0"/>
        <v>90242</v>
      </c>
      <c r="E9" s="511">
        <f t="shared" si="1"/>
        <v>44985</v>
      </c>
      <c r="F9" s="511">
        <f t="shared" si="2"/>
        <v>45257</v>
      </c>
      <c r="G9" s="510">
        <f t="shared" si="7"/>
        <v>89555</v>
      </c>
      <c r="H9" s="510">
        <f t="shared" si="8"/>
        <v>44576</v>
      </c>
      <c r="I9" s="510">
        <f t="shared" si="4"/>
        <v>44979</v>
      </c>
      <c r="J9" s="510">
        <f t="shared" si="5"/>
        <v>687</v>
      </c>
      <c r="K9" s="510">
        <v>409</v>
      </c>
      <c r="L9" s="510">
        <v>278</v>
      </c>
      <c r="M9" s="512">
        <f t="shared" si="6"/>
        <v>-1.5132353102902201</v>
      </c>
      <c r="N9" s="512">
        <f t="shared" ref="N9:N18" si="10">(G9-G8)/G8*100</f>
        <v>-1.5132353102902201</v>
      </c>
      <c r="O9" s="513">
        <f t="shared" si="9"/>
        <v>2.5458396111095318</v>
      </c>
      <c r="P9" s="510">
        <v>16339</v>
      </c>
      <c r="Q9" s="513">
        <v>201.73225508526119</v>
      </c>
      <c r="R9" s="514">
        <v>443.93</v>
      </c>
    </row>
    <row r="10" spans="2:20" s="515" customFormat="1" ht="39.950000000000003" customHeight="1">
      <c r="B10" s="509" t="s">
        <v>5</v>
      </c>
      <c r="C10" s="510">
        <v>35196</v>
      </c>
      <c r="D10" s="510">
        <f t="shared" si="0"/>
        <v>89539</v>
      </c>
      <c r="E10" s="511">
        <f t="shared" si="1"/>
        <v>44601</v>
      </c>
      <c r="F10" s="511">
        <f t="shared" si="2"/>
        <v>44938</v>
      </c>
      <c r="G10" s="510">
        <f t="shared" si="7"/>
        <v>88685</v>
      </c>
      <c r="H10" s="510">
        <f t="shared" si="8"/>
        <v>44109</v>
      </c>
      <c r="I10" s="510">
        <f t="shared" si="4"/>
        <v>44576</v>
      </c>
      <c r="J10" s="510">
        <f t="shared" si="5"/>
        <v>854</v>
      </c>
      <c r="K10" s="510">
        <v>492</v>
      </c>
      <c r="L10" s="510">
        <v>362</v>
      </c>
      <c r="M10" s="512">
        <f t="shared" si="6"/>
        <v>-0.97147004634023792</v>
      </c>
      <c r="N10" s="512">
        <f t="shared" si="10"/>
        <v>-0.97147004634023792</v>
      </c>
      <c r="O10" s="513">
        <f t="shared" si="9"/>
        <v>2.5197465621093307</v>
      </c>
      <c r="P10" s="510">
        <v>17006</v>
      </c>
      <c r="Q10" s="513">
        <v>199.76798666486462</v>
      </c>
      <c r="R10" s="514">
        <v>443.94</v>
      </c>
    </row>
    <row r="11" spans="2:20" s="515" customFormat="1" ht="39.950000000000003" customHeight="1">
      <c r="B11" s="509" t="s">
        <v>6</v>
      </c>
      <c r="C11" s="510">
        <v>35397</v>
      </c>
      <c r="D11" s="510">
        <f t="shared" si="0"/>
        <v>89231</v>
      </c>
      <c r="E11" s="511">
        <f t="shared" si="1"/>
        <v>44405</v>
      </c>
      <c r="F11" s="511">
        <f t="shared" si="2"/>
        <v>44826</v>
      </c>
      <c r="G11" s="510">
        <f t="shared" si="7"/>
        <v>88176</v>
      </c>
      <c r="H11" s="510">
        <f t="shared" si="8"/>
        <v>43808</v>
      </c>
      <c r="I11" s="510">
        <f t="shared" si="4"/>
        <v>44368</v>
      </c>
      <c r="J11" s="510">
        <f t="shared" si="5"/>
        <v>1055</v>
      </c>
      <c r="K11" s="510">
        <v>597</v>
      </c>
      <c r="L11" s="510">
        <v>458</v>
      </c>
      <c r="M11" s="512">
        <f t="shared" si="6"/>
        <v>-0.57394147826577202</v>
      </c>
      <c r="N11" s="512">
        <f t="shared" si="10"/>
        <v>-0.57394147826577202</v>
      </c>
      <c r="O11" s="513">
        <f t="shared" si="9"/>
        <v>2.4910585642851091</v>
      </c>
      <c r="P11" s="510">
        <v>17345</v>
      </c>
      <c r="Q11" s="513">
        <v>198.58117694750356</v>
      </c>
      <c r="R11" s="514">
        <v>444.03</v>
      </c>
    </row>
    <row r="12" spans="2:20" s="515" customFormat="1" ht="39.950000000000003" customHeight="1">
      <c r="B12" s="509" t="s">
        <v>24</v>
      </c>
      <c r="C12" s="510">
        <v>35634</v>
      </c>
      <c r="D12" s="510">
        <f t="shared" si="0"/>
        <v>88865</v>
      </c>
      <c r="E12" s="511">
        <f t="shared" si="1"/>
        <v>44310</v>
      </c>
      <c r="F12" s="511">
        <f t="shared" si="2"/>
        <v>44555</v>
      </c>
      <c r="G12" s="510">
        <f t="shared" si="7"/>
        <v>87631</v>
      </c>
      <c r="H12" s="510">
        <f t="shared" si="8"/>
        <v>43612</v>
      </c>
      <c r="I12" s="510">
        <f t="shared" si="4"/>
        <v>44019</v>
      </c>
      <c r="J12" s="510">
        <f t="shared" si="5"/>
        <v>1234</v>
      </c>
      <c r="K12" s="510">
        <v>698</v>
      </c>
      <c r="L12" s="510">
        <v>536</v>
      </c>
      <c r="M12" s="512">
        <f t="shared" si="6"/>
        <v>-0.61808201778261662</v>
      </c>
      <c r="N12" s="512">
        <f t="shared" si="10"/>
        <v>-0.61808201778261662</v>
      </c>
      <c r="O12" s="513">
        <f t="shared" si="9"/>
        <v>2.4591962732222035</v>
      </c>
      <c r="P12" s="510">
        <v>17729</v>
      </c>
      <c r="Q12" s="513">
        <v>197.38489954049916</v>
      </c>
      <c r="R12" s="514">
        <v>443.96</v>
      </c>
    </row>
    <row r="13" spans="2:20" s="515" customFormat="1" ht="39.950000000000003" customHeight="1">
      <c r="B13" s="509" t="s">
        <v>7</v>
      </c>
      <c r="C13" s="510">
        <v>36490</v>
      </c>
      <c r="D13" s="510">
        <f t="shared" si="0"/>
        <v>89603</v>
      </c>
      <c r="E13" s="511">
        <f t="shared" si="1"/>
        <v>44676</v>
      </c>
      <c r="F13" s="511">
        <f t="shared" si="2"/>
        <v>44927</v>
      </c>
      <c r="G13" s="510">
        <f t="shared" si="7"/>
        <v>88078</v>
      </c>
      <c r="H13" s="510">
        <f t="shared" si="8"/>
        <v>43800</v>
      </c>
      <c r="I13" s="510">
        <f t="shared" si="4"/>
        <v>44278</v>
      </c>
      <c r="J13" s="510">
        <f t="shared" si="5"/>
        <v>1525</v>
      </c>
      <c r="K13" s="510">
        <v>876</v>
      </c>
      <c r="L13" s="510">
        <v>649</v>
      </c>
      <c r="M13" s="512">
        <f t="shared" si="6"/>
        <v>0.51009346007691347</v>
      </c>
      <c r="N13" s="512">
        <f t="shared" si="10"/>
        <v>0.51009346007691347</v>
      </c>
      <c r="O13" s="513">
        <f t="shared" si="9"/>
        <v>2.4137571937517128</v>
      </c>
      <c r="P13" s="510">
        <v>18003</v>
      </c>
      <c r="Q13" s="513">
        <v>198.38727841971303</v>
      </c>
      <c r="R13" s="514">
        <v>443.97</v>
      </c>
    </row>
    <row r="14" spans="2:20" s="515" customFormat="1" ht="39.950000000000003" customHeight="1">
      <c r="B14" s="509" t="s">
        <v>46</v>
      </c>
      <c r="C14" s="510">
        <v>36967</v>
      </c>
      <c r="D14" s="510">
        <f t="shared" si="0"/>
        <v>89739</v>
      </c>
      <c r="E14" s="511">
        <f t="shared" si="1"/>
        <v>44799</v>
      </c>
      <c r="F14" s="511">
        <f t="shared" si="2"/>
        <v>44940</v>
      </c>
      <c r="G14" s="510">
        <f t="shared" si="7"/>
        <v>88108</v>
      </c>
      <c r="H14" s="510">
        <f t="shared" si="8"/>
        <v>43842</v>
      </c>
      <c r="I14" s="510">
        <f t="shared" si="4"/>
        <v>44266</v>
      </c>
      <c r="J14" s="510">
        <f t="shared" si="5"/>
        <v>1631</v>
      </c>
      <c r="K14" s="510">
        <v>957</v>
      </c>
      <c r="L14" s="510">
        <v>674</v>
      </c>
      <c r="M14" s="512">
        <f t="shared" si="6"/>
        <v>3.4060718908240424E-2</v>
      </c>
      <c r="N14" s="512">
        <f t="shared" si="10"/>
        <v>3.4060718908240424E-2</v>
      </c>
      <c r="O14" s="513">
        <f t="shared" si="9"/>
        <v>2.3834230529932103</v>
      </c>
      <c r="P14" s="510">
        <v>18315</v>
      </c>
      <c r="Q14" s="513">
        <v>198.4637909674513</v>
      </c>
      <c r="R14" s="514">
        <v>443.95</v>
      </c>
    </row>
    <row r="15" spans="2:20" s="515" customFormat="1" ht="39.950000000000003" customHeight="1">
      <c r="B15" s="509" t="s">
        <v>316</v>
      </c>
      <c r="C15" s="510">
        <v>37536</v>
      </c>
      <c r="D15" s="510">
        <f>D35</f>
        <v>89990</v>
      </c>
      <c r="E15" s="511">
        <f t="shared" si="1"/>
        <v>44239</v>
      </c>
      <c r="F15" s="511">
        <f t="shared" si="2"/>
        <v>45751</v>
      </c>
      <c r="G15" s="510">
        <f t="shared" si="7"/>
        <v>88415</v>
      </c>
      <c r="H15" s="510">
        <f t="shared" si="8"/>
        <v>44035</v>
      </c>
      <c r="I15" s="510">
        <f t="shared" si="4"/>
        <v>44380</v>
      </c>
      <c r="J15" s="510">
        <f t="shared" si="5"/>
        <v>1575</v>
      </c>
      <c r="K15" s="510">
        <v>204</v>
      </c>
      <c r="L15" s="510">
        <v>1371</v>
      </c>
      <c r="M15" s="512">
        <f t="shared" si="6"/>
        <v>0.34843601035093291</v>
      </c>
      <c r="N15" s="512">
        <f t="shared" si="10"/>
        <v>0.34843601035093291</v>
      </c>
      <c r="O15" s="513">
        <f t="shared" si="9"/>
        <v>2.3554720801364022</v>
      </c>
      <c r="P15" s="510">
        <v>18735</v>
      </c>
      <c r="Q15" s="513">
        <v>199.14633871657995</v>
      </c>
      <c r="R15" s="514">
        <v>443.97</v>
      </c>
    </row>
    <row r="16" spans="2:20" s="515" customFormat="1" ht="39.950000000000003" customHeight="1">
      <c r="B16" s="509" t="s">
        <v>581</v>
      </c>
      <c r="C16" s="510">
        <f>C36-1135</f>
        <v>37185</v>
      </c>
      <c r="D16" s="510">
        <f>D36-2283</f>
        <v>87421</v>
      </c>
      <c r="E16" s="510">
        <f t="shared" ref="E16:F18" si="11">H45</f>
        <v>43637.921144754793</v>
      </c>
      <c r="F16" s="510">
        <f t="shared" si="11"/>
        <v>43783.078855245207</v>
      </c>
      <c r="G16" s="510">
        <f t="shared" ref="G16:G17" si="12">D16-J16</f>
        <v>85843</v>
      </c>
      <c r="H16" s="510">
        <f t="shared" si="8"/>
        <v>42587</v>
      </c>
      <c r="I16" s="510">
        <f t="shared" si="4"/>
        <v>43256</v>
      </c>
      <c r="J16" s="510">
        <f t="shared" si="5"/>
        <v>1578</v>
      </c>
      <c r="K16" s="510">
        <v>982</v>
      </c>
      <c r="L16" s="510">
        <v>596</v>
      </c>
      <c r="M16" s="512">
        <f t="shared" si="6"/>
        <v>-2.9090086523779903</v>
      </c>
      <c r="N16" s="512">
        <f t="shared" si="10"/>
        <v>-2.9090086523779903</v>
      </c>
      <c r="O16" s="513">
        <f t="shared" si="9"/>
        <v>2.3085383891354039</v>
      </c>
      <c r="P16" s="510">
        <v>19306</v>
      </c>
      <c r="Q16" s="513">
        <f>G16/R16</f>
        <v>193.34879949547275</v>
      </c>
      <c r="R16" s="514">
        <v>443.98</v>
      </c>
    </row>
    <row r="17" spans="2:36" s="515" customFormat="1" ht="39.950000000000003" customHeight="1">
      <c r="B17" s="509" t="s">
        <v>586</v>
      </c>
      <c r="C17" s="510">
        <f>C37-2061</f>
        <v>37469</v>
      </c>
      <c r="D17" s="510">
        <f>D37-6013</f>
        <v>87714</v>
      </c>
      <c r="E17" s="510">
        <f t="shared" si="11"/>
        <v>43784.177889649189</v>
      </c>
      <c r="F17" s="510">
        <f t="shared" si="11"/>
        <v>43929.822110350811</v>
      </c>
      <c r="G17" s="510">
        <f t="shared" si="12"/>
        <v>85853</v>
      </c>
      <c r="H17" s="510">
        <f t="shared" si="8"/>
        <v>42846</v>
      </c>
      <c r="I17" s="510">
        <f t="shared" si="4"/>
        <v>43007</v>
      </c>
      <c r="J17" s="510">
        <f t="shared" si="5"/>
        <v>1861</v>
      </c>
      <c r="K17" s="510">
        <v>1226</v>
      </c>
      <c r="L17" s="510">
        <v>635</v>
      </c>
      <c r="M17" s="512">
        <f t="shared" ref="M17:M18" si="13">N17</f>
        <v>1.1649173491140804E-2</v>
      </c>
      <c r="N17" s="512">
        <f t="shared" si="10"/>
        <v>1.1649173491140804E-2</v>
      </c>
      <c r="O17" s="513">
        <f t="shared" si="9"/>
        <v>2.2913074808508367</v>
      </c>
      <c r="P17" s="510">
        <v>20006</v>
      </c>
      <c r="Q17" s="513">
        <v>206.92</v>
      </c>
      <c r="R17" s="514">
        <v>443.97</v>
      </c>
    </row>
    <row r="18" spans="2:36" s="515" customFormat="1" ht="39.950000000000003" customHeight="1">
      <c r="B18" s="516" t="s">
        <v>587</v>
      </c>
      <c r="C18" s="517">
        <f>C38-3895</f>
        <v>37113</v>
      </c>
      <c r="D18" s="517">
        <f>D38-10814</f>
        <v>83739</v>
      </c>
      <c r="E18" s="517">
        <f t="shared" si="11"/>
        <v>41799.978022907788</v>
      </c>
      <c r="F18" s="517">
        <f t="shared" si="11"/>
        <v>41939.021977092212</v>
      </c>
      <c r="G18" s="517">
        <f>D18-J18</f>
        <v>83739</v>
      </c>
      <c r="H18" s="517">
        <f t="shared" ref="H18" si="14">ROUND($G18*Z38,0)</f>
        <v>41800</v>
      </c>
      <c r="I18" s="517">
        <f t="shared" ref="I18" si="15">ROUND($G18*AA38,0)</f>
        <v>41939</v>
      </c>
      <c r="J18" s="517">
        <f t="shared" si="5"/>
        <v>0</v>
      </c>
      <c r="K18" s="517">
        <v>0</v>
      </c>
      <c r="L18" s="517">
        <v>0</v>
      </c>
      <c r="M18" s="518">
        <f t="shared" si="13"/>
        <v>-2.4623484327862744</v>
      </c>
      <c r="N18" s="519">
        <f t="shared" si="10"/>
        <v>-2.4623484327862744</v>
      </c>
      <c r="O18" s="520">
        <f t="shared" si="9"/>
        <v>2.256325276857166</v>
      </c>
      <c r="P18" s="517"/>
      <c r="Q18" s="521"/>
      <c r="R18" s="522"/>
    </row>
    <row r="19" spans="2:36" s="443" customFormat="1" ht="19.5" customHeight="1">
      <c r="B19" s="498" t="s">
        <v>991</v>
      </c>
    </row>
    <row r="20" spans="2:36" ht="19.5" customHeight="1">
      <c r="B20" s="498" t="s">
        <v>1016</v>
      </c>
    </row>
    <row r="21" spans="2:36" ht="24.95" customHeight="1"/>
    <row r="22" spans="2:36" ht="24.95" customHeight="1">
      <c r="B22" s="504" t="s">
        <v>973</v>
      </c>
    </row>
    <row r="23" spans="2:36" ht="24.95" customHeight="1">
      <c r="B23" s="504" t="s">
        <v>974</v>
      </c>
    </row>
    <row r="24" spans="2:36" ht="24.95" customHeight="1">
      <c r="B24" s="504" t="s">
        <v>591</v>
      </c>
      <c r="T24" s="498" t="s">
        <v>1049</v>
      </c>
    </row>
    <row r="25" spans="2:36" ht="24.95" customHeight="1">
      <c r="B25" s="940" t="s">
        <v>10</v>
      </c>
      <c r="C25" s="940" t="s">
        <v>8</v>
      </c>
      <c r="D25" s="940" t="s">
        <v>9</v>
      </c>
      <c r="E25" s="940"/>
      <c r="F25" s="940"/>
      <c r="G25" s="940" t="s">
        <v>14</v>
      </c>
      <c r="H25" s="940"/>
      <c r="I25" s="940"/>
      <c r="J25" s="940" t="s">
        <v>15</v>
      </c>
      <c r="K25" s="940"/>
      <c r="L25" s="940"/>
      <c r="M25" s="940" t="s">
        <v>0</v>
      </c>
      <c r="N25" s="523"/>
      <c r="O25" s="940" t="s">
        <v>1</v>
      </c>
      <c r="P25" s="940" t="s">
        <v>250</v>
      </c>
      <c r="Q25" s="940" t="s">
        <v>12</v>
      </c>
      <c r="R25" s="940" t="s">
        <v>13</v>
      </c>
      <c r="T25" s="940" t="s">
        <v>10</v>
      </c>
      <c r="U25" s="940" t="s">
        <v>8</v>
      </c>
      <c r="V25" s="940" t="s">
        <v>9</v>
      </c>
      <c r="W25" s="940"/>
      <c r="X25" s="940"/>
      <c r="Y25" s="940" t="s">
        <v>14</v>
      </c>
      <c r="Z25" s="940"/>
      <c r="AA25" s="940"/>
      <c r="AB25" s="940" t="s">
        <v>15</v>
      </c>
      <c r="AC25" s="940"/>
      <c r="AD25" s="940"/>
      <c r="AE25" s="940" t="s">
        <v>0</v>
      </c>
      <c r="AF25" s="523"/>
      <c r="AG25" s="940" t="s">
        <v>1</v>
      </c>
      <c r="AH25" s="940" t="s">
        <v>250</v>
      </c>
      <c r="AI25" s="940" t="s">
        <v>12</v>
      </c>
      <c r="AJ25" s="940" t="s">
        <v>13</v>
      </c>
    </row>
    <row r="26" spans="2:36" ht="24.95" customHeight="1">
      <c r="B26" s="940"/>
      <c r="C26" s="940"/>
      <c r="D26" s="523" t="s">
        <v>18</v>
      </c>
      <c r="E26" s="523" t="s">
        <v>16</v>
      </c>
      <c r="F26" s="523" t="s">
        <v>17</v>
      </c>
      <c r="G26" s="523" t="s">
        <v>18</v>
      </c>
      <c r="H26" s="523" t="s">
        <v>16</v>
      </c>
      <c r="I26" s="523" t="s">
        <v>17</v>
      </c>
      <c r="J26" s="523" t="s">
        <v>18</v>
      </c>
      <c r="K26" s="523" t="s">
        <v>16</v>
      </c>
      <c r="L26" s="523" t="s">
        <v>17</v>
      </c>
      <c r="M26" s="940"/>
      <c r="N26" s="523"/>
      <c r="O26" s="940"/>
      <c r="P26" s="940"/>
      <c r="Q26" s="940"/>
      <c r="R26" s="940"/>
      <c r="T26" s="940"/>
      <c r="U26" s="940"/>
      <c r="V26" s="523" t="s">
        <v>18</v>
      </c>
      <c r="W26" s="523" t="s">
        <v>16</v>
      </c>
      <c r="X26" s="523" t="s">
        <v>17</v>
      </c>
      <c r="Y26" s="523" t="s">
        <v>18</v>
      </c>
      <c r="Z26" s="523" t="s">
        <v>16</v>
      </c>
      <c r="AA26" s="523" t="s">
        <v>17</v>
      </c>
      <c r="AB26" s="523" t="s">
        <v>18</v>
      </c>
      <c r="AC26" s="523" t="s">
        <v>16</v>
      </c>
      <c r="AD26" s="523" t="s">
        <v>17</v>
      </c>
      <c r="AE26" s="940"/>
      <c r="AF26" s="523"/>
      <c r="AG26" s="940"/>
      <c r="AH26" s="940"/>
      <c r="AI26" s="940"/>
      <c r="AJ26" s="940"/>
    </row>
    <row r="27" spans="2:36" ht="24.95" customHeight="1">
      <c r="B27" s="524" t="s">
        <v>2</v>
      </c>
      <c r="C27" s="525">
        <v>33763</v>
      </c>
      <c r="D27" s="525">
        <f t="shared" ref="D27:D38" si="16">G27+J27</f>
        <v>91699</v>
      </c>
      <c r="E27" s="526">
        <f t="shared" ref="E27:E38" si="17">H27+K27</f>
        <v>45660</v>
      </c>
      <c r="F27" s="526">
        <f t="shared" ref="F27:F38" si="18">I27+L27</f>
        <v>46039</v>
      </c>
      <c r="G27" s="525">
        <f t="shared" ref="G27:G38" si="19">H27+I27</f>
        <v>91223</v>
      </c>
      <c r="H27" s="525">
        <v>45358</v>
      </c>
      <c r="I27" s="525">
        <v>45865</v>
      </c>
      <c r="J27" s="525">
        <f t="shared" ref="J27:J38" si="20">K27+L27</f>
        <v>476</v>
      </c>
      <c r="K27" s="525">
        <v>302</v>
      </c>
      <c r="L27" s="525">
        <v>174</v>
      </c>
      <c r="M27" s="527" t="e">
        <f t="shared" ref="M27:M38" si="21">N27</f>
        <v>#VALUE!</v>
      </c>
      <c r="N27" s="527" t="e">
        <f>(D27-T27)/T27*100</f>
        <v>#VALUE!</v>
      </c>
      <c r="O27" s="528">
        <f t="shared" ref="O27:O35" si="22">D27/C27</f>
        <v>2.7159612593667624</v>
      </c>
      <c r="P27" s="525">
        <v>15559</v>
      </c>
      <c r="Q27" s="528">
        <v>205.5451657240711</v>
      </c>
      <c r="R27" s="529">
        <v>443.81</v>
      </c>
      <c r="T27" s="524" t="s">
        <v>2</v>
      </c>
      <c r="U27" s="525">
        <v>33763</v>
      </c>
      <c r="V27" s="525">
        <f t="shared" ref="V27:V38" si="23">Y27+AB27</f>
        <v>477</v>
      </c>
      <c r="W27" s="530">
        <f t="shared" ref="W27:W37" si="24">E27/$D27</f>
        <v>0.49793345619908613</v>
      </c>
      <c r="X27" s="530">
        <f t="shared" ref="X27:X37" si="25">F27/$D27</f>
        <v>0.50206654380091387</v>
      </c>
      <c r="Y27" s="525">
        <f t="shared" ref="Y27:Y38" si="26">Z27+AA27</f>
        <v>1</v>
      </c>
      <c r="Z27" s="530">
        <f>H27/$G27</f>
        <v>0.49722109555704153</v>
      </c>
      <c r="AA27" s="530">
        <f>I27/$G27</f>
        <v>0.50277890444295847</v>
      </c>
      <c r="AB27" s="525">
        <f t="shared" ref="AB27:AB38" si="27">AC27+AD27</f>
        <v>476</v>
      </c>
      <c r="AC27" s="525">
        <v>302</v>
      </c>
      <c r="AD27" s="525">
        <v>174</v>
      </c>
      <c r="AE27" s="527" t="e">
        <f t="shared" ref="AE27:AE36" si="28">AF27</f>
        <v>#DIV/0!</v>
      </c>
      <c r="AF27" s="527" t="e">
        <f>(V27-AL27)/AL27*100</f>
        <v>#DIV/0!</v>
      </c>
      <c r="AG27" s="528">
        <f t="shared" ref="AG27:AG35" si="29">V27/U27</f>
        <v>1.412789147883778E-2</v>
      </c>
      <c r="AH27" s="525">
        <v>15559</v>
      </c>
      <c r="AI27" s="528">
        <v>205.5451657240711</v>
      </c>
      <c r="AJ27" s="529">
        <v>443.81</v>
      </c>
    </row>
    <row r="28" spans="2:36" ht="24.95" customHeight="1">
      <c r="B28" s="524" t="s">
        <v>3</v>
      </c>
      <c r="C28" s="525">
        <v>34610</v>
      </c>
      <c r="D28" s="525">
        <f t="shared" si="16"/>
        <v>91432</v>
      </c>
      <c r="E28" s="526">
        <f t="shared" si="17"/>
        <v>45473</v>
      </c>
      <c r="F28" s="526">
        <f t="shared" si="18"/>
        <v>45959</v>
      </c>
      <c r="G28" s="525">
        <f t="shared" si="19"/>
        <v>90931</v>
      </c>
      <c r="H28" s="525">
        <v>45176</v>
      </c>
      <c r="I28" s="525">
        <v>45755</v>
      </c>
      <c r="J28" s="525">
        <f t="shared" si="20"/>
        <v>501</v>
      </c>
      <c r="K28" s="525">
        <v>297</v>
      </c>
      <c r="L28" s="525">
        <v>204</v>
      </c>
      <c r="M28" s="527">
        <f t="shared" si="21"/>
        <v>-0.29117002366438022</v>
      </c>
      <c r="N28" s="527">
        <f t="shared" ref="N28:N38" si="30">(D28-D27)/D27*100</f>
        <v>-0.29117002366438022</v>
      </c>
      <c r="O28" s="528">
        <f t="shared" si="22"/>
        <v>2.6417798324183761</v>
      </c>
      <c r="P28" s="525">
        <v>15884</v>
      </c>
      <c r="Q28" s="528">
        <v>204.88261006714433</v>
      </c>
      <c r="R28" s="529">
        <v>443.82</v>
      </c>
      <c r="T28" s="524" t="s">
        <v>3</v>
      </c>
      <c r="U28" s="525">
        <v>34610</v>
      </c>
      <c r="V28" s="525">
        <f t="shared" si="23"/>
        <v>502</v>
      </c>
      <c r="W28" s="530">
        <f t="shared" si="24"/>
        <v>0.49734228716423134</v>
      </c>
      <c r="X28" s="530">
        <f t="shared" si="25"/>
        <v>0.50265771283576866</v>
      </c>
      <c r="Y28" s="525">
        <f t="shared" si="26"/>
        <v>1</v>
      </c>
      <c r="Z28" s="530">
        <f t="shared" ref="Z28:Z38" si="31">H28/$G28</f>
        <v>0.49681626727958561</v>
      </c>
      <c r="AA28" s="530">
        <f t="shared" ref="AA28:AA38" si="32">I28/$G28</f>
        <v>0.50318373272041439</v>
      </c>
      <c r="AB28" s="525">
        <f t="shared" si="27"/>
        <v>501</v>
      </c>
      <c r="AC28" s="525">
        <v>297</v>
      </c>
      <c r="AD28" s="525">
        <v>204</v>
      </c>
      <c r="AE28" s="527">
        <f t="shared" si="28"/>
        <v>5.2410901467505235</v>
      </c>
      <c r="AF28" s="527">
        <f t="shared" ref="AF28:AF38" si="33">(V28-V27)/V27*100</f>
        <v>5.2410901467505235</v>
      </c>
      <c r="AG28" s="528">
        <f t="shared" si="29"/>
        <v>1.4504478474429356E-2</v>
      </c>
      <c r="AH28" s="525">
        <v>15884</v>
      </c>
      <c r="AI28" s="528">
        <v>204.88261006714433</v>
      </c>
      <c r="AJ28" s="529">
        <v>443.82</v>
      </c>
    </row>
    <row r="29" spans="2:36" ht="24.95" customHeight="1">
      <c r="B29" s="524" t="s">
        <v>4</v>
      </c>
      <c r="C29" s="525">
        <v>35177</v>
      </c>
      <c r="D29" s="525">
        <f t="shared" si="16"/>
        <v>90242</v>
      </c>
      <c r="E29" s="526">
        <f t="shared" si="17"/>
        <v>44985</v>
      </c>
      <c r="F29" s="526">
        <f t="shared" si="18"/>
        <v>45257</v>
      </c>
      <c r="G29" s="525">
        <f t="shared" si="19"/>
        <v>89555</v>
      </c>
      <c r="H29" s="525">
        <v>44576</v>
      </c>
      <c r="I29" s="525">
        <v>44979</v>
      </c>
      <c r="J29" s="525">
        <f t="shared" si="20"/>
        <v>687</v>
      </c>
      <c r="K29" s="525">
        <v>409</v>
      </c>
      <c r="L29" s="525">
        <v>278</v>
      </c>
      <c r="M29" s="527">
        <f t="shared" si="21"/>
        <v>-1.3015136932365037</v>
      </c>
      <c r="N29" s="527">
        <f t="shared" si="30"/>
        <v>-1.3015136932365037</v>
      </c>
      <c r="O29" s="528">
        <f t="shared" si="22"/>
        <v>2.5653694175171275</v>
      </c>
      <c r="P29" s="525">
        <v>16339</v>
      </c>
      <c r="Q29" s="528">
        <v>201.73225508526119</v>
      </c>
      <c r="R29" s="529">
        <v>443.93</v>
      </c>
      <c r="T29" s="524" t="s">
        <v>4</v>
      </c>
      <c r="U29" s="525">
        <v>35177</v>
      </c>
      <c r="V29" s="525">
        <f t="shared" si="23"/>
        <v>688</v>
      </c>
      <c r="W29" s="530">
        <f t="shared" si="24"/>
        <v>0.49849294120254428</v>
      </c>
      <c r="X29" s="530">
        <f t="shared" si="25"/>
        <v>0.50150705879745572</v>
      </c>
      <c r="Y29" s="525">
        <f t="shared" si="26"/>
        <v>1</v>
      </c>
      <c r="Z29" s="530">
        <f t="shared" si="31"/>
        <v>0.49774998604209703</v>
      </c>
      <c r="AA29" s="530">
        <f t="shared" si="32"/>
        <v>0.50225001395790292</v>
      </c>
      <c r="AB29" s="525">
        <f t="shared" si="27"/>
        <v>687</v>
      </c>
      <c r="AC29" s="525">
        <v>409</v>
      </c>
      <c r="AD29" s="525">
        <v>278</v>
      </c>
      <c r="AE29" s="527">
        <f t="shared" si="28"/>
        <v>37.051792828685258</v>
      </c>
      <c r="AF29" s="527">
        <f t="shared" si="33"/>
        <v>37.051792828685258</v>
      </c>
      <c r="AG29" s="528">
        <f t="shared" si="29"/>
        <v>1.9558234073400235E-2</v>
      </c>
      <c r="AH29" s="525">
        <v>16339</v>
      </c>
      <c r="AI29" s="528">
        <v>201.73225508526119</v>
      </c>
      <c r="AJ29" s="529">
        <v>443.93</v>
      </c>
    </row>
    <row r="30" spans="2:36" ht="24.95" customHeight="1">
      <c r="B30" s="524" t="s">
        <v>5</v>
      </c>
      <c r="C30" s="525">
        <v>35196</v>
      </c>
      <c r="D30" s="525">
        <f t="shared" si="16"/>
        <v>89539</v>
      </c>
      <c r="E30" s="526">
        <f t="shared" si="17"/>
        <v>44601</v>
      </c>
      <c r="F30" s="526">
        <f t="shared" si="18"/>
        <v>44938</v>
      </c>
      <c r="G30" s="525">
        <f t="shared" si="19"/>
        <v>88685</v>
      </c>
      <c r="H30" s="525">
        <v>44109</v>
      </c>
      <c r="I30" s="525">
        <v>44576</v>
      </c>
      <c r="J30" s="525">
        <f t="shared" si="20"/>
        <v>854</v>
      </c>
      <c r="K30" s="525">
        <v>492</v>
      </c>
      <c r="L30" s="525">
        <v>362</v>
      </c>
      <c r="M30" s="527">
        <f t="shared" si="21"/>
        <v>-0.77901642250836645</v>
      </c>
      <c r="N30" s="527">
        <f t="shared" si="30"/>
        <v>-0.77901642250836645</v>
      </c>
      <c r="O30" s="528">
        <f t="shared" si="22"/>
        <v>2.5440106830321629</v>
      </c>
      <c r="P30" s="525">
        <v>17006</v>
      </c>
      <c r="Q30" s="528">
        <v>199.76798666486462</v>
      </c>
      <c r="R30" s="529">
        <v>443.94</v>
      </c>
      <c r="T30" s="524" t="s">
        <v>5</v>
      </c>
      <c r="U30" s="525">
        <v>35196</v>
      </c>
      <c r="V30" s="525">
        <f t="shared" si="23"/>
        <v>855</v>
      </c>
      <c r="W30" s="530">
        <f t="shared" si="24"/>
        <v>0.49811813846480307</v>
      </c>
      <c r="X30" s="530">
        <f t="shared" si="25"/>
        <v>0.50188186153519698</v>
      </c>
      <c r="Y30" s="525">
        <f t="shared" si="26"/>
        <v>1</v>
      </c>
      <c r="Z30" s="530">
        <f t="shared" si="31"/>
        <v>0.4973670857529458</v>
      </c>
      <c r="AA30" s="530">
        <f t="shared" si="32"/>
        <v>0.50263291424705414</v>
      </c>
      <c r="AB30" s="525">
        <f t="shared" si="27"/>
        <v>854</v>
      </c>
      <c r="AC30" s="525">
        <v>492</v>
      </c>
      <c r="AD30" s="525">
        <v>362</v>
      </c>
      <c r="AE30" s="527">
        <f t="shared" si="28"/>
        <v>24.273255813953487</v>
      </c>
      <c r="AF30" s="527">
        <f t="shared" si="33"/>
        <v>24.273255813953487</v>
      </c>
      <c r="AG30" s="528">
        <f t="shared" si="29"/>
        <v>2.429253324241391E-2</v>
      </c>
      <c r="AH30" s="525">
        <v>17006</v>
      </c>
      <c r="AI30" s="528">
        <v>199.76798666486462</v>
      </c>
      <c r="AJ30" s="529">
        <v>443.94</v>
      </c>
    </row>
    <row r="31" spans="2:36" ht="24.95" customHeight="1">
      <c r="B31" s="524" t="s">
        <v>6</v>
      </c>
      <c r="C31" s="525">
        <v>35397</v>
      </c>
      <c r="D31" s="525">
        <f t="shared" si="16"/>
        <v>89231</v>
      </c>
      <c r="E31" s="526">
        <f t="shared" si="17"/>
        <v>44405</v>
      </c>
      <c r="F31" s="526">
        <f t="shared" si="18"/>
        <v>44826</v>
      </c>
      <c r="G31" s="525">
        <f t="shared" si="19"/>
        <v>88176</v>
      </c>
      <c r="H31" s="525">
        <v>43808</v>
      </c>
      <c r="I31" s="525">
        <v>44368</v>
      </c>
      <c r="J31" s="525">
        <f t="shared" si="20"/>
        <v>1055</v>
      </c>
      <c r="K31" s="525">
        <v>597</v>
      </c>
      <c r="L31" s="525">
        <v>458</v>
      </c>
      <c r="M31" s="527">
        <f t="shared" si="21"/>
        <v>-0.3439841856621137</v>
      </c>
      <c r="N31" s="527">
        <f t="shared" si="30"/>
        <v>-0.3439841856621137</v>
      </c>
      <c r="O31" s="528">
        <f t="shared" si="22"/>
        <v>2.5208633500014126</v>
      </c>
      <c r="P31" s="525">
        <v>17345</v>
      </c>
      <c r="Q31" s="528">
        <v>198.58117694750356</v>
      </c>
      <c r="R31" s="529">
        <v>444.03</v>
      </c>
      <c r="T31" s="524" t="s">
        <v>6</v>
      </c>
      <c r="U31" s="525">
        <v>35397</v>
      </c>
      <c r="V31" s="525">
        <f t="shared" si="23"/>
        <v>1056</v>
      </c>
      <c r="W31" s="530">
        <f t="shared" si="24"/>
        <v>0.49764095437684214</v>
      </c>
      <c r="X31" s="530">
        <f t="shared" si="25"/>
        <v>0.50235904562315792</v>
      </c>
      <c r="Y31" s="525">
        <f t="shared" si="26"/>
        <v>1</v>
      </c>
      <c r="Z31" s="530">
        <f t="shared" si="31"/>
        <v>0.49682453275267646</v>
      </c>
      <c r="AA31" s="530">
        <f t="shared" si="32"/>
        <v>0.50317546724732354</v>
      </c>
      <c r="AB31" s="525">
        <f t="shared" si="27"/>
        <v>1055</v>
      </c>
      <c r="AC31" s="525">
        <v>597</v>
      </c>
      <c r="AD31" s="525">
        <v>458</v>
      </c>
      <c r="AE31" s="527">
        <f t="shared" si="28"/>
        <v>23.508771929824562</v>
      </c>
      <c r="AF31" s="527">
        <f t="shared" si="33"/>
        <v>23.508771929824562</v>
      </c>
      <c r="AG31" s="528">
        <f t="shared" si="29"/>
        <v>2.9833036698025256E-2</v>
      </c>
      <c r="AH31" s="525">
        <v>17345</v>
      </c>
      <c r="AI31" s="528">
        <v>198.58117694750356</v>
      </c>
      <c r="AJ31" s="529">
        <v>444.03</v>
      </c>
    </row>
    <row r="32" spans="2:36" ht="24.95" customHeight="1">
      <c r="B32" s="524" t="s">
        <v>24</v>
      </c>
      <c r="C32" s="525">
        <v>35634</v>
      </c>
      <c r="D32" s="525">
        <f t="shared" si="16"/>
        <v>88865</v>
      </c>
      <c r="E32" s="526">
        <f t="shared" si="17"/>
        <v>44310</v>
      </c>
      <c r="F32" s="526">
        <f t="shared" si="18"/>
        <v>44555</v>
      </c>
      <c r="G32" s="525">
        <f t="shared" si="19"/>
        <v>87631</v>
      </c>
      <c r="H32" s="525">
        <v>43612</v>
      </c>
      <c r="I32" s="525">
        <v>44019</v>
      </c>
      <c r="J32" s="525">
        <f t="shared" si="20"/>
        <v>1234</v>
      </c>
      <c r="K32" s="525">
        <v>698</v>
      </c>
      <c r="L32" s="525">
        <v>536</v>
      </c>
      <c r="M32" s="527">
        <f t="shared" si="21"/>
        <v>-0.41017135300512153</v>
      </c>
      <c r="N32" s="527">
        <f t="shared" si="30"/>
        <v>-0.41017135300512153</v>
      </c>
      <c r="O32" s="528">
        <f t="shared" si="22"/>
        <v>2.4938261211202786</v>
      </c>
      <c r="P32" s="525">
        <v>17729</v>
      </c>
      <c r="Q32" s="528">
        <v>197.38489954049916</v>
      </c>
      <c r="R32" s="529">
        <v>443.96</v>
      </c>
      <c r="T32" s="524" t="s">
        <v>24</v>
      </c>
      <c r="U32" s="525">
        <v>35634</v>
      </c>
      <c r="V32" s="525">
        <f t="shared" si="23"/>
        <v>1235</v>
      </c>
      <c r="W32" s="530">
        <f t="shared" si="24"/>
        <v>0.49862150452934229</v>
      </c>
      <c r="X32" s="530">
        <f t="shared" si="25"/>
        <v>0.50137849547065771</v>
      </c>
      <c r="Y32" s="525">
        <f t="shared" si="26"/>
        <v>1</v>
      </c>
      <c r="Z32" s="530">
        <f t="shared" si="31"/>
        <v>0.49767776243566775</v>
      </c>
      <c r="AA32" s="530">
        <f t="shared" si="32"/>
        <v>0.50232223756433225</v>
      </c>
      <c r="AB32" s="525">
        <f t="shared" si="27"/>
        <v>1234</v>
      </c>
      <c r="AC32" s="525">
        <v>698</v>
      </c>
      <c r="AD32" s="525">
        <v>536</v>
      </c>
      <c r="AE32" s="527">
        <f t="shared" si="28"/>
        <v>16.950757575757574</v>
      </c>
      <c r="AF32" s="527">
        <f t="shared" si="33"/>
        <v>16.950757575757574</v>
      </c>
      <c r="AG32" s="528">
        <f t="shared" si="29"/>
        <v>3.4657910983891788E-2</v>
      </c>
      <c r="AH32" s="525">
        <v>17729</v>
      </c>
      <c r="AI32" s="528">
        <v>197.38489954049916</v>
      </c>
      <c r="AJ32" s="529">
        <v>443.96</v>
      </c>
    </row>
    <row r="33" spans="2:36" ht="24.95" customHeight="1">
      <c r="B33" s="524" t="s">
        <v>7</v>
      </c>
      <c r="C33" s="525">
        <v>36490</v>
      </c>
      <c r="D33" s="525">
        <f t="shared" si="16"/>
        <v>89603</v>
      </c>
      <c r="E33" s="526">
        <f t="shared" si="17"/>
        <v>44676</v>
      </c>
      <c r="F33" s="526">
        <f t="shared" si="18"/>
        <v>44927</v>
      </c>
      <c r="G33" s="525">
        <f t="shared" si="19"/>
        <v>88078</v>
      </c>
      <c r="H33" s="525">
        <v>43800</v>
      </c>
      <c r="I33" s="525">
        <v>44278</v>
      </c>
      <c r="J33" s="525">
        <f t="shared" si="20"/>
        <v>1525</v>
      </c>
      <c r="K33" s="525">
        <v>876</v>
      </c>
      <c r="L33" s="525">
        <v>649</v>
      </c>
      <c r="M33" s="527">
        <f t="shared" si="21"/>
        <v>0.83047318966972361</v>
      </c>
      <c r="N33" s="527">
        <f t="shared" si="30"/>
        <v>0.83047318966972361</v>
      </c>
      <c r="O33" s="528">
        <f t="shared" si="22"/>
        <v>2.4555494656070156</v>
      </c>
      <c r="P33" s="525">
        <v>18003</v>
      </c>
      <c r="Q33" s="528">
        <v>198.38727841971303</v>
      </c>
      <c r="R33" s="529">
        <v>443.97</v>
      </c>
      <c r="T33" s="524" t="s">
        <v>7</v>
      </c>
      <c r="U33" s="525">
        <v>36490</v>
      </c>
      <c r="V33" s="525">
        <f t="shared" si="23"/>
        <v>1526</v>
      </c>
      <c r="W33" s="530">
        <f t="shared" si="24"/>
        <v>0.49859937725299375</v>
      </c>
      <c r="X33" s="530">
        <f t="shared" si="25"/>
        <v>0.50140062274700625</v>
      </c>
      <c r="Y33" s="525">
        <f t="shared" si="26"/>
        <v>1</v>
      </c>
      <c r="Z33" s="530">
        <f t="shared" si="31"/>
        <v>0.49728649606031017</v>
      </c>
      <c r="AA33" s="530">
        <f t="shared" si="32"/>
        <v>0.50271350393968983</v>
      </c>
      <c r="AB33" s="525">
        <f t="shared" si="27"/>
        <v>1525</v>
      </c>
      <c r="AC33" s="525">
        <v>876</v>
      </c>
      <c r="AD33" s="525">
        <v>649</v>
      </c>
      <c r="AE33" s="527">
        <f t="shared" si="28"/>
        <v>23.562753036437247</v>
      </c>
      <c r="AF33" s="527">
        <f t="shared" si="33"/>
        <v>23.562753036437247</v>
      </c>
      <c r="AG33" s="528">
        <f t="shared" si="29"/>
        <v>4.1819676623732531E-2</v>
      </c>
      <c r="AH33" s="525">
        <v>18003</v>
      </c>
      <c r="AI33" s="528">
        <v>198.38727841971303</v>
      </c>
      <c r="AJ33" s="529">
        <v>443.97</v>
      </c>
    </row>
    <row r="34" spans="2:36" ht="24.95" customHeight="1">
      <c r="B34" s="524" t="s">
        <v>46</v>
      </c>
      <c r="C34" s="525">
        <v>36967</v>
      </c>
      <c r="D34" s="525">
        <f t="shared" si="16"/>
        <v>89739</v>
      </c>
      <c r="E34" s="526">
        <f t="shared" si="17"/>
        <v>44799</v>
      </c>
      <c r="F34" s="526">
        <f t="shared" si="18"/>
        <v>44940</v>
      </c>
      <c r="G34" s="525">
        <f t="shared" si="19"/>
        <v>88108</v>
      </c>
      <c r="H34" s="525">
        <v>43842</v>
      </c>
      <c r="I34" s="525">
        <v>44266</v>
      </c>
      <c r="J34" s="525">
        <f t="shared" si="20"/>
        <v>1631</v>
      </c>
      <c r="K34" s="525">
        <v>957</v>
      </c>
      <c r="L34" s="525">
        <v>674</v>
      </c>
      <c r="M34" s="527">
        <f t="shared" si="21"/>
        <v>0.15178063234489916</v>
      </c>
      <c r="N34" s="527">
        <f t="shared" si="30"/>
        <v>0.15178063234489916</v>
      </c>
      <c r="O34" s="528">
        <f t="shared" si="22"/>
        <v>2.4275434847296236</v>
      </c>
      <c r="P34" s="525">
        <v>18315</v>
      </c>
      <c r="Q34" s="528">
        <v>198.4637909674513</v>
      </c>
      <c r="R34" s="529">
        <v>443.95</v>
      </c>
      <c r="T34" s="524" t="s">
        <v>46</v>
      </c>
      <c r="U34" s="525">
        <v>36967</v>
      </c>
      <c r="V34" s="525">
        <f t="shared" si="23"/>
        <v>1632</v>
      </c>
      <c r="W34" s="530">
        <f t="shared" si="24"/>
        <v>0.49921438839300636</v>
      </c>
      <c r="X34" s="530">
        <f t="shared" si="25"/>
        <v>0.50078561160699364</v>
      </c>
      <c r="Y34" s="525">
        <f t="shared" si="26"/>
        <v>1</v>
      </c>
      <c r="Z34" s="530">
        <f t="shared" si="31"/>
        <v>0.49759386207835837</v>
      </c>
      <c r="AA34" s="530">
        <f t="shared" si="32"/>
        <v>0.50240613792164157</v>
      </c>
      <c r="AB34" s="525">
        <f t="shared" si="27"/>
        <v>1631</v>
      </c>
      <c r="AC34" s="525">
        <v>957</v>
      </c>
      <c r="AD34" s="525">
        <v>674</v>
      </c>
      <c r="AE34" s="527">
        <f t="shared" si="28"/>
        <v>6.9462647444298824</v>
      </c>
      <c r="AF34" s="527">
        <f t="shared" si="33"/>
        <v>6.9462647444298824</v>
      </c>
      <c r="AG34" s="528">
        <f t="shared" si="29"/>
        <v>4.4147482890145265E-2</v>
      </c>
      <c r="AH34" s="525">
        <v>18315</v>
      </c>
      <c r="AI34" s="528">
        <v>198.4637909674513</v>
      </c>
      <c r="AJ34" s="529">
        <v>443.95</v>
      </c>
    </row>
    <row r="35" spans="2:36" ht="24.95" customHeight="1">
      <c r="B35" s="524" t="s">
        <v>316</v>
      </c>
      <c r="C35" s="525">
        <v>37536</v>
      </c>
      <c r="D35" s="525">
        <f t="shared" si="16"/>
        <v>89990</v>
      </c>
      <c r="E35" s="526">
        <f t="shared" si="17"/>
        <v>44239</v>
      </c>
      <c r="F35" s="526">
        <f t="shared" si="18"/>
        <v>45751</v>
      </c>
      <c r="G35" s="525">
        <f t="shared" si="19"/>
        <v>88415</v>
      </c>
      <c r="H35" s="525">
        <v>44035</v>
      </c>
      <c r="I35" s="525">
        <v>44380</v>
      </c>
      <c r="J35" s="525">
        <f t="shared" si="20"/>
        <v>1575</v>
      </c>
      <c r="K35" s="525">
        <v>204</v>
      </c>
      <c r="L35" s="525">
        <v>1371</v>
      </c>
      <c r="M35" s="527">
        <f t="shared" si="21"/>
        <v>0.27970001894382596</v>
      </c>
      <c r="N35" s="527">
        <f t="shared" si="30"/>
        <v>0.27970001894382596</v>
      </c>
      <c r="O35" s="528">
        <f t="shared" si="22"/>
        <v>2.3974317988064793</v>
      </c>
      <c r="P35" s="525">
        <v>18735</v>
      </c>
      <c r="Q35" s="528">
        <v>199.14633871657995</v>
      </c>
      <c r="R35" s="529">
        <v>443.97</v>
      </c>
      <c r="T35" s="524" t="s">
        <v>316</v>
      </c>
      <c r="U35" s="525">
        <v>37536</v>
      </c>
      <c r="V35" s="525">
        <f t="shared" si="23"/>
        <v>1576</v>
      </c>
      <c r="W35" s="530">
        <f t="shared" si="24"/>
        <v>0.49159906656295144</v>
      </c>
      <c r="X35" s="530">
        <f t="shared" si="25"/>
        <v>0.50840093343704851</v>
      </c>
      <c r="Y35" s="525">
        <f t="shared" si="26"/>
        <v>1</v>
      </c>
      <c r="Z35" s="530">
        <f t="shared" si="31"/>
        <v>0.49804897359045414</v>
      </c>
      <c r="AA35" s="530">
        <f t="shared" si="32"/>
        <v>0.50195102640954592</v>
      </c>
      <c r="AB35" s="525">
        <f t="shared" si="27"/>
        <v>1575</v>
      </c>
      <c r="AC35" s="525">
        <v>204</v>
      </c>
      <c r="AD35" s="525">
        <v>1371</v>
      </c>
      <c r="AE35" s="527">
        <f t="shared" si="28"/>
        <v>-3.4313725490196081</v>
      </c>
      <c r="AF35" s="527">
        <f t="shared" si="33"/>
        <v>-3.4313725490196081</v>
      </c>
      <c r="AG35" s="528">
        <f t="shared" si="29"/>
        <v>4.1986359761295826E-2</v>
      </c>
      <c r="AH35" s="525">
        <v>18735</v>
      </c>
      <c r="AI35" s="528">
        <v>199.14633871657995</v>
      </c>
      <c r="AJ35" s="529">
        <v>443.97</v>
      </c>
    </row>
    <row r="36" spans="2:36" ht="24.95" customHeight="1">
      <c r="B36" s="524" t="s">
        <v>317</v>
      </c>
      <c r="C36" s="525">
        <v>38320</v>
      </c>
      <c r="D36" s="525">
        <f t="shared" si="16"/>
        <v>89704</v>
      </c>
      <c r="E36" s="525">
        <f>H36+K36</f>
        <v>44702</v>
      </c>
      <c r="F36" s="525">
        <f t="shared" si="18"/>
        <v>45002</v>
      </c>
      <c r="G36" s="525">
        <f t="shared" si="19"/>
        <v>88126</v>
      </c>
      <c r="H36" s="525">
        <v>43720</v>
      </c>
      <c r="I36" s="525">
        <v>44406</v>
      </c>
      <c r="J36" s="525">
        <f t="shared" si="20"/>
        <v>1578</v>
      </c>
      <c r="K36" s="525">
        <v>982</v>
      </c>
      <c r="L36" s="525">
        <v>596</v>
      </c>
      <c r="M36" s="527">
        <f t="shared" si="21"/>
        <v>-0.31781309034337152</v>
      </c>
      <c r="N36" s="527">
        <f t="shared" si="30"/>
        <v>-0.31781309034337152</v>
      </c>
      <c r="O36" s="528">
        <f>D36/C36</f>
        <v>2.3409185803757828</v>
      </c>
      <c r="P36" s="525">
        <v>19306</v>
      </c>
      <c r="Q36" s="528">
        <f>G36/R36</f>
        <v>198.49092301455019</v>
      </c>
      <c r="R36" s="529">
        <v>443.98</v>
      </c>
      <c r="T36" s="524" t="s">
        <v>317</v>
      </c>
      <c r="U36" s="525">
        <v>38320</v>
      </c>
      <c r="V36" s="525">
        <f t="shared" si="23"/>
        <v>1579</v>
      </c>
      <c r="W36" s="530">
        <f t="shared" si="24"/>
        <v>0.49832783376438061</v>
      </c>
      <c r="X36" s="530">
        <f t="shared" si="25"/>
        <v>0.50167216623561939</v>
      </c>
      <c r="Y36" s="525">
        <f t="shared" si="26"/>
        <v>1</v>
      </c>
      <c r="Z36" s="530">
        <f t="shared" si="31"/>
        <v>0.49610784558473098</v>
      </c>
      <c r="AA36" s="530">
        <f t="shared" si="32"/>
        <v>0.50389215441526902</v>
      </c>
      <c r="AB36" s="525">
        <f t="shared" si="27"/>
        <v>1578</v>
      </c>
      <c r="AC36" s="525">
        <v>982</v>
      </c>
      <c r="AD36" s="525">
        <v>596</v>
      </c>
      <c r="AE36" s="527">
        <f t="shared" si="28"/>
        <v>0.19035532994923859</v>
      </c>
      <c r="AF36" s="527">
        <f t="shared" si="33"/>
        <v>0.19035532994923859</v>
      </c>
      <c r="AG36" s="528">
        <f>V36/U36</f>
        <v>4.1205636743215028E-2</v>
      </c>
      <c r="AH36" s="525">
        <v>19306</v>
      </c>
      <c r="AI36" s="528">
        <f>Y36/AJ36</f>
        <v>2.2523537096265597E-3</v>
      </c>
      <c r="AJ36" s="529">
        <v>443.98</v>
      </c>
    </row>
    <row r="37" spans="2:36" ht="24.95" customHeight="1">
      <c r="B37" s="524" t="s">
        <v>586</v>
      </c>
      <c r="C37" s="525">
        <v>39530</v>
      </c>
      <c r="D37" s="525">
        <f t="shared" si="16"/>
        <v>93727</v>
      </c>
      <c r="E37" s="525">
        <f t="shared" si="17"/>
        <v>47073</v>
      </c>
      <c r="F37" s="525">
        <f>I37+L37</f>
        <v>46654</v>
      </c>
      <c r="G37" s="525">
        <f t="shared" si="19"/>
        <v>91866</v>
      </c>
      <c r="H37" s="525">
        <v>45847</v>
      </c>
      <c r="I37" s="525">
        <v>46019</v>
      </c>
      <c r="J37" s="525">
        <f t="shared" si="20"/>
        <v>1861</v>
      </c>
      <c r="K37" s="525">
        <v>1226</v>
      </c>
      <c r="L37" s="525">
        <v>635</v>
      </c>
      <c r="M37" s="527">
        <f>N37</f>
        <v>4.4847498439311506</v>
      </c>
      <c r="N37" s="527">
        <f t="shared" si="30"/>
        <v>4.4847498439311506</v>
      </c>
      <c r="O37" s="528">
        <f>D37/C37</f>
        <v>2.3710346572223626</v>
      </c>
      <c r="P37" s="525">
        <v>20006</v>
      </c>
      <c r="Q37" s="528">
        <v>206.92</v>
      </c>
      <c r="R37" s="529">
        <v>443.97</v>
      </c>
      <c r="T37" s="524" t="s">
        <v>586</v>
      </c>
      <c r="U37" s="525">
        <v>39530</v>
      </c>
      <c r="V37" s="525">
        <f t="shared" si="23"/>
        <v>1862</v>
      </c>
      <c r="W37" s="530">
        <f t="shared" si="24"/>
        <v>0.50223521503942303</v>
      </c>
      <c r="X37" s="530">
        <f t="shared" si="25"/>
        <v>0.49776478496057702</v>
      </c>
      <c r="Y37" s="525">
        <f t="shared" si="26"/>
        <v>1</v>
      </c>
      <c r="Z37" s="530">
        <f t="shared" si="31"/>
        <v>0.499063853874121</v>
      </c>
      <c r="AA37" s="530">
        <f t="shared" si="32"/>
        <v>0.500936146125879</v>
      </c>
      <c r="AB37" s="525">
        <f t="shared" si="27"/>
        <v>1861</v>
      </c>
      <c r="AC37" s="525">
        <v>1226</v>
      </c>
      <c r="AD37" s="525">
        <v>635</v>
      </c>
      <c r="AE37" s="527">
        <f>AF37</f>
        <v>17.922735908803038</v>
      </c>
      <c r="AF37" s="527">
        <f t="shared" si="33"/>
        <v>17.922735908803038</v>
      </c>
      <c r="AG37" s="528">
        <f>V37/U37</f>
        <v>4.7103465722236275E-2</v>
      </c>
      <c r="AH37" s="525">
        <v>20006</v>
      </c>
      <c r="AI37" s="528">
        <v>206.92</v>
      </c>
      <c r="AJ37" s="529">
        <v>443.97</v>
      </c>
    </row>
    <row r="38" spans="2:36" ht="24.95" customHeight="1">
      <c r="B38" s="531" t="s">
        <v>587</v>
      </c>
      <c r="C38" s="532">
        <v>41008</v>
      </c>
      <c r="D38" s="532">
        <f t="shared" si="16"/>
        <v>94553</v>
      </c>
      <c r="E38" s="532">
        <f t="shared" si="17"/>
        <v>47198</v>
      </c>
      <c r="F38" s="532">
        <f t="shared" si="18"/>
        <v>47355</v>
      </c>
      <c r="G38" s="532">
        <f t="shared" si="19"/>
        <v>94553</v>
      </c>
      <c r="H38" s="532">
        <v>47198</v>
      </c>
      <c r="I38" s="532">
        <v>47355</v>
      </c>
      <c r="J38" s="532">
        <f t="shared" si="20"/>
        <v>0</v>
      </c>
      <c r="K38" s="532">
        <v>0</v>
      </c>
      <c r="L38" s="532">
        <v>0</v>
      </c>
      <c r="M38" s="533">
        <f t="shared" si="21"/>
        <v>0.88128287473193423</v>
      </c>
      <c r="N38" s="533">
        <f t="shared" si="30"/>
        <v>0.88128287473193423</v>
      </c>
      <c r="O38" s="534">
        <f>D38/C38</f>
        <v>2.3057208349590326</v>
      </c>
      <c r="P38" s="532"/>
      <c r="Q38" s="534"/>
      <c r="R38" s="535"/>
      <c r="T38" s="531" t="s">
        <v>587</v>
      </c>
      <c r="U38" s="532">
        <v>41008</v>
      </c>
      <c r="V38" s="532">
        <f t="shared" si="23"/>
        <v>1</v>
      </c>
      <c r="W38" s="530">
        <f>E38/$D38</f>
        <v>0.49916977779657967</v>
      </c>
      <c r="X38" s="530">
        <f>F38/$D38</f>
        <v>0.50083022220342033</v>
      </c>
      <c r="Y38" s="532">
        <f t="shared" si="26"/>
        <v>1</v>
      </c>
      <c r="Z38" s="530">
        <f t="shared" si="31"/>
        <v>0.49916977779657967</v>
      </c>
      <c r="AA38" s="530">
        <f t="shared" si="32"/>
        <v>0.50083022220342033</v>
      </c>
      <c r="AB38" s="532">
        <f t="shared" si="27"/>
        <v>0</v>
      </c>
      <c r="AC38" s="532">
        <v>0</v>
      </c>
      <c r="AD38" s="532">
        <v>0</v>
      </c>
      <c r="AE38" s="533">
        <f t="shared" ref="AE38" si="34">AF38</f>
        <v>-99.946294307196553</v>
      </c>
      <c r="AF38" s="533">
        <f t="shared" si="33"/>
        <v>-99.946294307196553</v>
      </c>
      <c r="AG38" s="534">
        <f>V38/U38</f>
        <v>2.4385485758876317E-5</v>
      </c>
      <c r="AH38" s="532"/>
      <c r="AI38" s="534"/>
      <c r="AJ38" s="535"/>
    </row>
    <row r="39" spans="2:36" ht="24.95" customHeight="1">
      <c r="B39" s="498" t="s">
        <v>991</v>
      </c>
      <c r="C39" s="443"/>
      <c r="D39" s="443"/>
      <c r="E39" s="443"/>
      <c r="F39" s="443"/>
      <c r="G39" s="443"/>
      <c r="H39" s="443"/>
      <c r="I39" s="443"/>
      <c r="J39" s="443"/>
      <c r="K39" s="443"/>
      <c r="L39" s="443"/>
      <c r="M39" s="443"/>
      <c r="N39" s="443"/>
      <c r="O39" s="443"/>
      <c r="P39" s="443"/>
      <c r="Q39" s="443"/>
      <c r="R39" s="443"/>
    </row>
    <row r="40" spans="2:36" ht="24.95" customHeight="1"/>
    <row r="41" spans="2:36" ht="24.95" customHeight="1"/>
    <row r="42" spans="2:36" ht="24.95" customHeight="1">
      <c r="B42" s="462" t="s">
        <v>1018</v>
      </c>
    </row>
    <row r="43" spans="2:36" ht="24.95" customHeight="1">
      <c r="B43" s="945" t="s">
        <v>1019</v>
      </c>
      <c r="C43" s="946"/>
      <c r="D43" s="536" t="s">
        <v>1020</v>
      </c>
      <c r="E43" s="536" t="s">
        <v>1021</v>
      </c>
      <c r="G43" s="463" t="s">
        <v>1019</v>
      </c>
      <c r="H43" s="463" t="s">
        <v>1025</v>
      </c>
      <c r="I43" s="537" t="s">
        <v>1026</v>
      </c>
      <c r="J43" s="498" t="s">
        <v>1027</v>
      </c>
    </row>
    <row r="44" spans="2:36" ht="24.95" customHeight="1">
      <c r="B44" s="947" t="s">
        <v>1022</v>
      </c>
      <c r="C44" s="948"/>
      <c r="D44" s="538">
        <f>SUM(D45:D46)</f>
        <v>10951</v>
      </c>
      <c r="E44" s="539">
        <f>SUM(E45:E46)</f>
        <v>1</v>
      </c>
      <c r="G44" s="540" t="s">
        <v>1022</v>
      </c>
      <c r="H44" s="540"/>
      <c r="I44" s="537"/>
      <c r="J44" s="541"/>
    </row>
    <row r="45" spans="2:36" ht="24.95" customHeight="1">
      <c r="B45" s="949" t="s">
        <v>1023</v>
      </c>
      <c r="C45" s="949"/>
      <c r="D45" s="542">
        <v>10814</v>
      </c>
      <c r="E45" s="543">
        <f>(D45/D44)</f>
        <v>0.98748972696557391</v>
      </c>
      <c r="G45" s="537">
        <v>2013</v>
      </c>
      <c r="H45" s="542">
        <f t="shared" ref="H45:I47" si="35">$D16*I$50</f>
        <v>43637.921144754793</v>
      </c>
      <c r="I45" s="542">
        <f t="shared" si="35"/>
        <v>43783.078855245207</v>
      </c>
      <c r="J45" s="544">
        <f>SUM(H45:I45)</f>
        <v>87421</v>
      </c>
      <c r="K45" s="545">
        <f>D16</f>
        <v>87421</v>
      </c>
      <c r="L45" s="498" t="b">
        <f>J45=K45</f>
        <v>1</v>
      </c>
    </row>
    <row r="46" spans="2:36" ht="24.95" customHeight="1">
      <c r="B46" s="949" t="s">
        <v>1024</v>
      </c>
      <c r="C46" s="949"/>
      <c r="D46" s="542">
        <v>137</v>
      </c>
      <c r="E46" s="543">
        <f>(D46/D44)</f>
        <v>1.2510273034426081E-2</v>
      </c>
      <c r="G46" s="546">
        <v>2014</v>
      </c>
      <c r="H46" s="542">
        <f t="shared" si="35"/>
        <v>43784.177889649189</v>
      </c>
      <c r="I46" s="542">
        <f t="shared" si="35"/>
        <v>43929.822110350811</v>
      </c>
      <c r="J46" s="544">
        <f t="shared" ref="J46:J47" si="36">SUM(H46:I46)</f>
        <v>87714</v>
      </c>
      <c r="K46" s="545">
        <f t="shared" ref="K46:K47" si="37">D17</f>
        <v>87714</v>
      </c>
      <c r="L46" s="498" t="b">
        <f t="shared" ref="L46:L47" si="38">J46=K46</f>
        <v>1</v>
      </c>
    </row>
    <row r="47" spans="2:36" ht="24.95" customHeight="1">
      <c r="G47" s="546">
        <v>2015</v>
      </c>
      <c r="H47" s="542">
        <f t="shared" si="35"/>
        <v>41799.978022907788</v>
      </c>
      <c r="I47" s="542">
        <f t="shared" si="35"/>
        <v>41939.021977092212</v>
      </c>
      <c r="J47" s="544">
        <f t="shared" si="36"/>
        <v>83739</v>
      </c>
      <c r="K47" s="545">
        <f t="shared" si="37"/>
        <v>83739</v>
      </c>
      <c r="L47" s="498" t="b">
        <f t="shared" si="38"/>
        <v>1</v>
      </c>
    </row>
    <row r="48" spans="2:36" ht="24.95" customHeight="1"/>
    <row r="49" spans="7:10" ht="24.95" customHeight="1">
      <c r="G49" s="541" t="s">
        <v>1028</v>
      </c>
      <c r="H49" s="547">
        <v>94553</v>
      </c>
      <c r="I49" s="547">
        <v>47198</v>
      </c>
      <c r="J49" s="547">
        <v>47355</v>
      </c>
    </row>
    <row r="50" spans="7:10" ht="24.95" customHeight="1">
      <c r="G50" s="541" t="s">
        <v>1029</v>
      </c>
      <c r="H50" s="541"/>
      <c r="I50" s="548">
        <f>I49/H49</f>
        <v>0.49916977779657967</v>
      </c>
      <c r="J50" s="548">
        <f>J49/H49</f>
        <v>0.50083022220342033</v>
      </c>
    </row>
    <row r="51" spans="7:10" ht="24.95" customHeight="1"/>
    <row r="52" spans="7:10" ht="24.95" customHeight="1"/>
    <row r="53" spans="7:10" ht="24.95" customHeight="1"/>
    <row r="54" spans="7:10" ht="24.95" customHeight="1"/>
    <row r="55" spans="7:10" ht="24.95" customHeight="1"/>
    <row r="56" spans="7:10" ht="24.95" customHeight="1"/>
    <row r="57" spans="7:10" ht="24.95" customHeight="1"/>
    <row r="58" spans="7:10" ht="24.95" customHeight="1"/>
    <row r="59" spans="7:10" ht="24.95" customHeight="1"/>
    <row r="60" spans="7:10" ht="24.95" customHeight="1"/>
    <row r="61" spans="7:10" ht="24.95" customHeight="1"/>
    <row r="62" spans="7:10" ht="24.95" customHeight="1"/>
    <row r="63" spans="7:10" ht="24.95" customHeight="1"/>
    <row r="64" spans="7:10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</sheetData>
  <mergeCells count="34">
    <mergeCell ref="AE25:AE26"/>
    <mergeCell ref="AG25:AG26"/>
    <mergeCell ref="AH25:AH26"/>
    <mergeCell ref="AI25:AI26"/>
    <mergeCell ref="AJ25:AJ26"/>
    <mergeCell ref="V25:X25"/>
    <mergeCell ref="T25:T26"/>
    <mergeCell ref="U25:U26"/>
    <mergeCell ref="Y25:AA25"/>
    <mergeCell ref="AB25:AD25"/>
    <mergeCell ref="B43:C43"/>
    <mergeCell ref="B44:C44"/>
    <mergeCell ref="B45:C45"/>
    <mergeCell ref="B46:C46"/>
    <mergeCell ref="B5:B6"/>
    <mergeCell ref="B25:B26"/>
    <mergeCell ref="C25:C26"/>
    <mergeCell ref="Q5:Q6"/>
    <mergeCell ref="R5:R6"/>
    <mergeCell ref="J5:L5"/>
    <mergeCell ref="G5:I5"/>
    <mergeCell ref="C5:C6"/>
    <mergeCell ref="D5:F5"/>
    <mergeCell ref="M5:M6"/>
    <mergeCell ref="O5:O6"/>
    <mergeCell ref="P5:P6"/>
    <mergeCell ref="P25:P26"/>
    <mergeCell ref="Q25:Q26"/>
    <mergeCell ref="R25:R26"/>
    <mergeCell ref="D25:F25"/>
    <mergeCell ref="G25:I25"/>
    <mergeCell ref="J25:L25"/>
    <mergeCell ref="M25:M26"/>
    <mergeCell ref="O25:O26"/>
  </mergeCells>
  <phoneticPr fontId="10" type="noConversion"/>
  <pageMargins left="0.7" right="0.7" top="0.75" bottom="0.75" header="0.3" footer="0.3"/>
  <pageSetup paperSize="9" scale="6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31">
    <tabColor theme="1"/>
  </sheetPr>
  <dimension ref="A1:P54"/>
  <sheetViews>
    <sheetView view="pageBreakPreview" zoomScale="85" zoomScaleNormal="75" zoomScaleSheetLayoutView="85" workbookViewId="0">
      <pane ySplit="15" topLeftCell="A16" activePane="bottomLeft" state="frozen"/>
      <selection activeCell="B22" sqref="B22"/>
      <selection pane="bottomLeft" activeCell="C35" sqref="C35"/>
    </sheetView>
  </sheetViews>
  <sheetFormatPr defaultRowHeight="16.5"/>
  <cols>
    <col min="1" max="1" width="12.6640625" style="30" customWidth="1"/>
    <col min="2" max="6" width="10.77734375" style="30" customWidth="1"/>
    <col min="7" max="7" width="7.109375" style="30"/>
    <col min="8" max="16" width="12.109375" style="36" customWidth="1"/>
    <col min="17" max="16384" width="8.88671875" style="30"/>
  </cols>
  <sheetData>
    <row r="1" spans="1:16" s="35" customFormat="1" ht="24.95" customHeight="1">
      <c r="A1" s="1136" t="s">
        <v>197</v>
      </c>
      <c r="B1" s="1136"/>
      <c r="C1" s="1136"/>
      <c r="D1" s="1136"/>
      <c r="E1" s="1136"/>
      <c r="F1" s="1136"/>
      <c r="H1" s="298"/>
      <c r="I1" s="298"/>
      <c r="J1" s="36"/>
      <c r="K1" s="36"/>
      <c r="L1" s="36"/>
      <c r="M1" s="36"/>
      <c r="N1" s="36"/>
      <c r="O1" s="36"/>
      <c r="P1" s="36"/>
    </row>
    <row r="2" spans="1:16" s="37" customFormat="1" ht="20.100000000000001" customHeight="1">
      <c r="A2" s="1137" t="s">
        <v>196</v>
      </c>
      <c r="B2" s="1137"/>
      <c r="C2" s="1137"/>
      <c r="D2" s="1137"/>
      <c r="E2" s="1137"/>
      <c r="F2" s="1137"/>
      <c r="H2" s="279" t="s">
        <v>595</v>
      </c>
      <c r="I2" s="279" t="s">
        <v>596</v>
      </c>
      <c r="J2" s="36"/>
      <c r="K2" s="36"/>
      <c r="L2" s="36"/>
      <c r="M2" s="36"/>
      <c r="N2" s="36"/>
      <c r="O2" s="36"/>
      <c r="P2" s="36"/>
    </row>
    <row r="3" spans="1:16" s="37" customFormat="1" ht="12" customHeight="1">
      <c r="A3" s="38"/>
      <c r="B3" s="38"/>
      <c r="C3" s="38"/>
      <c r="D3" s="38"/>
      <c r="E3" s="38"/>
      <c r="F3" s="38"/>
      <c r="H3" s="279" t="s">
        <v>597</v>
      </c>
      <c r="I3" s="279" t="s">
        <v>598</v>
      </c>
      <c r="J3" s="36"/>
      <c r="K3" s="36"/>
      <c r="L3" s="36"/>
      <c r="M3" s="36"/>
      <c r="N3" s="36"/>
      <c r="O3" s="36"/>
      <c r="P3" s="36"/>
    </row>
    <row r="4" spans="1:16" s="37" customFormat="1" ht="20.100000000000001" customHeight="1">
      <c r="A4" s="39" t="s">
        <v>195</v>
      </c>
      <c r="B4" s="39"/>
      <c r="C4" s="39"/>
      <c r="D4" s="39"/>
      <c r="E4" s="39"/>
      <c r="F4" s="39"/>
      <c r="H4" s="279" t="s">
        <v>599</v>
      </c>
      <c r="I4" s="279" t="s">
        <v>600</v>
      </c>
      <c r="J4" s="36"/>
      <c r="K4" s="36"/>
      <c r="L4" s="36"/>
      <c r="M4" s="36"/>
      <c r="N4" s="36"/>
      <c r="O4" s="36"/>
      <c r="P4" s="36"/>
    </row>
    <row r="5" spans="1:16" s="41" customFormat="1" ht="24.95" customHeight="1" thickBot="1">
      <c r="A5" s="40"/>
      <c r="B5" s="40"/>
      <c r="C5" s="40"/>
      <c r="D5" s="1138" t="s">
        <v>194</v>
      </c>
      <c r="E5" s="1138"/>
      <c r="F5" s="1138"/>
      <c r="H5" s="279" t="s">
        <v>601</v>
      </c>
      <c r="I5" s="279" t="s">
        <v>602</v>
      </c>
      <c r="J5" s="36"/>
      <c r="K5" s="36"/>
      <c r="L5" s="36"/>
      <c r="M5" s="36"/>
      <c r="N5" s="36"/>
      <c r="O5" s="36"/>
      <c r="P5" s="36"/>
    </row>
    <row r="6" spans="1:16" s="44" customFormat="1" ht="20.100000000000001" customHeight="1">
      <c r="A6" s="42" t="s">
        <v>193</v>
      </c>
      <c r="B6" s="299" t="s">
        <v>192</v>
      </c>
      <c r="C6" s="299" t="s">
        <v>191</v>
      </c>
      <c r="D6" s="299" t="s">
        <v>190</v>
      </c>
      <c r="E6" s="300" t="s">
        <v>189</v>
      </c>
      <c r="F6" s="43" t="s">
        <v>594</v>
      </c>
      <c r="H6" s="279" t="s">
        <v>603</v>
      </c>
      <c r="I6" s="279" t="s">
        <v>604</v>
      </c>
      <c r="J6" s="36"/>
      <c r="K6" s="36"/>
      <c r="L6" s="36"/>
      <c r="M6" s="36"/>
      <c r="N6" s="36"/>
      <c r="O6" s="36"/>
      <c r="P6" s="36"/>
    </row>
    <row r="7" spans="1:16" s="44" customFormat="1" ht="15" customHeight="1">
      <c r="A7" s="763" t="s">
        <v>134</v>
      </c>
      <c r="B7" s="45">
        <f>J19</f>
        <v>1.28</v>
      </c>
      <c r="C7" s="45">
        <f>K19</f>
        <v>1.35</v>
      </c>
      <c r="D7" s="45">
        <f>L19</f>
        <v>1.38</v>
      </c>
      <c r="E7" s="45">
        <f>M19</f>
        <v>1.41</v>
      </c>
      <c r="F7" s="45">
        <f>N19</f>
        <v>1.42</v>
      </c>
      <c r="H7" s="279" t="s">
        <v>605</v>
      </c>
      <c r="I7" s="279" t="s">
        <v>606</v>
      </c>
      <c r="J7" s="36"/>
      <c r="K7" s="36"/>
      <c r="L7" s="36"/>
      <c r="M7" s="36"/>
      <c r="N7" s="36"/>
      <c r="O7" s="36"/>
      <c r="P7" s="36"/>
    </row>
    <row r="8" spans="1:16" s="44" customFormat="1" ht="15" customHeight="1">
      <c r="A8" s="46" t="s">
        <v>225</v>
      </c>
      <c r="B8" s="47">
        <f>AVERAGE(J20:J24)*1000</f>
        <v>1.5799999999999998</v>
      </c>
      <c r="C8" s="47">
        <f>AVERAGE(K20:K24)*1000</f>
        <v>1.5799999999999998</v>
      </c>
      <c r="D8" s="47">
        <f>AVERAGE(L20:L24)*1000</f>
        <v>1.5799999999999998</v>
      </c>
      <c r="E8" s="47">
        <f>AVERAGE(M20:M24)*1000</f>
        <v>1.5799999999999998</v>
      </c>
      <c r="F8" s="47">
        <f>AVERAGE(N20:N24)*1000</f>
        <v>1.5799999999999998</v>
      </c>
      <c r="H8" s="279" t="s">
        <v>124</v>
      </c>
      <c r="I8" s="279" t="s">
        <v>607</v>
      </c>
      <c r="J8" s="36"/>
      <c r="K8" s="36"/>
      <c r="L8" s="36"/>
      <c r="M8" s="36"/>
      <c r="N8" s="36"/>
      <c r="O8" s="36"/>
      <c r="P8" s="36"/>
    </row>
    <row r="9" spans="1:16" s="44" customFormat="1" ht="15" customHeight="1">
      <c r="A9" s="46" t="s">
        <v>224</v>
      </c>
      <c r="B9" s="47">
        <f>AVERAGE(J25:J29)*1000</f>
        <v>14.9</v>
      </c>
      <c r="C9" s="47">
        <f>AVERAGE(K25:K29)*1000</f>
        <v>14.419999999999998</v>
      </c>
      <c r="D9" s="47">
        <f>AVERAGE(L25:L29)*1000</f>
        <v>14.419999999999998</v>
      </c>
      <c r="E9" s="47">
        <f>AVERAGE(M25:M29)*1000</f>
        <v>14.419999999999998</v>
      </c>
      <c r="F9" s="47">
        <f>AVERAGE(N25:N29)*1000</f>
        <v>14.419999999999998</v>
      </c>
      <c r="H9" s="279" t="s">
        <v>608</v>
      </c>
      <c r="I9" s="280"/>
      <c r="J9" s="36"/>
      <c r="K9" s="36"/>
      <c r="L9" s="36"/>
      <c r="M9" s="36"/>
      <c r="N9" s="36"/>
      <c r="O9" s="36"/>
      <c r="P9" s="36"/>
    </row>
    <row r="10" spans="1:16" s="44" customFormat="1" ht="15" customHeight="1">
      <c r="A10" s="46" t="s">
        <v>223</v>
      </c>
      <c r="B10" s="47">
        <f>AVERAGE(J30:J34)*1000</f>
        <v>69.420000000000016</v>
      </c>
      <c r="C10" s="47">
        <f>AVERAGE(K30:K34)*1000</f>
        <v>64.88000000000001</v>
      </c>
      <c r="D10" s="47">
        <f>AVERAGE(L30:L34)*1000</f>
        <v>63.4</v>
      </c>
      <c r="E10" s="47">
        <f>AVERAGE(M30:M34)*1000</f>
        <v>63.4</v>
      </c>
      <c r="F10" s="47">
        <f>AVERAGE(N30:N34)*1000</f>
        <v>63.4</v>
      </c>
      <c r="H10" s="279" t="s">
        <v>609</v>
      </c>
      <c r="I10" s="279" t="s">
        <v>610</v>
      </c>
      <c r="J10" s="36"/>
      <c r="K10" s="36"/>
      <c r="L10" s="36"/>
      <c r="M10" s="36"/>
      <c r="N10" s="36"/>
      <c r="O10" s="36"/>
      <c r="P10" s="36"/>
    </row>
    <row r="11" spans="1:16" s="44" customFormat="1" ht="15" customHeight="1">
      <c r="A11" s="46" t="s">
        <v>222</v>
      </c>
      <c r="B11" s="47">
        <f>AVERAGE(J35:J39)*1000</f>
        <v>115.92</v>
      </c>
      <c r="C11" s="47">
        <f>AVERAGE(K35:K39)*1000</f>
        <v>115.5</v>
      </c>
      <c r="D11" s="47">
        <f>AVERAGE(L35:L39)*1000</f>
        <v>112.82000000000001</v>
      </c>
      <c r="E11" s="47">
        <f>AVERAGE(M35:M39)*1000</f>
        <v>112.38000000000001</v>
      </c>
      <c r="F11" s="47">
        <f>AVERAGE(N35:N39)*1000</f>
        <v>112.38000000000001</v>
      </c>
      <c r="H11" s="279" t="s">
        <v>124</v>
      </c>
      <c r="I11" s="279" t="s">
        <v>611</v>
      </c>
      <c r="J11" s="36"/>
      <c r="K11" s="36"/>
      <c r="L11" s="36"/>
      <c r="M11" s="36"/>
      <c r="N11" s="36"/>
      <c r="O11" s="36"/>
      <c r="P11" s="36"/>
    </row>
    <row r="12" spans="1:16" s="44" customFormat="1" ht="15" customHeight="1">
      <c r="A12" s="46" t="s">
        <v>221</v>
      </c>
      <c r="B12" s="47">
        <f>AVERAGE(J40:J44)*1000</f>
        <v>46.8</v>
      </c>
      <c r="C12" s="47">
        <f>AVERAGE(K40:K44)*1000</f>
        <v>60.76</v>
      </c>
      <c r="D12" s="47">
        <f>AVERAGE(L40:L44)*1000</f>
        <v>66.56</v>
      </c>
      <c r="E12" s="47">
        <f>AVERAGE(M40:M44)*1000</f>
        <v>68.7</v>
      </c>
      <c r="F12" s="47">
        <f>AVERAGE(N40:N44)*1000</f>
        <v>69.36</v>
      </c>
      <c r="H12" s="279" t="s">
        <v>124</v>
      </c>
      <c r="I12" s="279" t="s">
        <v>612</v>
      </c>
      <c r="J12" s="36"/>
      <c r="K12" s="36"/>
      <c r="L12" s="36"/>
      <c r="M12" s="36"/>
      <c r="N12" s="36"/>
      <c r="O12" s="36"/>
      <c r="P12" s="36"/>
    </row>
    <row r="13" spans="1:16" s="44" customFormat="1" ht="15" customHeight="1">
      <c r="A13" s="46" t="s">
        <v>220</v>
      </c>
      <c r="B13" s="47">
        <f>AVERAGE(J45:J49)*1000</f>
        <v>7.0000000000000009</v>
      </c>
      <c r="C13" s="47">
        <f>AVERAGE(K45:K49)*1000</f>
        <v>11.86</v>
      </c>
      <c r="D13" s="47">
        <f>AVERAGE(L45:L49)*1000</f>
        <v>15.56</v>
      </c>
      <c r="E13" s="47">
        <f>AVERAGE(M45:M49)*1000</f>
        <v>17.859999999999996</v>
      </c>
      <c r="F13" s="47">
        <f>AVERAGE(N45:N49)*1000</f>
        <v>19.220000000000006</v>
      </c>
      <c r="H13" s="279" t="s">
        <v>124</v>
      </c>
      <c r="I13" s="279" t="s">
        <v>613</v>
      </c>
      <c r="J13" s="36"/>
      <c r="K13" s="36"/>
      <c r="L13" s="36"/>
      <c r="M13" s="36"/>
      <c r="N13" s="36"/>
      <c r="O13" s="36"/>
      <c r="P13" s="36"/>
    </row>
    <row r="14" spans="1:16" s="44" customFormat="1" ht="15" customHeight="1" thickBot="1">
      <c r="A14" s="48" t="s">
        <v>219</v>
      </c>
      <c r="B14" s="49">
        <f>AVERAGE(J50:J54)*1000</f>
        <v>0.32</v>
      </c>
      <c r="C14" s="49">
        <f>AVERAGE(K50:K54)*1000</f>
        <v>1.44</v>
      </c>
      <c r="D14" s="49">
        <f>AVERAGE(L50:L54)*1000</f>
        <v>2.4000000000000004</v>
      </c>
      <c r="E14" s="49">
        <f>AVERAGE(M50:M54)*1000</f>
        <v>2.9800000000000004</v>
      </c>
      <c r="F14" s="49">
        <f>AVERAGE(N50:N54)*1000</f>
        <v>3.36</v>
      </c>
      <c r="H14" s="279" t="s">
        <v>124</v>
      </c>
      <c r="I14" s="279" t="s">
        <v>614</v>
      </c>
      <c r="J14" s="36"/>
      <c r="K14" s="36"/>
      <c r="L14" s="36"/>
      <c r="M14" s="36"/>
      <c r="N14" s="36"/>
      <c r="O14" s="36"/>
      <c r="P14" s="36"/>
    </row>
    <row r="15" spans="1:16">
      <c r="A15" s="265"/>
      <c r="H15" s="279" t="s">
        <v>124</v>
      </c>
      <c r="I15" s="279" t="s">
        <v>615</v>
      </c>
    </row>
    <row r="16" spans="1:16">
      <c r="H16" s="279" t="s">
        <v>616</v>
      </c>
      <c r="I16" s="279" t="s">
        <v>617</v>
      </c>
      <c r="J16" s="30"/>
      <c r="K16" s="30"/>
      <c r="L16" s="30"/>
      <c r="M16" s="30"/>
      <c r="N16" s="30"/>
      <c r="O16" s="30"/>
      <c r="P16" s="50"/>
    </row>
    <row r="17" spans="8:16">
      <c r="H17" s="279" t="s">
        <v>124</v>
      </c>
      <c r="I17" s="279" t="s">
        <v>618</v>
      </c>
      <c r="J17" s="30"/>
      <c r="K17" s="30"/>
      <c r="L17" s="30"/>
      <c r="M17" s="30"/>
      <c r="N17" s="30"/>
      <c r="O17" s="30"/>
      <c r="P17" s="50"/>
    </row>
    <row r="18" spans="8:16">
      <c r="H18" s="267" t="s">
        <v>188</v>
      </c>
      <c r="I18" s="267" t="s">
        <v>88</v>
      </c>
      <c r="J18" s="275" t="s">
        <v>274</v>
      </c>
      <c r="K18" s="275" t="s">
        <v>273</v>
      </c>
      <c r="L18" s="275" t="s">
        <v>272</v>
      </c>
      <c r="M18" s="275" t="s">
        <v>271</v>
      </c>
      <c r="N18" s="275" t="s">
        <v>270</v>
      </c>
      <c r="O18" s="275" t="s">
        <v>269</v>
      </c>
      <c r="P18" s="50"/>
    </row>
    <row r="19" spans="8:16">
      <c r="H19" s="267" t="s">
        <v>95</v>
      </c>
      <c r="I19" s="264" t="s">
        <v>593</v>
      </c>
      <c r="J19" s="266">
        <v>1.28</v>
      </c>
      <c r="K19" s="266">
        <v>1.35</v>
      </c>
      <c r="L19" s="266">
        <v>1.38</v>
      </c>
      <c r="M19" s="266">
        <v>1.41</v>
      </c>
      <c r="N19" s="266">
        <v>1.42</v>
      </c>
      <c r="O19" s="266">
        <v>1.42</v>
      </c>
      <c r="P19" s="50"/>
    </row>
    <row r="20" spans="8:16">
      <c r="H20" s="267" t="s">
        <v>95</v>
      </c>
      <c r="I20" s="277" t="s">
        <v>187</v>
      </c>
      <c r="J20" s="251">
        <v>2.0000000000000001E-4</v>
      </c>
      <c r="K20" s="251">
        <v>2.0000000000000001E-4</v>
      </c>
      <c r="L20" s="251">
        <v>2.0000000000000001E-4</v>
      </c>
      <c r="M20" s="251">
        <v>2.0000000000000001E-4</v>
      </c>
      <c r="N20" s="251">
        <v>2.0000000000000001E-4</v>
      </c>
      <c r="O20" s="251">
        <v>2.0000000000000001E-4</v>
      </c>
      <c r="P20" s="50"/>
    </row>
    <row r="21" spans="8:16">
      <c r="H21" s="267" t="s">
        <v>95</v>
      </c>
      <c r="I21" s="277" t="s">
        <v>186</v>
      </c>
      <c r="J21" s="251">
        <v>5.0000000000000001E-4</v>
      </c>
      <c r="K21" s="251">
        <v>5.0000000000000001E-4</v>
      </c>
      <c r="L21" s="251">
        <v>5.0000000000000001E-4</v>
      </c>
      <c r="M21" s="251">
        <v>5.0000000000000001E-4</v>
      </c>
      <c r="N21" s="251">
        <v>5.0000000000000001E-4</v>
      </c>
      <c r="O21" s="251">
        <v>5.0000000000000001E-4</v>
      </c>
      <c r="P21" s="50"/>
    </row>
    <row r="22" spans="8:16">
      <c r="H22" s="267" t="s">
        <v>95</v>
      </c>
      <c r="I22" s="277" t="s">
        <v>185</v>
      </c>
      <c r="J22" s="251">
        <v>1.1999999999999999E-3</v>
      </c>
      <c r="K22" s="251">
        <v>1.1999999999999999E-3</v>
      </c>
      <c r="L22" s="251">
        <v>1.1999999999999999E-3</v>
      </c>
      <c r="M22" s="251">
        <v>1.1999999999999999E-3</v>
      </c>
      <c r="N22" s="251">
        <v>1.1999999999999999E-3</v>
      </c>
      <c r="O22" s="251">
        <v>1.1999999999999999E-3</v>
      </c>
      <c r="P22" s="50"/>
    </row>
    <row r="23" spans="8:16">
      <c r="H23" s="267" t="s">
        <v>95</v>
      </c>
      <c r="I23" s="277" t="s">
        <v>184</v>
      </c>
      <c r="J23" s="251">
        <v>2.2000000000000001E-3</v>
      </c>
      <c r="K23" s="251">
        <v>2.2000000000000001E-3</v>
      </c>
      <c r="L23" s="251">
        <v>2.2000000000000001E-3</v>
      </c>
      <c r="M23" s="251">
        <v>2.2000000000000001E-3</v>
      </c>
      <c r="N23" s="251">
        <v>2.2000000000000001E-3</v>
      </c>
      <c r="O23" s="251">
        <v>2.2000000000000001E-3</v>
      </c>
      <c r="P23" s="50"/>
    </row>
    <row r="24" spans="8:16">
      <c r="H24" s="267" t="s">
        <v>95</v>
      </c>
      <c r="I24" s="277" t="s">
        <v>183</v>
      </c>
      <c r="J24" s="251">
        <v>3.8E-3</v>
      </c>
      <c r="K24" s="251">
        <v>3.8E-3</v>
      </c>
      <c r="L24" s="251">
        <v>3.8E-3</v>
      </c>
      <c r="M24" s="251">
        <v>3.8E-3</v>
      </c>
      <c r="N24" s="251">
        <v>3.8E-3</v>
      </c>
      <c r="O24" s="251">
        <v>3.8E-3</v>
      </c>
      <c r="P24" s="50"/>
    </row>
    <row r="25" spans="8:16">
      <c r="H25" s="267" t="s">
        <v>95</v>
      </c>
      <c r="I25" s="277" t="s">
        <v>182</v>
      </c>
      <c r="J25" s="251">
        <v>6.0000000000000001E-3</v>
      </c>
      <c r="K25" s="251">
        <v>6.0000000000000001E-3</v>
      </c>
      <c r="L25" s="251">
        <v>6.0000000000000001E-3</v>
      </c>
      <c r="M25" s="251">
        <v>6.0000000000000001E-3</v>
      </c>
      <c r="N25" s="251">
        <v>6.0000000000000001E-3</v>
      </c>
      <c r="O25" s="251">
        <v>6.0000000000000001E-3</v>
      </c>
      <c r="P25" s="50"/>
    </row>
    <row r="26" spans="8:16">
      <c r="H26" s="267" t="s">
        <v>95</v>
      </c>
      <c r="I26" s="277" t="s">
        <v>181</v>
      </c>
      <c r="J26" s="251">
        <v>9.1000000000000004E-3</v>
      </c>
      <c r="K26" s="251">
        <v>8.9999999999999993E-3</v>
      </c>
      <c r="L26" s="251">
        <v>8.9999999999999993E-3</v>
      </c>
      <c r="M26" s="251">
        <v>8.9999999999999993E-3</v>
      </c>
      <c r="N26" s="251">
        <v>8.9999999999999993E-3</v>
      </c>
      <c r="O26" s="251">
        <v>8.9999999999999993E-3</v>
      </c>
      <c r="P26" s="50"/>
    </row>
    <row r="27" spans="8:16">
      <c r="H27" s="267" t="s">
        <v>95</v>
      </c>
      <c r="I27" s="277" t="s">
        <v>180</v>
      </c>
      <c r="J27" s="251">
        <v>1.3299999999999999E-2</v>
      </c>
      <c r="K27" s="251">
        <v>1.2999999999999999E-2</v>
      </c>
      <c r="L27" s="251">
        <v>1.2999999999999999E-2</v>
      </c>
      <c r="M27" s="251">
        <v>1.2999999999999999E-2</v>
      </c>
      <c r="N27" s="251">
        <v>1.2999999999999999E-2</v>
      </c>
      <c r="O27" s="251">
        <v>1.2999999999999999E-2</v>
      </c>
      <c r="P27" s="50"/>
    </row>
    <row r="28" spans="8:16">
      <c r="H28" s="267" t="s">
        <v>95</v>
      </c>
      <c r="I28" s="277" t="s">
        <v>179</v>
      </c>
      <c r="J28" s="251">
        <v>1.9099999999999999E-2</v>
      </c>
      <c r="K28" s="251">
        <v>1.84E-2</v>
      </c>
      <c r="L28" s="251">
        <v>1.84E-2</v>
      </c>
      <c r="M28" s="251">
        <v>1.84E-2</v>
      </c>
      <c r="N28" s="251">
        <v>1.84E-2</v>
      </c>
      <c r="O28" s="251">
        <v>1.84E-2</v>
      </c>
      <c r="P28" s="50"/>
    </row>
    <row r="29" spans="8:16">
      <c r="H29" s="267" t="s">
        <v>95</v>
      </c>
      <c r="I29" s="277" t="s">
        <v>178</v>
      </c>
      <c r="J29" s="251">
        <v>2.7E-2</v>
      </c>
      <c r="K29" s="251">
        <v>2.5700000000000001E-2</v>
      </c>
      <c r="L29" s="251">
        <v>2.5700000000000001E-2</v>
      </c>
      <c r="M29" s="251">
        <v>2.5700000000000001E-2</v>
      </c>
      <c r="N29" s="251">
        <v>2.5700000000000001E-2</v>
      </c>
      <c r="O29" s="251">
        <v>2.5700000000000001E-2</v>
      </c>
      <c r="P29" s="50"/>
    </row>
    <row r="30" spans="8:16">
      <c r="H30" s="267" t="s">
        <v>95</v>
      </c>
      <c r="I30" s="277" t="s">
        <v>177</v>
      </c>
      <c r="J30" s="251">
        <v>3.7600000000000001E-2</v>
      </c>
      <c r="K30" s="251">
        <v>3.5299999999999998E-2</v>
      </c>
      <c r="L30" s="251">
        <v>3.5299999999999998E-2</v>
      </c>
      <c r="M30" s="251">
        <v>3.5299999999999998E-2</v>
      </c>
      <c r="N30" s="251">
        <v>3.5299999999999998E-2</v>
      </c>
      <c r="O30" s="251">
        <v>3.5299999999999998E-2</v>
      </c>
      <c r="P30" s="50"/>
    </row>
    <row r="31" spans="8:16">
      <c r="H31" s="267" t="s">
        <v>95</v>
      </c>
      <c r="I31" s="277" t="s">
        <v>176</v>
      </c>
      <c r="J31" s="251">
        <v>5.1200000000000002E-2</v>
      </c>
      <c r="K31" s="251">
        <v>4.8099999999999997E-2</v>
      </c>
      <c r="L31" s="251">
        <v>4.7500000000000001E-2</v>
      </c>
      <c r="M31" s="251">
        <v>4.7500000000000001E-2</v>
      </c>
      <c r="N31" s="251">
        <v>4.7500000000000001E-2</v>
      </c>
      <c r="O31" s="251">
        <v>4.7500000000000001E-2</v>
      </c>
      <c r="P31" s="50"/>
    </row>
    <row r="32" spans="8:16">
      <c r="H32" s="267" t="s">
        <v>95</v>
      </c>
      <c r="I32" s="277" t="s">
        <v>175</v>
      </c>
      <c r="J32" s="251">
        <v>6.7799999999999999E-2</v>
      </c>
      <c r="K32" s="251">
        <v>6.3500000000000001E-2</v>
      </c>
      <c r="L32" s="251">
        <v>6.2100000000000002E-2</v>
      </c>
      <c r="M32" s="251">
        <v>6.2100000000000002E-2</v>
      </c>
      <c r="N32" s="251">
        <v>6.2100000000000002E-2</v>
      </c>
      <c r="O32" s="251">
        <v>6.2100000000000002E-2</v>
      </c>
      <c r="P32" s="50"/>
    </row>
    <row r="33" spans="8:16">
      <c r="H33" s="267" t="s">
        <v>95</v>
      </c>
      <c r="I33" s="277" t="s">
        <v>174</v>
      </c>
      <c r="J33" s="251">
        <v>8.6499999999999994E-2</v>
      </c>
      <c r="K33" s="251">
        <v>8.0699999999999994E-2</v>
      </c>
      <c r="L33" s="251">
        <v>7.8399999999999997E-2</v>
      </c>
      <c r="M33" s="251">
        <v>7.8399999999999997E-2</v>
      </c>
      <c r="N33" s="251">
        <v>7.8399999999999997E-2</v>
      </c>
      <c r="O33" s="251">
        <v>7.8399999999999997E-2</v>
      </c>
      <c r="P33" s="50"/>
    </row>
    <row r="34" spans="8:16">
      <c r="H34" s="267" t="s">
        <v>95</v>
      </c>
      <c r="I34" s="277" t="s">
        <v>173</v>
      </c>
      <c r="J34" s="251">
        <v>0.104</v>
      </c>
      <c r="K34" s="251">
        <v>9.6799999999999997E-2</v>
      </c>
      <c r="L34" s="251">
        <v>9.3700000000000006E-2</v>
      </c>
      <c r="M34" s="251">
        <v>9.3700000000000006E-2</v>
      </c>
      <c r="N34" s="251">
        <v>9.3700000000000006E-2</v>
      </c>
      <c r="O34" s="251">
        <v>9.3700000000000006E-2</v>
      </c>
      <c r="P34" s="50"/>
    </row>
    <row r="35" spans="8:16">
      <c r="H35" s="267" t="s">
        <v>95</v>
      </c>
      <c r="I35" s="277" t="s">
        <v>172</v>
      </c>
      <c r="J35" s="251">
        <v>0.1181</v>
      </c>
      <c r="K35" s="251">
        <v>0.1096</v>
      </c>
      <c r="L35" s="251">
        <v>0.106</v>
      </c>
      <c r="M35" s="251">
        <v>0.106</v>
      </c>
      <c r="N35" s="251">
        <v>0.106</v>
      </c>
      <c r="O35" s="251">
        <v>0.106</v>
      </c>
      <c r="P35" s="50"/>
    </row>
    <row r="36" spans="8:16">
      <c r="H36" s="267" t="s">
        <v>95</v>
      </c>
      <c r="I36" s="277" t="s">
        <v>171</v>
      </c>
      <c r="J36" s="251">
        <v>0.1268</v>
      </c>
      <c r="K36" s="251">
        <v>0.1192</v>
      </c>
      <c r="L36" s="251">
        <v>0.1154</v>
      </c>
      <c r="M36" s="251">
        <v>0.1149</v>
      </c>
      <c r="N36" s="251">
        <v>0.1149</v>
      </c>
      <c r="O36" s="251">
        <v>0.1149</v>
      </c>
      <c r="P36" s="50"/>
    </row>
    <row r="37" spans="8:16">
      <c r="H37" s="267" t="s">
        <v>95</v>
      </c>
      <c r="I37" s="277" t="s">
        <v>170</v>
      </c>
      <c r="J37" s="251">
        <v>0.1249</v>
      </c>
      <c r="K37" s="251">
        <v>0.1225</v>
      </c>
      <c r="L37" s="251">
        <v>0.1193</v>
      </c>
      <c r="M37" s="251">
        <v>0.11840000000000001</v>
      </c>
      <c r="N37" s="251">
        <v>0.11840000000000001</v>
      </c>
      <c r="O37" s="251">
        <v>0.11840000000000001</v>
      </c>
      <c r="P37" s="50"/>
    </row>
    <row r="38" spans="8:16">
      <c r="H38" s="267" t="s">
        <v>95</v>
      </c>
      <c r="I38" s="277" t="s">
        <v>169</v>
      </c>
      <c r="J38" s="251">
        <v>0.1135</v>
      </c>
      <c r="K38" s="251">
        <v>0.1182</v>
      </c>
      <c r="L38" s="251">
        <v>0.11600000000000001</v>
      </c>
      <c r="M38" s="251">
        <v>0.1153</v>
      </c>
      <c r="N38" s="251">
        <v>0.1153</v>
      </c>
      <c r="O38" s="251">
        <v>0.1153</v>
      </c>
      <c r="P38" s="50"/>
    </row>
    <row r="39" spans="8:16">
      <c r="H39" s="267" t="s">
        <v>95</v>
      </c>
      <c r="I39" s="277" t="s">
        <v>168</v>
      </c>
      <c r="J39" s="251">
        <v>9.6299999999999997E-2</v>
      </c>
      <c r="K39" s="251">
        <v>0.108</v>
      </c>
      <c r="L39" s="251">
        <v>0.1074</v>
      </c>
      <c r="M39" s="251">
        <v>0.10730000000000001</v>
      </c>
      <c r="N39" s="251">
        <v>0.10730000000000001</v>
      </c>
      <c r="O39" s="251">
        <v>0.10730000000000001</v>
      </c>
      <c r="P39" s="50"/>
    </row>
    <row r="40" spans="8:16">
      <c r="H40" s="267" t="s">
        <v>95</v>
      </c>
      <c r="I40" s="277" t="s">
        <v>167</v>
      </c>
      <c r="J40" s="251">
        <v>7.6700000000000004E-2</v>
      </c>
      <c r="K40" s="251">
        <v>9.3899999999999997E-2</v>
      </c>
      <c r="L40" s="251">
        <v>9.5200000000000007E-2</v>
      </c>
      <c r="M40" s="251">
        <v>9.6000000000000002E-2</v>
      </c>
      <c r="N40" s="251">
        <v>9.6000000000000002E-2</v>
      </c>
      <c r="O40" s="251">
        <v>9.6000000000000002E-2</v>
      </c>
      <c r="P40" s="50"/>
    </row>
    <row r="41" spans="8:16">
      <c r="H41" s="267" t="s">
        <v>95</v>
      </c>
      <c r="I41" s="277" t="s">
        <v>166</v>
      </c>
      <c r="J41" s="251">
        <v>5.9700000000000003E-2</v>
      </c>
      <c r="K41" s="251">
        <v>7.6200000000000004E-2</v>
      </c>
      <c r="L41" s="251">
        <v>8.1000000000000003E-2</v>
      </c>
      <c r="M41" s="251">
        <v>8.2500000000000004E-2</v>
      </c>
      <c r="N41" s="251">
        <v>8.2699999999999996E-2</v>
      </c>
      <c r="O41" s="251">
        <v>8.2699999999999996E-2</v>
      </c>
      <c r="P41" s="50"/>
    </row>
    <row r="42" spans="8:16">
      <c r="H42" s="267" t="s">
        <v>95</v>
      </c>
      <c r="I42" s="277" t="s">
        <v>165</v>
      </c>
      <c r="J42" s="251">
        <v>4.4499999999999998E-2</v>
      </c>
      <c r="K42" s="251">
        <v>5.8700000000000002E-2</v>
      </c>
      <c r="L42" s="251">
        <v>6.59E-2</v>
      </c>
      <c r="M42" s="251">
        <v>6.8199999999999997E-2</v>
      </c>
      <c r="N42" s="251">
        <v>6.8900000000000003E-2</v>
      </c>
      <c r="O42" s="251">
        <v>6.8900000000000003E-2</v>
      </c>
      <c r="P42" s="50"/>
    </row>
    <row r="43" spans="8:16">
      <c r="H43" s="267" t="s">
        <v>95</v>
      </c>
      <c r="I43" s="277" t="s">
        <v>164</v>
      </c>
      <c r="J43" s="251">
        <v>3.2800000000000003E-2</v>
      </c>
      <c r="K43" s="251">
        <v>4.3200000000000002E-2</v>
      </c>
      <c r="L43" s="251">
        <v>5.16E-2</v>
      </c>
      <c r="M43" s="251">
        <v>5.45E-2</v>
      </c>
      <c r="N43" s="251">
        <v>5.5599999999999997E-2</v>
      </c>
      <c r="O43" s="251">
        <v>5.5599999999999997E-2</v>
      </c>
      <c r="P43" s="50"/>
    </row>
    <row r="44" spans="8:16">
      <c r="H44" s="267" t="s">
        <v>95</v>
      </c>
      <c r="I44" s="277" t="s">
        <v>163</v>
      </c>
      <c r="J44" s="251">
        <v>2.0299999999999999E-2</v>
      </c>
      <c r="K44" s="251">
        <v>3.1800000000000002E-2</v>
      </c>
      <c r="L44" s="251">
        <v>3.9100000000000003E-2</v>
      </c>
      <c r="M44" s="251">
        <v>4.2299999999999997E-2</v>
      </c>
      <c r="N44" s="251">
        <v>4.36E-2</v>
      </c>
      <c r="O44" s="251">
        <v>4.36E-2</v>
      </c>
      <c r="P44" s="50"/>
    </row>
    <row r="45" spans="8:16">
      <c r="H45" s="267" t="s">
        <v>95</v>
      </c>
      <c r="I45" s="277" t="s">
        <v>162</v>
      </c>
      <c r="J45" s="251">
        <v>1.4E-2</v>
      </c>
      <c r="K45" s="251">
        <v>2.2599999999999999E-2</v>
      </c>
      <c r="L45" s="251">
        <v>2.8500000000000001E-2</v>
      </c>
      <c r="M45" s="251">
        <v>3.1800000000000002E-2</v>
      </c>
      <c r="N45" s="251">
        <v>3.3300000000000003E-2</v>
      </c>
      <c r="O45" s="251">
        <v>3.3300000000000003E-2</v>
      </c>
      <c r="P45" s="50"/>
    </row>
    <row r="46" spans="8:16">
      <c r="H46" s="267" t="s">
        <v>95</v>
      </c>
      <c r="I46" s="277" t="s">
        <v>161</v>
      </c>
      <c r="J46" s="251">
        <v>9.5999999999999992E-3</v>
      </c>
      <c r="K46" s="251">
        <v>1.5599999999999999E-2</v>
      </c>
      <c r="L46" s="251">
        <v>1.9900000000000001E-2</v>
      </c>
      <c r="M46" s="251">
        <v>2.29E-2</v>
      </c>
      <c r="N46" s="251">
        <v>2.4500000000000001E-2</v>
      </c>
      <c r="O46" s="251">
        <v>2.4799999999999999E-2</v>
      </c>
      <c r="P46" s="50"/>
    </row>
    <row r="47" spans="8:16">
      <c r="H47" s="267" t="s">
        <v>95</v>
      </c>
      <c r="I47" s="277" t="s">
        <v>160</v>
      </c>
      <c r="J47" s="251">
        <v>6.1999999999999998E-3</v>
      </c>
      <c r="K47" s="251">
        <v>1.0200000000000001E-2</v>
      </c>
      <c r="L47" s="251">
        <v>1.3599999999999999E-2</v>
      </c>
      <c r="M47" s="251">
        <v>1.6E-2</v>
      </c>
      <c r="N47" s="251">
        <v>1.7500000000000002E-2</v>
      </c>
      <c r="O47" s="251">
        <v>1.7999999999999999E-2</v>
      </c>
      <c r="P47" s="50"/>
    </row>
    <row r="48" spans="8:16">
      <c r="H48" s="267" t="s">
        <v>95</v>
      </c>
      <c r="I48" s="277" t="s">
        <v>159</v>
      </c>
      <c r="J48" s="251">
        <v>3.3999999999999998E-3</v>
      </c>
      <c r="K48" s="251">
        <v>6.7999999999999996E-3</v>
      </c>
      <c r="L48" s="251">
        <v>9.2999999999999992E-3</v>
      </c>
      <c r="M48" s="251">
        <v>1.0999999999999999E-2</v>
      </c>
      <c r="N48" s="251">
        <v>1.23E-2</v>
      </c>
      <c r="O48" s="251">
        <v>1.2800000000000001E-2</v>
      </c>
      <c r="P48" s="50"/>
    </row>
    <row r="49" spans="8:16">
      <c r="H49" s="267" t="s">
        <v>95</v>
      </c>
      <c r="I49" s="277" t="s">
        <v>158</v>
      </c>
      <c r="J49" s="251">
        <v>1.8E-3</v>
      </c>
      <c r="K49" s="251">
        <v>4.1000000000000003E-3</v>
      </c>
      <c r="L49" s="251">
        <v>6.4999999999999997E-3</v>
      </c>
      <c r="M49" s="251">
        <v>7.6E-3</v>
      </c>
      <c r="N49" s="251">
        <v>8.5000000000000006E-3</v>
      </c>
      <c r="O49" s="251">
        <v>8.9999999999999993E-3</v>
      </c>
      <c r="P49" s="50"/>
    </row>
    <row r="50" spans="8:16">
      <c r="H50" s="267" t="s">
        <v>95</v>
      </c>
      <c r="I50" s="277" t="s">
        <v>157</v>
      </c>
      <c r="J50" s="251">
        <v>1E-3</v>
      </c>
      <c r="K50" s="251">
        <v>3.0000000000000001E-3</v>
      </c>
      <c r="L50" s="251">
        <v>4.4999999999999997E-3</v>
      </c>
      <c r="M50" s="251">
        <v>5.3E-3</v>
      </c>
      <c r="N50" s="251">
        <v>5.8999999999999999E-3</v>
      </c>
      <c r="O50" s="251">
        <v>6.4000000000000003E-3</v>
      </c>
      <c r="P50" s="50"/>
    </row>
    <row r="51" spans="8:16">
      <c r="H51" s="267" t="s">
        <v>95</v>
      </c>
      <c r="I51" s="277" t="s">
        <v>156</v>
      </c>
      <c r="J51" s="251">
        <v>4.0000000000000002E-4</v>
      </c>
      <c r="K51" s="251">
        <v>2.2000000000000001E-3</v>
      </c>
      <c r="L51" s="251">
        <v>3.0000000000000001E-3</v>
      </c>
      <c r="M51" s="251">
        <v>3.7000000000000002E-3</v>
      </c>
      <c r="N51" s="251">
        <v>4.1000000000000003E-3</v>
      </c>
      <c r="O51" s="251">
        <v>4.4999999999999997E-3</v>
      </c>
      <c r="P51" s="50"/>
    </row>
    <row r="52" spans="8:16">
      <c r="H52" s="267" t="s">
        <v>95</v>
      </c>
      <c r="I52" s="277" t="s">
        <v>155</v>
      </c>
      <c r="J52" s="251">
        <v>1E-4</v>
      </c>
      <c r="K52" s="251">
        <v>1.2999999999999999E-3</v>
      </c>
      <c r="L52" s="251">
        <v>2E-3</v>
      </c>
      <c r="M52" s="251">
        <v>2.5999999999999999E-3</v>
      </c>
      <c r="N52" s="251">
        <v>2.8999999999999998E-3</v>
      </c>
      <c r="O52" s="251">
        <v>3.2000000000000002E-3</v>
      </c>
    </row>
    <row r="53" spans="8:16">
      <c r="H53" s="267" t="s">
        <v>95</v>
      </c>
      <c r="I53" s="277" t="s">
        <v>154</v>
      </c>
      <c r="J53" s="251">
        <v>1E-4</v>
      </c>
      <c r="K53" s="251">
        <v>5.0000000000000001E-4</v>
      </c>
      <c r="L53" s="251">
        <v>1.5E-3</v>
      </c>
      <c r="M53" s="251">
        <v>1.9E-3</v>
      </c>
      <c r="N53" s="251">
        <v>2.2000000000000001E-3</v>
      </c>
      <c r="O53" s="251">
        <v>2.3E-3</v>
      </c>
    </row>
    <row r="54" spans="8:16">
      <c r="H54" s="267" t="s">
        <v>95</v>
      </c>
      <c r="I54" s="277" t="s">
        <v>153</v>
      </c>
      <c r="J54" s="251">
        <v>0</v>
      </c>
      <c r="K54" s="251">
        <v>2.0000000000000001E-4</v>
      </c>
      <c r="L54" s="251">
        <v>1E-3</v>
      </c>
      <c r="M54" s="251">
        <v>1.4E-3</v>
      </c>
      <c r="N54" s="251">
        <v>1.6999999999999999E-3</v>
      </c>
      <c r="O54" s="251">
        <v>1.8E-3</v>
      </c>
    </row>
  </sheetData>
  <mergeCells count="3">
    <mergeCell ref="A1:F1"/>
    <mergeCell ref="A2:F2"/>
    <mergeCell ref="D5:F5"/>
  </mergeCells>
  <phoneticPr fontId="10" type="noConversion"/>
  <printOptions horizontalCentered="1"/>
  <pageMargins left="0.94488188976377963" right="0.94488188976377963" top="0.98425196850393704" bottom="0.98425196850393704" header="0.51181102362204722" footer="0.51181102362204722"/>
  <pageSetup paperSize="9" scale="80" pageOrder="overThenDown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32">
    <tabColor theme="1"/>
  </sheetPr>
  <dimension ref="A1:U26"/>
  <sheetViews>
    <sheetView view="pageBreakPreview" topLeftCell="A4" workbookViewId="0">
      <selection activeCell="V34" sqref="V34:V36"/>
    </sheetView>
  </sheetViews>
  <sheetFormatPr defaultRowHeight="16.5"/>
  <cols>
    <col min="1" max="1" width="7.6640625" style="1" customWidth="1"/>
    <col min="2" max="21" width="6.109375" style="1" customWidth="1"/>
    <col min="22" max="16384" width="8.88671875" style="1"/>
  </cols>
  <sheetData>
    <row r="1" spans="1:21" ht="30" customHeight="1">
      <c r="A1" s="31" t="s">
        <v>315</v>
      </c>
    </row>
    <row r="2" spans="1:21" s="32" customFormat="1" ht="18" customHeight="1">
      <c r="A2" s="1141" t="s">
        <v>202</v>
      </c>
      <c r="B2" s="1143" t="s">
        <v>149</v>
      </c>
      <c r="C2" s="1139"/>
      <c r="D2" s="1139"/>
      <c r="E2" s="1139"/>
      <c r="F2" s="1139" t="s">
        <v>148</v>
      </c>
      <c r="G2" s="1139"/>
      <c r="H2" s="1139"/>
      <c r="I2" s="1139"/>
      <c r="J2" s="1139" t="s">
        <v>147</v>
      </c>
      <c r="K2" s="1139"/>
      <c r="L2" s="1139"/>
      <c r="M2" s="1139"/>
      <c r="N2" s="1139" t="s">
        <v>146</v>
      </c>
      <c r="O2" s="1139"/>
      <c r="P2" s="1139"/>
      <c r="Q2" s="1139"/>
      <c r="R2" s="1139" t="s">
        <v>145</v>
      </c>
      <c r="S2" s="1139"/>
      <c r="T2" s="1139"/>
      <c r="U2" s="1140"/>
    </row>
    <row r="3" spans="1:21" s="32" customFormat="1" ht="24.95" customHeight="1">
      <c r="A3" s="1142"/>
      <c r="B3" s="259" t="s">
        <v>201</v>
      </c>
      <c r="C3" s="287" t="s">
        <v>200</v>
      </c>
      <c r="D3" s="288" t="s">
        <v>199</v>
      </c>
      <c r="E3" s="288" t="s">
        <v>198</v>
      </c>
      <c r="F3" s="287" t="s">
        <v>201</v>
      </c>
      <c r="G3" s="287" t="s">
        <v>200</v>
      </c>
      <c r="H3" s="288" t="s">
        <v>199</v>
      </c>
      <c r="I3" s="288" t="s">
        <v>198</v>
      </c>
      <c r="J3" s="287" t="s">
        <v>201</v>
      </c>
      <c r="K3" s="287" t="s">
        <v>200</v>
      </c>
      <c r="L3" s="288" t="s">
        <v>199</v>
      </c>
      <c r="M3" s="288" t="s">
        <v>198</v>
      </c>
      <c r="N3" s="287" t="s">
        <v>201</v>
      </c>
      <c r="O3" s="287" t="s">
        <v>200</v>
      </c>
      <c r="P3" s="288" t="s">
        <v>199</v>
      </c>
      <c r="Q3" s="288" t="s">
        <v>198</v>
      </c>
      <c r="R3" s="287" t="s">
        <v>201</v>
      </c>
      <c r="S3" s="287" t="s">
        <v>200</v>
      </c>
      <c r="T3" s="288" t="s">
        <v>199</v>
      </c>
      <c r="U3" s="289" t="s">
        <v>198</v>
      </c>
    </row>
    <row r="4" spans="1:21" s="32" customFormat="1" ht="18" customHeight="1">
      <c r="A4" s="255">
        <v>0</v>
      </c>
      <c r="B4" s="258">
        <f>'#4. 생명표'!B34</f>
        <v>3.8349999999999999E-3</v>
      </c>
      <c r="C4" s="290">
        <f>'#4. 생명표'!H34</f>
        <v>3.2799999999999999E-3</v>
      </c>
      <c r="D4" s="285">
        <f t="shared" ref="D4:D25" si="0">1-B4</f>
        <v>0.99616499999999997</v>
      </c>
      <c r="E4" s="291">
        <f t="shared" ref="E4:E25" si="1">1-C4</f>
        <v>0.99672000000000005</v>
      </c>
      <c r="F4" s="292">
        <f>'#4. 생명표'!M7</f>
        <v>3.5399999999999997E-3</v>
      </c>
      <c r="G4" s="292">
        <f>'#4. 생명표'!S7</f>
        <v>2.9950000000000003E-3</v>
      </c>
      <c r="H4" s="285">
        <f t="shared" ref="H4:H24" si="2">1-F4</f>
        <v>0.99646000000000001</v>
      </c>
      <c r="I4" s="291">
        <f t="shared" ref="I4:I24" si="3">1-G4</f>
        <v>0.99700500000000003</v>
      </c>
      <c r="J4" s="292">
        <f>'#4. 생명표'!M34</f>
        <v>3.2699999999999999E-3</v>
      </c>
      <c r="K4" s="292">
        <f>'#4. 생명표'!S34</f>
        <v>2.735E-3</v>
      </c>
      <c r="L4" s="285">
        <f t="shared" ref="L4:L24" si="4">1-J4</f>
        <v>0.99673</v>
      </c>
      <c r="M4" s="291">
        <f t="shared" ref="M4:M24" si="5">1-K4</f>
        <v>0.99726499999999996</v>
      </c>
      <c r="N4" s="292">
        <f>'#4. 생명표'!X7</f>
        <v>3.0200000000000001E-3</v>
      </c>
      <c r="O4" s="292">
        <f>'#4. 생명표'!AD7</f>
        <v>2.4949999999999998E-3</v>
      </c>
      <c r="P4" s="285">
        <f t="shared" ref="P4:P24" si="6">1-N4</f>
        <v>0.99697999999999998</v>
      </c>
      <c r="Q4" s="291">
        <f t="shared" ref="Q4:Q24" si="7">1-O4</f>
        <v>0.99750499999999998</v>
      </c>
      <c r="R4" s="292">
        <f>'#4. 생명표'!X34</f>
        <v>2.7899999999999999E-3</v>
      </c>
      <c r="S4" s="292">
        <f>'#4. 생명표'!AD34</f>
        <v>2.2750000000000001E-3</v>
      </c>
      <c r="T4" s="285">
        <f t="shared" ref="T4:T24" si="8">1-R4</f>
        <v>0.99721000000000004</v>
      </c>
      <c r="U4" s="293">
        <f t="shared" ref="U4:U24" si="9">1-S4</f>
        <v>0.99772499999999997</v>
      </c>
    </row>
    <row r="5" spans="1:21" s="32" customFormat="1" ht="18" customHeight="1">
      <c r="A5" s="254" t="s">
        <v>226</v>
      </c>
      <c r="B5" s="257">
        <f>'#4. 생명표'!B35</f>
        <v>4.7000000000000004E-4</v>
      </c>
      <c r="C5" s="262">
        <f>'#4. 생명표'!H35</f>
        <v>8.4000000000000003E-4</v>
      </c>
      <c r="D5" s="284">
        <f t="shared" si="0"/>
        <v>0.99953000000000003</v>
      </c>
      <c r="E5" s="294">
        <f t="shared" si="1"/>
        <v>0.99916000000000005</v>
      </c>
      <c r="F5" s="261">
        <f>'#4. 생명표'!M8</f>
        <v>3.3E-4</v>
      </c>
      <c r="G5" s="261">
        <f>'#4. 생명표'!S8</f>
        <v>5.9500000000000004E-4</v>
      </c>
      <c r="H5" s="284">
        <f t="shared" si="2"/>
        <v>0.99966999999999995</v>
      </c>
      <c r="I5" s="294">
        <f t="shared" si="3"/>
        <v>0.99940499999999999</v>
      </c>
      <c r="J5" s="261">
        <f>'#4. 생명표'!M35</f>
        <v>2.3000000000000001E-4</v>
      </c>
      <c r="K5" s="261">
        <f>'#4. 생명표'!S35</f>
        <v>4.15E-4</v>
      </c>
      <c r="L5" s="284">
        <f t="shared" si="4"/>
        <v>0.99977000000000005</v>
      </c>
      <c r="M5" s="294">
        <f t="shared" si="5"/>
        <v>0.99958499999999995</v>
      </c>
      <c r="N5" s="261">
        <f>'#4. 생명표'!X8</f>
        <v>1.65E-4</v>
      </c>
      <c r="O5" s="261">
        <f>'#4. 생명표'!AD8</f>
        <v>2.9500000000000001E-4</v>
      </c>
      <c r="P5" s="284">
        <f t="shared" si="6"/>
        <v>0.99983500000000003</v>
      </c>
      <c r="Q5" s="294">
        <f t="shared" si="7"/>
        <v>0.99970499999999995</v>
      </c>
      <c r="R5" s="261">
        <f>'#4. 생명표'!X35</f>
        <v>1.1999999999999999E-4</v>
      </c>
      <c r="S5" s="261">
        <f>'#4. 생명표'!AD35</f>
        <v>2.1500000000000002E-4</v>
      </c>
      <c r="T5" s="284">
        <f t="shared" si="8"/>
        <v>0.99987999999999999</v>
      </c>
      <c r="U5" s="260">
        <f t="shared" si="9"/>
        <v>0.99978500000000003</v>
      </c>
    </row>
    <row r="6" spans="1:21" s="32" customFormat="1" ht="18" customHeight="1">
      <c r="A6" s="254" t="s">
        <v>227</v>
      </c>
      <c r="B6" s="257">
        <f>'#4. 생명표'!B36</f>
        <v>4.4499999999999997E-4</v>
      </c>
      <c r="C6" s="262">
        <f>'#4. 생명표'!H36</f>
        <v>2.5500000000000002E-4</v>
      </c>
      <c r="D6" s="284">
        <f t="shared" si="0"/>
        <v>0.99955499999999997</v>
      </c>
      <c r="E6" s="294">
        <f t="shared" si="1"/>
        <v>0.99974499999999999</v>
      </c>
      <c r="F6" s="261">
        <f>'#4. 생명표'!M9</f>
        <v>3.1499999999999996E-4</v>
      </c>
      <c r="G6" s="261">
        <f>'#4. 생명표'!S9</f>
        <v>1.7999999999999998E-4</v>
      </c>
      <c r="H6" s="284">
        <f t="shared" si="2"/>
        <v>0.99968500000000005</v>
      </c>
      <c r="I6" s="294">
        <f t="shared" si="3"/>
        <v>0.99982000000000004</v>
      </c>
      <c r="J6" s="261">
        <f>'#4. 생명표'!M36</f>
        <v>2.1999999999999998E-4</v>
      </c>
      <c r="K6" s="261">
        <f>'#4. 생명표'!S36</f>
        <v>1.25E-4</v>
      </c>
      <c r="L6" s="284">
        <f t="shared" si="4"/>
        <v>0.99978</v>
      </c>
      <c r="M6" s="294">
        <f t="shared" si="5"/>
        <v>0.99987499999999996</v>
      </c>
      <c r="N6" s="261">
        <f>'#4. 생명표'!X9</f>
        <v>1.55E-4</v>
      </c>
      <c r="O6" s="261">
        <f>'#4. 생명표'!AD9</f>
        <v>8.5000000000000006E-5</v>
      </c>
      <c r="P6" s="284">
        <f t="shared" si="6"/>
        <v>0.99984499999999998</v>
      </c>
      <c r="Q6" s="294">
        <f t="shared" si="7"/>
        <v>0.999915</v>
      </c>
      <c r="R6" s="261">
        <f>'#4. 생명표'!X36</f>
        <v>1.0999999999999999E-4</v>
      </c>
      <c r="S6" s="261">
        <f>'#4. 생명표'!AD36</f>
        <v>5.9999999999999995E-5</v>
      </c>
      <c r="T6" s="284">
        <f t="shared" si="8"/>
        <v>0.99988999999999995</v>
      </c>
      <c r="U6" s="260">
        <f t="shared" si="9"/>
        <v>0.99994000000000005</v>
      </c>
    </row>
    <row r="7" spans="1:21" s="32" customFormat="1" ht="18" customHeight="1">
      <c r="A7" s="254" t="s">
        <v>228</v>
      </c>
      <c r="B7" s="257">
        <f>'#4. 생명표'!B37</f>
        <v>6.6E-4</v>
      </c>
      <c r="C7" s="262">
        <f>'#4. 생명표'!H37</f>
        <v>1.7999999999999998E-4</v>
      </c>
      <c r="D7" s="284">
        <f t="shared" si="0"/>
        <v>0.99934000000000001</v>
      </c>
      <c r="E7" s="294">
        <f t="shared" si="1"/>
        <v>0.99982000000000004</v>
      </c>
      <c r="F7" s="261">
        <f>'#4. 생명표'!M10</f>
        <v>4.8499999999999997E-4</v>
      </c>
      <c r="G7" s="261">
        <f>'#4. 생명표'!S10</f>
        <v>1.2999999999999999E-4</v>
      </c>
      <c r="H7" s="284">
        <f t="shared" si="2"/>
        <v>0.99951500000000004</v>
      </c>
      <c r="I7" s="294">
        <f t="shared" si="3"/>
        <v>0.99987000000000004</v>
      </c>
      <c r="J7" s="261">
        <f>'#4. 생명표'!M37</f>
        <v>3.5E-4</v>
      </c>
      <c r="K7" s="261">
        <f>'#4. 생명표'!S37</f>
        <v>9.5000000000000005E-5</v>
      </c>
      <c r="L7" s="284">
        <f t="shared" si="4"/>
        <v>0.99965000000000004</v>
      </c>
      <c r="M7" s="294">
        <f t="shared" si="5"/>
        <v>0.99990500000000004</v>
      </c>
      <c r="N7" s="261">
        <f>'#4. 생명표'!X10</f>
        <v>2.5500000000000002E-4</v>
      </c>
      <c r="O7" s="261">
        <f>'#4. 생명표'!AD10</f>
        <v>7.0000000000000007E-5</v>
      </c>
      <c r="P7" s="284">
        <f t="shared" si="6"/>
        <v>0.99974499999999999</v>
      </c>
      <c r="Q7" s="294">
        <f t="shared" si="7"/>
        <v>0.99992999999999999</v>
      </c>
      <c r="R7" s="261">
        <f>'#4. 생명표'!X37</f>
        <v>1.9000000000000001E-4</v>
      </c>
      <c r="S7" s="261">
        <f>'#4. 생명표'!AD37</f>
        <v>5.0000000000000002E-5</v>
      </c>
      <c r="T7" s="284">
        <f t="shared" si="8"/>
        <v>0.99980999999999998</v>
      </c>
      <c r="U7" s="260">
        <f t="shared" si="9"/>
        <v>0.99995000000000001</v>
      </c>
    </row>
    <row r="8" spans="1:21" s="32" customFormat="1" ht="18" customHeight="1">
      <c r="A8" s="254" t="s">
        <v>229</v>
      </c>
      <c r="B8" s="257">
        <f>'#4. 생명표'!B38</f>
        <v>1.98E-3</v>
      </c>
      <c r="C8" s="262">
        <f>'#4. 생명표'!H38</f>
        <v>1.1000000000000001E-3</v>
      </c>
      <c r="D8" s="284">
        <f t="shared" si="0"/>
        <v>0.99802000000000002</v>
      </c>
      <c r="E8" s="294">
        <f t="shared" si="1"/>
        <v>0.99890000000000001</v>
      </c>
      <c r="F8" s="261">
        <f>'#4. 생명표'!M11</f>
        <v>1.5149999999999999E-3</v>
      </c>
      <c r="G8" s="261">
        <f>'#4. 생명표'!S11</f>
        <v>8.4500000000000005E-4</v>
      </c>
      <c r="H8" s="284">
        <f t="shared" si="2"/>
        <v>0.99848499999999996</v>
      </c>
      <c r="I8" s="294">
        <f t="shared" si="3"/>
        <v>0.99915500000000002</v>
      </c>
      <c r="J8" s="261">
        <f>'#4. 생명표'!M38</f>
        <v>1.155E-3</v>
      </c>
      <c r="K8" s="261">
        <f>'#4. 생명표'!S38</f>
        <v>6.3499999999999993E-4</v>
      </c>
      <c r="L8" s="284">
        <f t="shared" si="4"/>
        <v>0.99884499999999998</v>
      </c>
      <c r="M8" s="294">
        <f t="shared" si="5"/>
        <v>0.99936499999999995</v>
      </c>
      <c r="N8" s="261">
        <f>'#4. 생명표'!X11</f>
        <v>8.8499999999999994E-4</v>
      </c>
      <c r="O8" s="261">
        <f>'#4. 생명표'!AD11</f>
        <v>4.8000000000000001E-4</v>
      </c>
      <c r="P8" s="284">
        <f t="shared" si="6"/>
        <v>0.99911499999999998</v>
      </c>
      <c r="Q8" s="294">
        <f t="shared" si="7"/>
        <v>0.99951999999999996</v>
      </c>
      <c r="R8" s="261">
        <f>'#4. 생명표'!X38</f>
        <v>6.8000000000000005E-4</v>
      </c>
      <c r="S8" s="261">
        <f>'#4. 생명표'!AD38</f>
        <v>3.6999999999999999E-4</v>
      </c>
      <c r="T8" s="284">
        <f t="shared" si="8"/>
        <v>0.99931999999999999</v>
      </c>
      <c r="U8" s="260">
        <f t="shared" si="9"/>
        <v>0.99963000000000002</v>
      </c>
    </row>
    <row r="9" spans="1:21" s="32" customFormat="1" ht="18" customHeight="1">
      <c r="A9" s="254" t="s">
        <v>230</v>
      </c>
      <c r="B9" s="257">
        <f>'#4. 생명표'!B39</f>
        <v>2.2950000000000002E-3</v>
      </c>
      <c r="C9" s="262">
        <f>'#4. 생명표'!H39</f>
        <v>1.305E-3</v>
      </c>
      <c r="D9" s="284">
        <f t="shared" si="0"/>
        <v>0.99770499999999995</v>
      </c>
      <c r="E9" s="294">
        <f t="shared" si="1"/>
        <v>0.998695</v>
      </c>
      <c r="F9" s="261">
        <f>'#4. 생명표'!M12</f>
        <v>1.8E-3</v>
      </c>
      <c r="G9" s="261">
        <f>'#4. 생명표'!S12</f>
        <v>1.0249999999999999E-3</v>
      </c>
      <c r="H9" s="284">
        <f t="shared" si="2"/>
        <v>0.99819999999999998</v>
      </c>
      <c r="I9" s="294">
        <f t="shared" si="3"/>
        <v>0.99897499999999995</v>
      </c>
      <c r="J9" s="261">
        <f>'#4. 생명표'!M39</f>
        <v>1.41E-3</v>
      </c>
      <c r="K9" s="261">
        <f>'#4. 생명표'!S39</f>
        <v>7.9499999999999992E-4</v>
      </c>
      <c r="L9" s="284">
        <f t="shared" si="4"/>
        <v>0.99858999999999998</v>
      </c>
      <c r="M9" s="294">
        <f t="shared" si="5"/>
        <v>0.99920500000000001</v>
      </c>
      <c r="N9" s="261">
        <f>'#4. 생명표'!X12</f>
        <v>1.1099999999999999E-3</v>
      </c>
      <c r="O9" s="261">
        <f>'#4. 생명표'!AD12</f>
        <v>6.2E-4</v>
      </c>
      <c r="P9" s="284">
        <f t="shared" si="6"/>
        <v>0.99889000000000006</v>
      </c>
      <c r="Q9" s="294">
        <f t="shared" si="7"/>
        <v>0.99938000000000005</v>
      </c>
      <c r="R9" s="261">
        <f>'#4. 생명표'!X39</f>
        <v>8.7499999999999991E-4</v>
      </c>
      <c r="S9" s="261">
        <f>'#4. 생명표'!AD39</f>
        <v>4.8999999999999998E-4</v>
      </c>
      <c r="T9" s="284">
        <f t="shared" si="8"/>
        <v>0.99912500000000004</v>
      </c>
      <c r="U9" s="260">
        <f t="shared" si="9"/>
        <v>0.99951000000000001</v>
      </c>
    </row>
    <row r="10" spans="1:21" s="32" customFormat="1" ht="18" customHeight="1">
      <c r="A10" s="254" t="s">
        <v>231</v>
      </c>
      <c r="B10" s="257">
        <f>'#4. 생명표'!B40</f>
        <v>3.32E-3</v>
      </c>
      <c r="C10" s="262">
        <f>'#4. 생명표'!H40</f>
        <v>1.7750000000000001E-3</v>
      </c>
      <c r="D10" s="284">
        <f t="shared" si="0"/>
        <v>0.99668000000000001</v>
      </c>
      <c r="E10" s="294">
        <f t="shared" si="1"/>
        <v>0.99822500000000003</v>
      </c>
      <c r="F10" s="261">
        <f>'#4. 생명표'!M13</f>
        <v>2.6800000000000001E-3</v>
      </c>
      <c r="G10" s="261">
        <f>'#4. 생명표'!S13</f>
        <v>1.4350000000000001E-3</v>
      </c>
      <c r="H10" s="284">
        <f t="shared" si="2"/>
        <v>0.99731999999999998</v>
      </c>
      <c r="I10" s="294">
        <f t="shared" si="3"/>
        <v>0.99856500000000004</v>
      </c>
      <c r="J10" s="261">
        <f>'#4. 생명표'!M40</f>
        <v>2.1550000000000002E-3</v>
      </c>
      <c r="K10" s="261">
        <f>'#4. 생명표'!S40</f>
        <v>1.1450000000000002E-3</v>
      </c>
      <c r="L10" s="284">
        <f t="shared" si="4"/>
        <v>0.99784499999999998</v>
      </c>
      <c r="M10" s="294">
        <f t="shared" si="5"/>
        <v>0.99885500000000005</v>
      </c>
      <c r="N10" s="261">
        <f>'#4. 생명표'!X13</f>
        <v>1.74E-3</v>
      </c>
      <c r="O10" s="261">
        <f>'#4. 생명표'!AD13</f>
        <v>9.2000000000000003E-4</v>
      </c>
      <c r="P10" s="284">
        <f t="shared" si="6"/>
        <v>0.99826000000000004</v>
      </c>
      <c r="Q10" s="294">
        <f t="shared" si="7"/>
        <v>0.99907999999999997</v>
      </c>
      <c r="R10" s="261">
        <f>'#4. 생명표'!X40</f>
        <v>1.41E-3</v>
      </c>
      <c r="S10" s="261">
        <f>'#4. 생명표'!AD40</f>
        <v>7.5000000000000002E-4</v>
      </c>
      <c r="T10" s="284">
        <f t="shared" si="8"/>
        <v>0.99858999999999998</v>
      </c>
      <c r="U10" s="260">
        <f t="shared" si="9"/>
        <v>0.99924999999999997</v>
      </c>
    </row>
    <row r="11" spans="1:21" s="32" customFormat="1" ht="18" customHeight="1">
      <c r="A11" s="254" t="s">
        <v>232</v>
      </c>
      <c r="B11" s="257">
        <f>'#4. 생명표'!B41</f>
        <v>4.1900000000000001E-3</v>
      </c>
      <c r="C11" s="262">
        <f>'#4. 생명표'!H41</f>
        <v>2.3449999999999999E-3</v>
      </c>
      <c r="D11" s="284">
        <f t="shared" si="0"/>
        <v>0.99580999999999997</v>
      </c>
      <c r="E11" s="294">
        <f t="shared" si="1"/>
        <v>0.99765499999999996</v>
      </c>
      <c r="F11" s="261">
        <f>'#4. 생명표'!M14</f>
        <v>3.4349999999999997E-3</v>
      </c>
      <c r="G11" s="261">
        <f>'#4. 생명표'!S14</f>
        <v>1.9199999999999998E-3</v>
      </c>
      <c r="H11" s="284">
        <f t="shared" si="2"/>
        <v>0.99656500000000003</v>
      </c>
      <c r="I11" s="294">
        <f t="shared" si="3"/>
        <v>0.99807999999999997</v>
      </c>
      <c r="J11" s="261">
        <f>'#4. 생명표'!M41</f>
        <v>2.8050000000000002E-3</v>
      </c>
      <c r="K11" s="261">
        <f>'#4. 생명표'!S41</f>
        <v>1.555E-3</v>
      </c>
      <c r="L11" s="284">
        <f t="shared" si="4"/>
        <v>0.99719500000000005</v>
      </c>
      <c r="M11" s="294">
        <f t="shared" si="5"/>
        <v>0.99844500000000003</v>
      </c>
      <c r="N11" s="261">
        <f>'#4. 생명표'!X14</f>
        <v>2.2950000000000002E-3</v>
      </c>
      <c r="O11" s="261">
        <f>'#4. 생명표'!AD14</f>
        <v>1.2699999999999999E-3</v>
      </c>
      <c r="P11" s="284">
        <f t="shared" si="6"/>
        <v>0.99770499999999995</v>
      </c>
      <c r="Q11" s="294">
        <f t="shared" si="7"/>
        <v>0.99873000000000001</v>
      </c>
      <c r="R11" s="261">
        <f>'#4. 생명표'!X41</f>
        <v>1.885E-3</v>
      </c>
      <c r="S11" s="261">
        <f>'#4. 생명표'!AD41</f>
        <v>1.0499999999999999E-3</v>
      </c>
      <c r="T11" s="284">
        <f t="shared" si="8"/>
        <v>0.99811499999999997</v>
      </c>
      <c r="U11" s="260">
        <f t="shared" si="9"/>
        <v>0.99895</v>
      </c>
    </row>
    <row r="12" spans="1:21" s="32" customFormat="1" ht="18" customHeight="1">
      <c r="A12" s="254" t="s">
        <v>233</v>
      </c>
      <c r="B12" s="257">
        <f>'#4. 생명표'!B42</f>
        <v>5.6649999999999999E-3</v>
      </c>
      <c r="C12" s="262">
        <f>'#4. 생명표'!H42</f>
        <v>3.1199999999999999E-3</v>
      </c>
      <c r="D12" s="284">
        <f t="shared" si="0"/>
        <v>0.99433499999999997</v>
      </c>
      <c r="E12" s="294">
        <f t="shared" si="1"/>
        <v>0.99687999999999999</v>
      </c>
      <c r="F12" s="261">
        <f>'#4. 생명표'!M15</f>
        <v>4.7100000000000006E-3</v>
      </c>
      <c r="G12" s="261">
        <f>'#4. 생명표'!S15</f>
        <v>2.5950000000000001E-3</v>
      </c>
      <c r="H12" s="284">
        <f t="shared" si="2"/>
        <v>0.99529000000000001</v>
      </c>
      <c r="I12" s="294">
        <f t="shared" si="3"/>
        <v>0.99740499999999999</v>
      </c>
      <c r="J12" s="261">
        <f>'#4. 생명표'!M42</f>
        <v>3.9050000000000005E-3</v>
      </c>
      <c r="K12" s="261">
        <f>'#4. 생명표'!S42</f>
        <v>2.1350000000000002E-3</v>
      </c>
      <c r="L12" s="284">
        <f t="shared" si="4"/>
        <v>0.99609499999999995</v>
      </c>
      <c r="M12" s="294">
        <f t="shared" si="5"/>
        <v>0.997865</v>
      </c>
      <c r="N12" s="261">
        <f>'#4. 생명표'!X15</f>
        <v>3.2450000000000001E-3</v>
      </c>
      <c r="O12" s="261">
        <f>'#4. 생명표'!AD15</f>
        <v>1.7699999999999999E-3</v>
      </c>
      <c r="P12" s="284">
        <f t="shared" si="6"/>
        <v>0.99675499999999995</v>
      </c>
      <c r="Q12" s="294">
        <f t="shared" si="7"/>
        <v>0.99822999999999995</v>
      </c>
      <c r="R12" s="261">
        <f>'#4. 생명표'!X42</f>
        <v>2.7049999999999999E-3</v>
      </c>
      <c r="S12" s="261">
        <f>'#4. 생명표'!AD42</f>
        <v>1.485E-3</v>
      </c>
      <c r="T12" s="284">
        <f t="shared" si="8"/>
        <v>0.99729500000000004</v>
      </c>
      <c r="U12" s="260">
        <f t="shared" si="9"/>
        <v>0.99851500000000004</v>
      </c>
    </row>
    <row r="13" spans="1:21" s="32" customFormat="1" ht="18" customHeight="1">
      <c r="A13" s="254" t="s">
        <v>234</v>
      </c>
      <c r="B13" s="257">
        <f>'#4. 생명표'!B43</f>
        <v>9.3449999999999991E-3</v>
      </c>
      <c r="C13" s="262">
        <f>'#4. 생명표'!H43</f>
        <v>4.3949999999999996E-3</v>
      </c>
      <c r="D13" s="284">
        <f t="shared" si="0"/>
        <v>0.99065499999999995</v>
      </c>
      <c r="E13" s="294">
        <f t="shared" si="1"/>
        <v>0.99560499999999996</v>
      </c>
      <c r="F13" s="261">
        <f>'#4. 생명표'!M16</f>
        <v>7.8499999999999993E-3</v>
      </c>
      <c r="G13" s="261">
        <f>'#4. 생명표'!S16</f>
        <v>3.6900000000000001E-3</v>
      </c>
      <c r="H13" s="284">
        <f t="shared" si="2"/>
        <v>0.99214999999999998</v>
      </c>
      <c r="I13" s="294">
        <f t="shared" si="3"/>
        <v>0.99631000000000003</v>
      </c>
      <c r="J13" s="261">
        <f>'#4. 생명표'!M43</f>
        <v>6.5749999999999992E-3</v>
      </c>
      <c r="K13" s="261">
        <f>'#4. 생명표'!S43</f>
        <v>3.0699999999999998E-3</v>
      </c>
      <c r="L13" s="284">
        <f t="shared" si="4"/>
        <v>0.993425</v>
      </c>
      <c r="M13" s="294">
        <f t="shared" si="5"/>
        <v>0.99692999999999998</v>
      </c>
      <c r="N13" s="261">
        <f>'#4. 생명표'!X16</f>
        <v>5.5149999999999999E-3</v>
      </c>
      <c r="O13" s="261">
        <f>'#4. 생명표'!AD16</f>
        <v>2.5700000000000002E-3</v>
      </c>
      <c r="P13" s="284">
        <f t="shared" si="6"/>
        <v>0.99448499999999995</v>
      </c>
      <c r="Q13" s="294">
        <f t="shared" si="7"/>
        <v>0.99743000000000004</v>
      </c>
      <c r="R13" s="261">
        <f>'#4. 생명표'!X43</f>
        <v>4.6350000000000002E-3</v>
      </c>
      <c r="S13" s="261">
        <f>'#4. 생명표'!AD43</f>
        <v>2.1700000000000001E-3</v>
      </c>
      <c r="T13" s="284">
        <f t="shared" si="8"/>
        <v>0.99536500000000006</v>
      </c>
      <c r="U13" s="260">
        <f t="shared" si="9"/>
        <v>0.99782999999999999</v>
      </c>
    </row>
    <row r="14" spans="1:21" s="32" customFormat="1" ht="18" customHeight="1">
      <c r="A14" s="254" t="s">
        <v>235</v>
      </c>
      <c r="B14" s="257">
        <f>'#4. 생명표'!B44</f>
        <v>1.566E-2</v>
      </c>
      <c r="C14" s="262">
        <f>'#4. 생명표'!H44</f>
        <v>5.79E-3</v>
      </c>
      <c r="D14" s="284">
        <f t="shared" si="0"/>
        <v>0.98433999999999999</v>
      </c>
      <c r="E14" s="294">
        <f t="shared" si="1"/>
        <v>0.99421000000000004</v>
      </c>
      <c r="F14" s="261">
        <f>'#4. 생명표'!M17</f>
        <v>1.3260000000000001E-2</v>
      </c>
      <c r="G14" s="261">
        <f>'#4. 생명표'!S17</f>
        <v>4.8999999999999998E-3</v>
      </c>
      <c r="H14" s="284">
        <f t="shared" si="2"/>
        <v>0.98673999999999995</v>
      </c>
      <c r="I14" s="294">
        <f t="shared" si="3"/>
        <v>0.99509999999999998</v>
      </c>
      <c r="J14" s="261">
        <f>'#4. 생명표'!M44</f>
        <v>1.1195E-2</v>
      </c>
      <c r="K14" s="261">
        <f>'#4. 생명표'!S44</f>
        <v>4.1099999999999999E-3</v>
      </c>
      <c r="L14" s="284">
        <f t="shared" si="4"/>
        <v>0.98880500000000005</v>
      </c>
      <c r="M14" s="294">
        <f t="shared" si="5"/>
        <v>0.99589000000000005</v>
      </c>
      <c r="N14" s="261">
        <f>'#4. 생명표'!X17</f>
        <v>9.4699999999999993E-3</v>
      </c>
      <c r="O14" s="261">
        <f>'#4. 생명표'!AD17</f>
        <v>3.47E-3</v>
      </c>
      <c r="P14" s="284">
        <f t="shared" si="6"/>
        <v>0.99053000000000002</v>
      </c>
      <c r="Q14" s="294">
        <f t="shared" si="7"/>
        <v>0.99653000000000003</v>
      </c>
      <c r="R14" s="261">
        <f>'#4. 생명표'!X44</f>
        <v>8.0299999999999989E-3</v>
      </c>
      <c r="S14" s="261">
        <f>'#4. 생명표'!AD44</f>
        <v>2.9550000000000002E-3</v>
      </c>
      <c r="T14" s="284">
        <f t="shared" si="8"/>
        <v>0.99197000000000002</v>
      </c>
      <c r="U14" s="260">
        <f t="shared" si="9"/>
        <v>0.99704499999999996</v>
      </c>
    </row>
    <row r="15" spans="1:21" s="32" customFormat="1" ht="18" customHeight="1">
      <c r="A15" s="254" t="s">
        <v>236</v>
      </c>
      <c r="B15" s="257">
        <f>'#4. 생명표'!B45</f>
        <v>2.1989999999999999E-2</v>
      </c>
      <c r="C15" s="262">
        <f>'#4. 생명표'!H45</f>
        <v>8.7299999999999999E-3</v>
      </c>
      <c r="D15" s="284">
        <f t="shared" si="0"/>
        <v>0.97801000000000005</v>
      </c>
      <c r="E15" s="294">
        <f t="shared" si="1"/>
        <v>0.99126999999999998</v>
      </c>
      <c r="F15" s="261">
        <f>'#4. 생명표'!M18</f>
        <v>1.8634999999999999E-2</v>
      </c>
      <c r="G15" s="261">
        <f>'#4. 생명표'!S18</f>
        <v>7.3950000000000005E-3</v>
      </c>
      <c r="H15" s="284">
        <f t="shared" si="2"/>
        <v>0.98136500000000004</v>
      </c>
      <c r="I15" s="294">
        <f t="shared" si="3"/>
        <v>0.99260499999999996</v>
      </c>
      <c r="J15" s="261">
        <f>'#4. 생명표'!M45</f>
        <v>1.5745000000000002E-2</v>
      </c>
      <c r="K15" s="261">
        <f>'#4. 생명표'!S45</f>
        <v>6.2000000000000006E-3</v>
      </c>
      <c r="L15" s="284">
        <f t="shared" si="4"/>
        <v>0.98425499999999999</v>
      </c>
      <c r="M15" s="294">
        <f t="shared" si="5"/>
        <v>0.99380000000000002</v>
      </c>
      <c r="N15" s="261">
        <f>'#4. 생명표'!X18</f>
        <v>1.3325E-2</v>
      </c>
      <c r="O15" s="261">
        <f>'#4. 생명표'!AD18</f>
        <v>5.2350000000000001E-3</v>
      </c>
      <c r="P15" s="284">
        <f t="shared" si="6"/>
        <v>0.98667499999999997</v>
      </c>
      <c r="Q15" s="294">
        <f t="shared" si="7"/>
        <v>0.99476500000000001</v>
      </c>
      <c r="R15" s="261">
        <f>'#4. 생명표'!X45</f>
        <v>1.1304999999999999E-2</v>
      </c>
      <c r="S15" s="261">
        <f>'#4. 생명표'!AD45</f>
        <v>4.4650000000000002E-3</v>
      </c>
      <c r="T15" s="284">
        <f t="shared" si="8"/>
        <v>0.98869499999999999</v>
      </c>
      <c r="U15" s="260">
        <f t="shared" si="9"/>
        <v>0.99553499999999995</v>
      </c>
    </row>
    <row r="16" spans="1:21" s="32" customFormat="1" ht="18" customHeight="1">
      <c r="A16" s="254" t="s">
        <v>237</v>
      </c>
      <c r="B16" s="257">
        <f>'#4. 생명표'!B46</f>
        <v>3.2960000000000003E-2</v>
      </c>
      <c r="C16" s="262">
        <f>'#4. 생명표'!H46</f>
        <v>1.0880000000000001E-2</v>
      </c>
      <c r="D16" s="284">
        <f t="shared" si="0"/>
        <v>0.96704000000000001</v>
      </c>
      <c r="E16" s="294">
        <f t="shared" si="1"/>
        <v>0.98912</v>
      </c>
      <c r="F16" s="261">
        <f>'#4. 생명표'!M19</f>
        <v>2.7935000000000001E-2</v>
      </c>
      <c r="G16" s="261">
        <f>'#4. 생명표'!S19</f>
        <v>9.2099999999999994E-3</v>
      </c>
      <c r="H16" s="284">
        <f t="shared" si="2"/>
        <v>0.97206499999999996</v>
      </c>
      <c r="I16" s="294">
        <f t="shared" si="3"/>
        <v>0.99078999999999995</v>
      </c>
      <c r="J16" s="261">
        <f>'#4. 생명표'!M46</f>
        <v>2.3600000000000003E-2</v>
      </c>
      <c r="K16" s="261">
        <f>'#4. 생명표'!S46</f>
        <v>7.7250000000000001E-3</v>
      </c>
      <c r="L16" s="284">
        <f t="shared" si="4"/>
        <v>0.97640000000000005</v>
      </c>
      <c r="M16" s="294">
        <f t="shared" si="5"/>
        <v>0.99227500000000002</v>
      </c>
      <c r="N16" s="261">
        <f>'#4. 생명표'!X19</f>
        <v>1.9975E-2</v>
      </c>
      <c r="O16" s="261">
        <f>'#4. 생명표'!AD19</f>
        <v>6.5199999999999998E-3</v>
      </c>
      <c r="P16" s="284">
        <f t="shared" si="6"/>
        <v>0.98002500000000003</v>
      </c>
      <c r="Q16" s="294">
        <f t="shared" si="7"/>
        <v>0.99348000000000003</v>
      </c>
      <c r="R16" s="261">
        <f>'#4. 생명표'!X46</f>
        <v>1.695E-2</v>
      </c>
      <c r="S16" s="261">
        <f>'#4. 생명표'!AD46</f>
        <v>5.555E-3</v>
      </c>
      <c r="T16" s="284">
        <f t="shared" si="8"/>
        <v>0.98304999999999998</v>
      </c>
      <c r="U16" s="260">
        <f t="shared" si="9"/>
        <v>0.99444500000000002</v>
      </c>
    </row>
    <row r="17" spans="1:21" s="32" customFormat="1" ht="18" customHeight="1">
      <c r="A17" s="254" t="s">
        <v>238</v>
      </c>
      <c r="B17" s="257">
        <f>'#4. 생명표'!B47</f>
        <v>4.7664999999999999E-2</v>
      </c>
      <c r="C17" s="262">
        <f>'#4. 생명표'!H47</f>
        <v>1.5730000000000001E-2</v>
      </c>
      <c r="D17" s="284">
        <f t="shared" si="0"/>
        <v>0.95233500000000004</v>
      </c>
      <c r="E17" s="294">
        <f t="shared" si="1"/>
        <v>0.98426999999999998</v>
      </c>
      <c r="F17" s="261">
        <f>'#4. 생명표'!M20</f>
        <v>4.0509999999999997E-2</v>
      </c>
      <c r="G17" s="261">
        <f>'#4. 생명표'!S20</f>
        <v>1.3344999999999999E-2</v>
      </c>
      <c r="H17" s="284">
        <f t="shared" si="2"/>
        <v>0.95948999999999995</v>
      </c>
      <c r="I17" s="294">
        <f t="shared" si="3"/>
        <v>0.98665499999999995</v>
      </c>
      <c r="J17" s="261">
        <f>'#4. 생명표'!M47</f>
        <v>3.4314999999999998E-2</v>
      </c>
      <c r="K17" s="261">
        <f>'#4. 생명표'!S47</f>
        <v>1.1214999999999999E-2</v>
      </c>
      <c r="L17" s="284">
        <f t="shared" si="4"/>
        <v>0.96568500000000002</v>
      </c>
      <c r="M17" s="294">
        <f t="shared" si="5"/>
        <v>0.98878500000000003</v>
      </c>
      <c r="N17" s="261">
        <f>'#4. 생명표'!X20</f>
        <v>2.912E-2</v>
      </c>
      <c r="O17" s="261">
        <f>'#4. 생명표'!AD20</f>
        <v>9.495E-3</v>
      </c>
      <c r="P17" s="284">
        <f t="shared" si="6"/>
        <v>0.97087999999999997</v>
      </c>
      <c r="Q17" s="294">
        <f t="shared" si="7"/>
        <v>0.99050499999999997</v>
      </c>
      <c r="R17" s="261">
        <f>'#4. 생명표'!X47</f>
        <v>2.477E-2</v>
      </c>
      <c r="S17" s="261">
        <f>'#4. 생명표'!AD47</f>
        <v>8.1050000000000011E-3</v>
      </c>
      <c r="T17" s="284">
        <f t="shared" si="8"/>
        <v>0.97523000000000004</v>
      </c>
      <c r="U17" s="260">
        <f t="shared" si="9"/>
        <v>0.99189499999999997</v>
      </c>
    </row>
    <row r="18" spans="1:21" s="32" customFormat="1" ht="18" customHeight="1">
      <c r="A18" s="254" t="s">
        <v>239</v>
      </c>
      <c r="B18" s="257">
        <f>'#4. 생명표'!B48</f>
        <v>6.6549999999999998E-2</v>
      </c>
      <c r="C18" s="262">
        <f>'#4. 생명표'!H48</f>
        <v>2.5599999999999998E-2</v>
      </c>
      <c r="D18" s="284">
        <f t="shared" si="0"/>
        <v>0.93345</v>
      </c>
      <c r="E18" s="294">
        <f t="shared" si="1"/>
        <v>0.97440000000000004</v>
      </c>
      <c r="F18" s="261">
        <f>'#4. 생명표'!M21</f>
        <v>5.7430000000000002E-2</v>
      </c>
      <c r="G18" s="261">
        <f>'#4. 생명표'!S21</f>
        <v>2.205E-2</v>
      </c>
      <c r="H18" s="284">
        <f t="shared" si="2"/>
        <v>0.94257000000000002</v>
      </c>
      <c r="I18" s="294">
        <f t="shared" si="3"/>
        <v>0.97794999999999999</v>
      </c>
      <c r="J18" s="261">
        <f>'#4. 생명표'!M48</f>
        <v>4.9405000000000004E-2</v>
      </c>
      <c r="K18" s="261">
        <f>'#4. 생명표'!S48</f>
        <v>1.8825000000000001E-2</v>
      </c>
      <c r="L18" s="284">
        <f t="shared" si="4"/>
        <v>0.95059499999999997</v>
      </c>
      <c r="M18" s="294">
        <f t="shared" si="5"/>
        <v>0.98117500000000002</v>
      </c>
      <c r="N18" s="261">
        <f>'#4. 생명표'!X21</f>
        <v>4.2569999999999997E-2</v>
      </c>
      <c r="O18" s="261">
        <f>'#4. 생명표'!AD21</f>
        <v>1.617E-2</v>
      </c>
      <c r="P18" s="284">
        <f t="shared" si="6"/>
        <v>0.95743</v>
      </c>
      <c r="Q18" s="294">
        <f t="shared" si="7"/>
        <v>0.98382999999999998</v>
      </c>
      <c r="R18" s="261">
        <f>'#4. 생명표'!X48</f>
        <v>3.6754999999999996E-2</v>
      </c>
      <c r="S18" s="261">
        <f>'#4. 생명표'!AD48</f>
        <v>1.4005E-2</v>
      </c>
      <c r="T18" s="284">
        <f t="shared" si="8"/>
        <v>0.96324500000000002</v>
      </c>
      <c r="U18" s="260">
        <f t="shared" si="9"/>
        <v>0.98599499999999995</v>
      </c>
    </row>
    <row r="19" spans="1:21" s="32" customFormat="1" ht="18" customHeight="1">
      <c r="A19" s="254" t="s">
        <v>240</v>
      </c>
      <c r="B19" s="257">
        <f>'#4. 생명표'!B49</f>
        <v>0.122055</v>
      </c>
      <c r="C19" s="262">
        <f>'#4. 생명표'!H49</f>
        <v>4.6960000000000002E-2</v>
      </c>
      <c r="D19" s="284">
        <f t="shared" si="0"/>
        <v>0.87794499999999998</v>
      </c>
      <c r="E19" s="294">
        <f t="shared" si="1"/>
        <v>0.95304</v>
      </c>
      <c r="F19" s="261">
        <f>'#4. 생명표'!M22</f>
        <v>0.10803</v>
      </c>
      <c r="G19" s="261">
        <f>'#4. 생명표'!S22</f>
        <v>4.1410000000000002E-2</v>
      </c>
      <c r="H19" s="284">
        <f t="shared" si="2"/>
        <v>0.89197000000000004</v>
      </c>
      <c r="I19" s="294">
        <f t="shared" si="3"/>
        <v>0.95859000000000005</v>
      </c>
      <c r="J19" s="261">
        <f>'#4. 생명표'!M49</f>
        <v>9.5340000000000008E-2</v>
      </c>
      <c r="K19" s="261">
        <f>'#4. 생명표'!S49</f>
        <v>3.6235000000000003E-2</v>
      </c>
      <c r="L19" s="284">
        <f t="shared" si="4"/>
        <v>0.90466000000000002</v>
      </c>
      <c r="M19" s="294">
        <f t="shared" si="5"/>
        <v>0.96376499999999998</v>
      </c>
      <c r="N19" s="261">
        <f>'#4. 생명표'!X22</f>
        <v>8.4235000000000004E-2</v>
      </c>
      <c r="O19" s="261">
        <f>'#4. 생명표'!AD22</f>
        <v>3.1890000000000002E-2</v>
      </c>
      <c r="P19" s="284">
        <f t="shared" si="6"/>
        <v>0.91576499999999994</v>
      </c>
      <c r="Q19" s="294">
        <f t="shared" si="7"/>
        <v>0.96811000000000003</v>
      </c>
      <c r="R19" s="261">
        <f>'#4. 생명표'!X49</f>
        <v>7.4529999999999999E-2</v>
      </c>
      <c r="S19" s="261">
        <f>'#4. 생명표'!AD49</f>
        <v>2.8250000000000001E-2</v>
      </c>
      <c r="T19" s="284">
        <f t="shared" si="8"/>
        <v>0.92547000000000001</v>
      </c>
      <c r="U19" s="260">
        <f t="shared" si="9"/>
        <v>0.97175</v>
      </c>
    </row>
    <row r="20" spans="1:21" s="32" customFormat="1" ht="18" customHeight="1">
      <c r="A20" s="254" t="s">
        <v>241</v>
      </c>
      <c r="B20" s="257">
        <f>'#4. 생명표'!B50</f>
        <v>0.21271499999999999</v>
      </c>
      <c r="C20" s="262">
        <f>'#4. 생명표'!H50</f>
        <v>8.6435000000000012E-2</v>
      </c>
      <c r="D20" s="284">
        <f t="shared" si="0"/>
        <v>0.78728500000000001</v>
      </c>
      <c r="E20" s="294">
        <f t="shared" si="1"/>
        <v>0.91356499999999996</v>
      </c>
      <c r="F20" s="261">
        <f>'#4. 생명표'!M23</f>
        <v>0.19312000000000001</v>
      </c>
      <c r="G20" s="261">
        <f>'#4. 생명표'!S23</f>
        <v>7.8030000000000002E-2</v>
      </c>
      <c r="H20" s="284">
        <f t="shared" si="2"/>
        <v>0.80688000000000004</v>
      </c>
      <c r="I20" s="294">
        <f t="shared" si="3"/>
        <v>0.92196999999999996</v>
      </c>
      <c r="J20" s="261">
        <f>'#4. 생명표'!M50</f>
        <v>0.17488000000000001</v>
      </c>
      <c r="K20" s="261">
        <f>'#4. 생명표'!S50</f>
        <v>6.9984999999999992E-2</v>
      </c>
      <c r="L20" s="284">
        <f t="shared" si="4"/>
        <v>0.82511999999999996</v>
      </c>
      <c r="M20" s="294">
        <f t="shared" si="5"/>
        <v>0.93001500000000004</v>
      </c>
      <c r="N20" s="261">
        <f>'#4. 생명표'!X23</f>
        <v>0.15845000000000001</v>
      </c>
      <c r="O20" s="261">
        <f>'#4. 생명표'!AD23</f>
        <v>6.3064999999999996E-2</v>
      </c>
      <c r="P20" s="284">
        <f t="shared" si="6"/>
        <v>0.84155000000000002</v>
      </c>
      <c r="Q20" s="294">
        <f t="shared" si="7"/>
        <v>0.93693499999999996</v>
      </c>
      <c r="R20" s="261">
        <f>'#4. 생명표'!X50</f>
        <v>0.14367000000000002</v>
      </c>
      <c r="S20" s="261">
        <f>'#4. 생명표'!AD50</f>
        <v>5.713E-2</v>
      </c>
      <c r="T20" s="284">
        <f t="shared" si="8"/>
        <v>0.85633000000000004</v>
      </c>
      <c r="U20" s="260">
        <f t="shared" si="9"/>
        <v>0.94286999999999999</v>
      </c>
    </row>
    <row r="21" spans="1:21" s="32" customFormat="1" ht="18" customHeight="1">
      <c r="A21" s="254" t="s">
        <v>242</v>
      </c>
      <c r="B21" s="257">
        <f>'#4. 생명표'!B51</f>
        <v>0.35467499999999996</v>
      </c>
      <c r="C21" s="262">
        <f>'#4. 생명표'!H51</f>
        <v>0.15459000000000001</v>
      </c>
      <c r="D21" s="284">
        <f t="shared" si="0"/>
        <v>0.64532500000000004</v>
      </c>
      <c r="E21" s="294">
        <f t="shared" si="1"/>
        <v>0.84540999999999999</v>
      </c>
      <c r="F21" s="261">
        <f>'#4. 생명표'!M24</f>
        <v>0.33077000000000001</v>
      </c>
      <c r="G21" s="261">
        <f>'#4. 생명표'!S24</f>
        <v>0.14302999999999999</v>
      </c>
      <c r="H21" s="284">
        <f t="shared" si="2"/>
        <v>0.66922999999999999</v>
      </c>
      <c r="I21" s="294">
        <f t="shared" si="3"/>
        <v>0.85697000000000001</v>
      </c>
      <c r="J21" s="261">
        <f>'#4. 생명표'!M51</f>
        <v>0.307805</v>
      </c>
      <c r="K21" s="261">
        <f>'#4. 생명표'!S51</f>
        <v>0.131635</v>
      </c>
      <c r="L21" s="284">
        <f t="shared" si="4"/>
        <v>0.692195</v>
      </c>
      <c r="M21" s="294">
        <f t="shared" si="5"/>
        <v>0.86836500000000005</v>
      </c>
      <c r="N21" s="261">
        <f>'#4. 생명표'!X24</f>
        <v>0.28644500000000001</v>
      </c>
      <c r="O21" s="261">
        <f>'#4. 생명표'!AD24</f>
        <v>0.1216</v>
      </c>
      <c r="P21" s="284">
        <f t="shared" si="6"/>
        <v>0.71355499999999994</v>
      </c>
      <c r="Q21" s="294">
        <f t="shared" si="7"/>
        <v>0.87839999999999996</v>
      </c>
      <c r="R21" s="261">
        <f>'#4. 생명표'!X51</f>
        <v>0.26660499999999998</v>
      </c>
      <c r="S21" s="261">
        <f>'#4. 생명표'!AD51</f>
        <v>0.11278000000000001</v>
      </c>
      <c r="T21" s="284">
        <f t="shared" si="8"/>
        <v>0.73339500000000002</v>
      </c>
      <c r="U21" s="260">
        <f t="shared" si="9"/>
        <v>0.88722000000000001</v>
      </c>
    </row>
    <row r="22" spans="1:21" s="32" customFormat="1" ht="18" customHeight="1">
      <c r="A22" s="254" t="s">
        <v>243</v>
      </c>
      <c r="B22" s="257">
        <f>'#4. 생명표'!B52</f>
        <v>0.54566499999999996</v>
      </c>
      <c r="C22" s="262">
        <f>'#4. 생명표'!H52</f>
        <v>0.26638000000000001</v>
      </c>
      <c r="D22" s="284">
        <f t="shared" si="0"/>
        <v>0.45433500000000004</v>
      </c>
      <c r="E22" s="294">
        <f t="shared" si="1"/>
        <v>0.73361999999999994</v>
      </c>
      <c r="F22" s="261">
        <f>'#4. 생명표'!M25</f>
        <v>0.5223549999999999</v>
      </c>
      <c r="G22" s="261">
        <f>'#4. 생명표'!S25</f>
        <v>0.25250499999999998</v>
      </c>
      <c r="H22" s="284">
        <f t="shared" si="2"/>
        <v>0.4776450000000001</v>
      </c>
      <c r="I22" s="294">
        <f t="shared" si="3"/>
        <v>0.74749500000000002</v>
      </c>
      <c r="J22" s="261">
        <f>'#4. 생명표'!M52</f>
        <v>0.49922</v>
      </c>
      <c r="K22" s="261">
        <f>'#4. 생명표'!S52</f>
        <v>0.23841000000000001</v>
      </c>
      <c r="L22" s="284">
        <f t="shared" si="4"/>
        <v>0.50078</v>
      </c>
      <c r="M22" s="294">
        <f t="shared" si="5"/>
        <v>0.76158999999999999</v>
      </c>
      <c r="N22" s="261">
        <f>'#4. 생명표'!X25</f>
        <v>0.47696</v>
      </c>
      <c r="O22" s="261">
        <f>'#4. 생명표'!AD25</f>
        <v>0.22570499999999999</v>
      </c>
      <c r="P22" s="284">
        <f t="shared" si="6"/>
        <v>0.52303999999999995</v>
      </c>
      <c r="Q22" s="294">
        <f t="shared" si="7"/>
        <v>0.77429499999999996</v>
      </c>
      <c r="R22" s="261">
        <f>'#4. 생명표'!X52</f>
        <v>0.45557999999999998</v>
      </c>
      <c r="S22" s="261">
        <f>'#4. 생명표'!AD52</f>
        <v>0.21426000000000001</v>
      </c>
      <c r="T22" s="284">
        <f t="shared" si="8"/>
        <v>0.54442000000000002</v>
      </c>
      <c r="U22" s="260">
        <f t="shared" si="9"/>
        <v>0.78573999999999999</v>
      </c>
    </row>
    <row r="23" spans="1:21" s="32" customFormat="1" ht="18" customHeight="1">
      <c r="A23" s="254" t="s">
        <v>244</v>
      </c>
      <c r="B23" s="257">
        <f>'#4. 생명표'!B53</f>
        <v>0.74920500000000001</v>
      </c>
      <c r="C23" s="262">
        <f>'#4. 생명표'!H53</f>
        <v>0.43112499999999998</v>
      </c>
      <c r="D23" s="284">
        <f t="shared" si="0"/>
        <v>0.25079499999999999</v>
      </c>
      <c r="E23" s="294">
        <f t="shared" si="1"/>
        <v>0.56887500000000002</v>
      </c>
      <c r="F23" s="261">
        <f>'#4. 생명표'!M26</f>
        <v>0.73324499999999992</v>
      </c>
      <c r="G23" s="261">
        <f>'#4. 생명표'!S26</f>
        <v>0.41779500000000003</v>
      </c>
      <c r="H23" s="284">
        <f t="shared" si="2"/>
        <v>0.26675500000000008</v>
      </c>
      <c r="I23" s="294">
        <f t="shared" si="3"/>
        <v>0.58220499999999997</v>
      </c>
      <c r="J23" s="261">
        <f>'#4. 생명표'!M53</f>
        <v>0.71694999999999998</v>
      </c>
      <c r="K23" s="261">
        <f>'#4. 생명표'!S53</f>
        <v>0.40383000000000002</v>
      </c>
      <c r="L23" s="284">
        <f t="shared" si="4"/>
        <v>0.28305000000000002</v>
      </c>
      <c r="M23" s="294">
        <f t="shared" si="5"/>
        <v>0.59616999999999998</v>
      </c>
      <c r="N23" s="261">
        <f>'#4. 생명표'!X26</f>
        <v>0.70076000000000005</v>
      </c>
      <c r="O23" s="261">
        <f>'#4. 생명표'!AD26</f>
        <v>0.39100499999999999</v>
      </c>
      <c r="P23" s="284">
        <f t="shared" si="6"/>
        <v>0.29923999999999995</v>
      </c>
      <c r="Q23" s="294">
        <f t="shared" si="7"/>
        <v>0.60899499999999995</v>
      </c>
      <c r="R23" s="261">
        <f>'#4. 생명표'!X53</f>
        <v>0.68469500000000005</v>
      </c>
      <c r="S23" s="261">
        <f>'#4. 생명표'!AD53</f>
        <v>0.37920999999999999</v>
      </c>
      <c r="T23" s="284">
        <f t="shared" si="8"/>
        <v>0.31530499999999995</v>
      </c>
      <c r="U23" s="260">
        <f t="shared" si="9"/>
        <v>0.62078999999999995</v>
      </c>
    </row>
    <row r="24" spans="1:21" s="32" customFormat="1" ht="18" customHeight="1">
      <c r="A24" s="254" t="s">
        <v>245</v>
      </c>
      <c r="B24" s="257">
        <f>'#4. 생명표'!B54</f>
        <v>0.90279500000000001</v>
      </c>
      <c r="C24" s="262">
        <f>'#4. 생명표'!H54</f>
        <v>0.634185</v>
      </c>
      <c r="D24" s="284">
        <f t="shared" si="0"/>
        <v>9.7204999999999986E-2</v>
      </c>
      <c r="E24" s="294">
        <f t="shared" si="1"/>
        <v>0.365815</v>
      </c>
      <c r="F24" s="261">
        <f>'#4. 생명표'!M27</f>
        <v>0.89654500000000004</v>
      </c>
      <c r="G24" s="261">
        <f>'#4. 생명표'!S27</f>
        <v>0.62551999999999996</v>
      </c>
      <c r="H24" s="284">
        <f t="shared" si="2"/>
        <v>0.10345499999999996</v>
      </c>
      <c r="I24" s="294">
        <f t="shared" si="3"/>
        <v>0.37448000000000004</v>
      </c>
      <c r="J24" s="261">
        <f>'#4. 생명표'!M54</f>
        <v>0.890065</v>
      </c>
      <c r="K24" s="261">
        <f>'#4. 생명표'!S54</f>
        <v>0.61615500000000001</v>
      </c>
      <c r="L24" s="284">
        <f t="shared" si="4"/>
        <v>0.109935</v>
      </c>
      <c r="M24" s="294">
        <f t="shared" si="5"/>
        <v>0.38384499999999999</v>
      </c>
      <c r="N24" s="261">
        <f>'#4. 생명표'!X27</f>
        <v>0.88348000000000004</v>
      </c>
      <c r="O24" s="261">
        <f>'#4. 생명표'!AD27</f>
        <v>0.60749500000000001</v>
      </c>
      <c r="P24" s="284">
        <f t="shared" si="6"/>
        <v>0.11651999999999996</v>
      </c>
      <c r="Q24" s="294">
        <f t="shared" si="7"/>
        <v>0.39250499999999999</v>
      </c>
      <c r="R24" s="261">
        <f>'#4. 생명표'!X54</f>
        <v>0.87678500000000004</v>
      </c>
      <c r="S24" s="261">
        <f>'#4. 생명표'!AD54</f>
        <v>0.59945999999999999</v>
      </c>
      <c r="T24" s="284">
        <f t="shared" si="8"/>
        <v>0.12321499999999996</v>
      </c>
      <c r="U24" s="260">
        <f t="shared" si="9"/>
        <v>0.40054000000000001</v>
      </c>
    </row>
    <row r="25" spans="1:21" s="32" customFormat="1" ht="18" customHeight="1">
      <c r="A25" s="253" t="s">
        <v>51</v>
      </c>
      <c r="B25" s="256">
        <f>'#4. 생명표'!B55</f>
        <v>1</v>
      </c>
      <c r="C25" s="295">
        <f>'#4. 생명표'!H55</f>
        <v>1</v>
      </c>
      <c r="D25" s="296">
        <f t="shared" si="0"/>
        <v>0</v>
      </c>
      <c r="E25" s="296">
        <f t="shared" si="1"/>
        <v>0</v>
      </c>
      <c r="F25" s="297">
        <f>'#4. 생명표'!M28</f>
        <v>1</v>
      </c>
      <c r="G25" s="297">
        <f>'#4. 생명표'!S28</f>
        <v>1</v>
      </c>
      <c r="H25" s="296">
        <f>1-F25</f>
        <v>0</v>
      </c>
      <c r="I25" s="296">
        <v>0</v>
      </c>
      <c r="J25" s="297">
        <f>'#4. 생명표'!M55</f>
        <v>1</v>
      </c>
      <c r="K25" s="297">
        <f>'#4. 생명표'!S55</f>
        <v>1</v>
      </c>
      <c r="L25" s="296">
        <f>1-J25</f>
        <v>0</v>
      </c>
      <c r="M25" s="296">
        <v>0</v>
      </c>
      <c r="N25" s="297">
        <f>'#4. 생명표'!X28</f>
        <v>1</v>
      </c>
      <c r="O25" s="297">
        <f>'#4. 생명표'!AD28</f>
        <v>1</v>
      </c>
      <c r="P25" s="296">
        <f>1-N25</f>
        <v>0</v>
      </c>
      <c r="Q25" s="296">
        <v>0</v>
      </c>
      <c r="R25" s="297">
        <f>'#4. 생명표'!X55</f>
        <v>1</v>
      </c>
      <c r="S25" s="297">
        <f>'#4. 생명표'!AD55</f>
        <v>1</v>
      </c>
      <c r="T25" s="296">
        <f>1-R25</f>
        <v>0</v>
      </c>
      <c r="U25" s="263">
        <v>0</v>
      </c>
    </row>
    <row r="26" spans="1:21" s="34" customFormat="1">
      <c r="A26" s="33"/>
    </row>
  </sheetData>
  <mergeCells count="6">
    <mergeCell ref="N2:Q2"/>
    <mergeCell ref="R2:U2"/>
    <mergeCell ref="A2:A3"/>
    <mergeCell ref="B2:E2"/>
    <mergeCell ref="F2:I2"/>
    <mergeCell ref="J2:M2"/>
  </mergeCells>
  <phoneticPr fontId="10" type="noConversion"/>
  <conditionalFormatting sqref="B4:U25">
    <cfRule type="expression" dxfId="2" priority="1" stopIfTrue="1">
      <formula>B$3="사망확률(남자)"</formula>
    </cfRule>
    <cfRule type="expression" dxfId="1" priority="2" stopIfTrue="1">
      <formula>B$3="사망확률(여자)"</formula>
    </cfRule>
    <cfRule type="expression" dxfId="0" priority="3" stopIfTrue="1">
      <formula>B$3="생잔율(여자)"</formula>
    </cfRule>
  </conditionalFormatting>
  <printOptions horizontalCentered="1"/>
  <pageMargins left="0.43307086614173229" right="0.43307086614173229" top="0.78740157480314965" bottom="0.98425196850393704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33">
    <tabColor theme="1"/>
  </sheetPr>
  <dimension ref="A1:AI113"/>
  <sheetViews>
    <sheetView showGridLines="0" view="pageBreakPreview" zoomScaleSheetLayoutView="100" workbookViewId="0">
      <pane xSplit="2" ySplit="1" topLeftCell="C50" activePane="bottomRight" state="frozen"/>
      <selection activeCell="B22" sqref="B22"/>
      <selection pane="topRight" activeCell="B22" sqref="B22"/>
      <selection pane="bottomLeft" activeCell="B22" sqref="B22"/>
      <selection pane="bottomRight" activeCell="R65" sqref="R65"/>
    </sheetView>
  </sheetViews>
  <sheetFormatPr defaultRowHeight="12"/>
  <cols>
    <col min="1" max="5" width="6.77734375" style="9" customWidth="1"/>
    <col min="6" max="6" width="2.77734375" style="9" customWidth="1"/>
    <col min="7" max="16" width="6.77734375" style="9" customWidth="1"/>
    <col min="17" max="17" width="2.77734375" style="9" customWidth="1"/>
    <col min="18" max="27" width="6.77734375" style="9" customWidth="1"/>
    <col min="28" max="28" width="2.77734375" style="9" customWidth="1"/>
    <col min="29" max="33" width="6.77734375" style="9" customWidth="1"/>
    <col min="34" max="34" width="17.109375" style="9" bestFit="1" customWidth="1"/>
    <col min="35" max="16384" width="8.88671875" style="9"/>
  </cols>
  <sheetData>
    <row r="1" spans="1:33" s="3" customFormat="1" ht="21.95" customHeight="1">
      <c r="A1" s="1137" t="s">
        <v>217</v>
      </c>
      <c r="B1" s="1137"/>
      <c r="C1" s="1137"/>
      <c r="D1" s="1137"/>
      <c r="E1" s="1137"/>
      <c r="F1" s="1137"/>
      <c r="G1" s="1137"/>
      <c r="H1" s="1137"/>
      <c r="I1" s="1137"/>
      <c r="J1" s="1137"/>
      <c r="K1" s="1137"/>
      <c r="L1" s="1137" t="s">
        <v>217</v>
      </c>
      <c r="M1" s="1137"/>
      <c r="N1" s="1137"/>
      <c r="O1" s="1137"/>
      <c r="P1" s="1137"/>
      <c r="Q1" s="1137"/>
      <c r="R1" s="1137"/>
      <c r="S1" s="1137"/>
      <c r="T1" s="1137"/>
      <c r="U1" s="1137"/>
      <c r="V1" s="1137"/>
      <c r="W1" s="1137" t="s">
        <v>217</v>
      </c>
      <c r="X1" s="1137"/>
      <c r="Y1" s="1137"/>
      <c r="Z1" s="1137"/>
      <c r="AA1" s="1137"/>
      <c r="AB1" s="1137"/>
      <c r="AC1" s="1137"/>
      <c r="AD1" s="1137"/>
      <c r="AE1" s="1137"/>
      <c r="AF1" s="1137"/>
      <c r="AG1" s="1137"/>
    </row>
    <row r="2" spans="1:33" s="4" customFormat="1" ht="15.75" customHeight="1">
      <c r="A2" s="1147" t="s">
        <v>216</v>
      </c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1147" t="s">
        <v>216</v>
      </c>
      <c r="M2" s="1147"/>
      <c r="N2" s="1147"/>
      <c r="O2" s="1147"/>
      <c r="P2" s="1147"/>
      <c r="Q2" s="1147"/>
      <c r="R2" s="1147"/>
      <c r="S2" s="1147"/>
      <c r="T2" s="1147"/>
      <c r="U2" s="1147"/>
      <c r="V2" s="1147"/>
      <c r="W2" s="1147" t="s">
        <v>216</v>
      </c>
      <c r="X2" s="1147"/>
      <c r="Y2" s="1147"/>
      <c r="Z2" s="1147"/>
      <c r="AA2" s="1147"/>
      <c r="AB2" s="1147"/>
      <c r="AC2" s="1147"/>
      <c r="AD2" s="1147"/>
      <c r="AE2" s="1147"/>
      <c r="AF2" s="1147"/>
      <c r="AG2" s="1147"/>
    </row>
    <row r="3" spans="1:33" ht="30" customHeight="1" thickBot="1">
      <c r="A3" s="5" t="s">
        <v>302</v>
      </c>
      <c r="B3" s="6"/>
      <c r="C3" s="6"/>
      <c r="D3" s="6"/>
      <c r="E3" s="6"/>
      <c r="F3" s="7"/>
      <c r="G3" s="8" t="s">
        <v>303</v>
      </c>
      <c r="H3" s="2"/>
      <c r="I3" s="2"/>
      <c r="J3" s="2"/>
      <c r="K3" s="2"/>
      <c r="L3" s="5" t="s">
        <v>306</v>
      </c>
      <c r="M3" s="6"/>
      <c r="N3" s="6"/>
      <c r="O3" s="6"/>
      <c r="P3" s="6"/>
      <c r="Q3" s="7"/>
      <c r="R3" s="8" t="s">
        <v>308</v>
      </c>
      <c r="S3" s="2"/>
      <c r="T3" s="2"/>
      <c r="U3" s="2"/>
      <c r="V3" s="2"/>
      <c r="W3" s="5" t="s">
        <v>310</v>
      </c>
      <c r="X3" s="6"/>
      <c r="Y3" s="6"/>
      <c r="Z3" s="6"/>
      <c r="AA3" s="6"/>
      <c r="AB3" s="7"/>
      <c r="AC3" s="8" t="s">
        <v>312</v>
      </c>
      <c r="AD3" s="2"/>
      <c r="AE3" s="2"/>
      <c r="AF3" s="2"/>
      <c r="AG3" s="2"/>
    </row>
    <row r="4" spans="1:33" ht="15" customHeight="1">
      <c r="A4" s="10" t="s">
        <v>76</v>
      </c>
      <c r="B4" s="11" t="s">
        <v>215</v>
      </c>
      <c r="C4" s="11" t="s">
        <v>214</v>
      </c>
      <c r="D4" s="11" t="s">
        <v>213</v>
      </c>
      <c r="E4" s="11" t="s">
        <v>212</v>
      </c>
      <c r="F4" s="12"/>
      <c r="G4" s="10" t="s">
        <v>75</v>
      </c>
      <c r="H4" s="11" t="s">
        <v>215</v>
      </c>
      <c r="I4" s="11" t="s">
        <v>214</v>
      </c>
      <c r="J4" s="11" t="s">
        <v>213</v>
      </c>
      <c r="K4" s="11" t="s">
        <v>212</v>
      </c>
      <c r="L4" s="10" t="s">
        <v>76</v>
      </c>
      <c r="M4" s="11" t="s">
        <v>215</v>
      </c>
      <c r="N4" s="11" t="s">
        <v>214</v>
      </c>
      <c r="O4" s="11" t="s">
        <v>213</v>
      </c>
      <c r="P4" s="11" t="s">
        <v>212</v>
      </c>
      <c r="Q4" s="12"/>
      <c r="R4" s="10" t="s">
        <v>75</v>
      </c>
      <c r="S4" s="11" t="s">
        <v>215</v>
      </c>
      <c r="T4" s="11" t="s">
        <v>214</v>
      </c>
      <c r="U4" s="11" t="s">
        <v>213</v>
      </c>
      <c r="V4" s="11" t="s">
        <v>212</v>
      </c>
      <c r="W4" s="10" t="s">
        <v>76</v>
      </c>
      <c r="X4" s="11" t="s">
        <v>215</v>
      </c>
      <c r="Y4" s="11" t="s">
        <v>214</v>
      </c>
      <c r="Z4" s="11" t="s">
        <v>213</v>
      </c>
      <c r="AA4" s="11" t="s">
        <v>212</v>
      </c>
      <c r="AB4" s="12"/>
      <c r="AC4" s="10" t="s">
        <v>75</v>
      </c>
      <c r="AD4" s="11" t="s">
        <v>215</v>
      </c>
      <c r="AE4" s="11" t="s">
        <v>214</v>
      </c>
      <c r="AF4" s="11" t="s">
        <v>213</v>
      </c>
      <c r="AG4" s="11" t="s">
        <v>212</v>
      </c>
    </row>
    <row r="5" spans="1:33" s="17" customFormat="1" ht="15" customHeight="1">
      <c r="A5" s="13" t="s">
        <v>211</v>
      </c>
      <c r="B5" s="14" t="s">
        <v>209</v>
      </c>
      <c r="C5" s="15" t="s">
        <v>208</v>
      </c>
      <c r="D5" s="14" t="s">
        <v>207</v>
      </c>
      <c r="E5" s="14" t="s">
        <v>206</v>
      </c>
      <c r="F5" s="16"/>
      <c r="G5" s="13" t="s">
        <v>210</v>
      </c>
      <c r="H5" s="14" t="s">
        <v>209</v>
      </c>
      <c r="I5" s="15" t="s">
        <v>208</v>
      </c>
      <c r="J5" s="14" t="s">
        <v>207</v>
      </c>
      <c r="K5" s="14" t="s">
        <v>206</v>
      </c>
      <c r="L5" s="13" t="s">
        <v>211</v>
      </c>
      <c r="M5" s="14" t="s">
        <v>209</v>
      </c>
      <c r="N5" s="15" t="s">
        <v>208</v>
      </c>
      <c r="O5" s="14" t="s">
        <v>207</v>
      </c>
      <c r="P5" s="14" t="s">
        <v>206</v>
      </c>
      <c r="Q5" s="16"/>
      <c r="R5" s="13" t="s">
        <v>210</v>
      </c>
      <c r="S5" s="14" t="s">
        <v>209</v>
      </c>
      <c r="T5" s="15" t="s">
        <v>208</v>
      </c>
      <c r="U5" s="14" t="s">
        <v>207</v>
      </c>
      <c r="V5" s="14" t="s">
        <v>206</v>
      </c>
      <c r="W5" s="13" t="s">
        <v>211</v>
      </c>
      <c r="X5" s="14" t="s">
        <v>209</v>
      </c>
      <c r="Y5" s="15" t="s">
        <v>208</v>
      </c>
      <c r="Z5" s="14" t="s">
        <v>207</v>
      </c>
      <c r="AA5" s="14" t="s">
        <v>206</v>
      </c>
      <c r="AB5" s="16"/>
      <c r="AC5" s="13" t="s">
        <v>210</v>
      </c>
      <c r="AD5" s="14" t="s">
        <v>209</v>
      </c>
      <c r="AE5" s="15" t="s">
        <v>208</v>
      </c>
      <c r="AF5" s="14" t="s">
        <v>207</v>
      </c>
      <c r="AG5" s="14" t="s">
        <v>206</v>
      </c>
    </row>
    <row r="6" spans="1:33" s="17" customFormat="1" ht="6.95" customHeight="1">
      <c r="A6" s="18"/>
      <c r="B6" s="19"/>
      <c r="C6" s="20"/>
      <c r="D6" s="19"/>
      <c r="E6" s="19"/>
      <c r="F6" s="16"/>
      <c r="G6" s="18"/>
      <c r="H6" s="19"/>
      <c r="I6" s="20"/>
      <c r="J6" s="19"/>
      <c r="K6" s="19"/>
      <c r="L6" s="18"/>
      <c r="M6" s="19"/>
      <c r="N6" s="20"/>
      <c r="O6" s="19"/>
      <c r="P6" s="19"/>
      <c r="Q6" s="16"/>
      <c r="R6" s="18"/>
      <c r="S6" s="19"/>
      <c r="T6" s="20"/>
      <c r="U6" s="19"/>
      <c r="V6" s="19"/>
      <c r="W6" s="18"/>
      <c r="X6" s="19"/>
      <c r="Y6" s="20"/>
      <c r="Z6" s="19"/>
      <c r="AA6" s="19"/>
      <c r="AB6" s="16"/>
      <c r="AC6" s="18"/>
      <c r="AD6" s="19"/>
      <c r="AE6" s="20"/>
      <c r="AF6" s="19"/>
      <c r="AG6" s="19"/>
    </row>
    <row r="7" spans="1:33" ht="12" customHeight="1">
      <c r="A7" s="21">
        <v>0</v>
      </c>
      <c r="B7" s="22">
        <f>(AB70+X70)/2</f>
        <v>4.1549999999999998E-3</v>
      </c>
      <c r="C7" s="23">
        <f>(AC70+Y70)/2</f>
        <v>100000</v>
      </c>
      <c r="D7" s="23">
        <f>(AD70+Z70)/2</f>
        <v>99608.5</v>
      </c>
      <c r="E7" s="23">
        <f>(AE70+AA70)/2</f>
        <v>77.199999999999989</v>
      </c>
      <c r="F7" s="24"/>
      <c r="G7" s="21">
        <v>0</v>
      </c>
      <c r="H7" s="22">
        <f>(AB92+X92)/2</f>
        <v>3.5950000000000001E-3</v>
      </c>
      <c r="I7" s="72">
        <f t="shared" ref="I7:K7" si="0">(AC92+Y92)/2</f>
        <v>100000</v>
      </c>
      <c r="J7" s="72">
        <f t="shared" si="0"/>
        <v>99663</v>
      </c>
      <c r="K7" s="72">
        <f t="shared" si="0"/>
        <v>85.65</v>
      </c>
      <c r="L7" s="21">
        <v>0</v>
      </c>
      <c r="M7" s="22">
        <f>(T70+P70)/2</f>
        <v>3.5399999999999997E-3</v>
      </c>
      <c r="N7" s="72">
        <f t="shared" ref="N7:P7" si="1">(U70+Q70)/2</f>
        <v>100000</v>
      </c>
      <c r="O7" s="72">
        <f t="shared" si="1"/>
        <v>99665.5</v>
      </c>
      <c r="P7" s="72">
        <f t="shared" si="1"/>
        <v>79.550000000000011</v>
      </c>
      <c r="Q7" s="24"/>
      <c r="R7" s="21">
        <v>0</v>
      </c>
      <c r="S7" s="22">
        <f>(T92+P92)/2</f>
        <v>2.9950000000000003E-3</v>
      </c>
      <c r="T7" s="72">
        <f t="shared" ref="T7:V7" si="2">(U92+Q92)/2</f>
        <v>100000</v>
      </c>
      <c r="U7" s="72">
        <f t="shared" si="2"/>
        <v>99718.5</v>
      </c>
      <c r="V7" s="72">
        <f t="shared" si="2"/>
        <v>88.1</v>
      </c>
      <c r="W7" s="21">
        <v>0</v>
      </c>
      <c r="X7" s="22">
        <f t="shared" ref="X7:X28" si="3">(L70+H70)/2</f>
        <v>3.0200000000000001E-3</v>
      </c>
      <c r="Y7" s="72">
        <f t="shared" ref="Y7:Y28" si="4">(M70+I70)/2</f>
        <v>100000</v>
      </c>
      <c r="Z7" s="72">
        <f t="shared" ref="Z7:Z28" si="5">(N70+J70)/2</f>
        <v>99714.5</v>
      </c>
      <c r="AA7" s="72">
        <f t="shared" ref="AA7:AA28" si="6">(O70+K70)/2</f>
        <v>81.900000000000006</v>
      </c>
      <c r="AB7" s="24"/>
      <c r="AC7" s="21">
        <v>0</v>
      </c>
      <c r="AD7" s="22">
        <f t="shared" ref="AD7:AD28" si="7">(L92+H92)/2</f>
        <v>2.4949999999999998E-3</v>
      </c>
      <c r="AE7" s="72">
        <f t="shared" ref="AE7:AE28" si="8">(M92+I92)/2</f>
        <v>100000</v>
      </c>
      <c r="AF7" s="72">
        <f t="shared" ref="AF7:AF28" si="9">(N92+J92)/2</f>
        <v>99765.5</v>
      </c>
      <c r="AG7" s="72">
        <f t="shared" ref="AG7:AG28" si="10">(O92+K92)/2</f>
        <v>89.75</v>
      </c>
    </row>
    <row r="8" spans="1:33" ht="12" customHeight="1">
      <c r="A8" s="25" t="s">
        <v>205</v>
      </c>
      <c r="B8" s="22">
        <f t="shared" ref="B8:E8" si="11">(AB71+X71)/2</f>
        <v>8.3500000000000002E-4</v>
      </c>
      <c r="C8" s="23">
        <f t="shared" si="11"/>
        <v>99584.5</v>
      </c>
      <c r="D8" s="23">
        <f t="shared" si="11"/>
        <v>398141</v>
      </c>
      <c r="E8" s="23">
        <f t="shared" si="11"/>
        <v>76.550000000000011</v>
      </c>
      <c r="F8" s="24"/>
      <c r="G8" s="25" t="s">
        <v>205</v>
      </c>
      <c r="H8" s="22">
        <f t="shared" ref="H8:H28" si="12">(AB93+X93)/2</f>
        <v>1.15E-3</v>
      </c>
      <c r="I8" s="72">
        <f t="shared" ref="I8:I28" si="13">(AC93+Y93)/2</f>
        <v>99640.5</v>
      </c>
      <c r="J8" s="72">
        <f t="shared" ref="J8:J28" si="14">(AD93+Z93)/2</f>
        <v>398276</v>
      </c>
      <c r="K8" s="72">
        <f t="shared" ref="K8:K28" si="15">(AE93+AA93)/2</f>
        <v>84.95</v>
      </c>
      <c r="L8" s="25" t="s">
        <v>205</v>
      </c>
      <c r="M8" s="22">
        <f t="shared" ref="M8:M28" si="16">(T71+P71)/2</f>
        <v>3.3E-4</v>
      </c>
      <c r="N8" s="72">
        <f t="shared" ref="N8:N28" si="17">(U71+Q71)/2</f>
        <v>99646</v>
      </c>
      <c r="O8" s="72">
        <f t="shared" ref="O8:O28" si="18">(V71+R71)/2</f>
        <v>398508</v>
      </c>
      <c r="P8" s="72">
        <f t="shared" ref="P8:P28" si="19">(W71+S71)/2</f>
        <v>78.849999999999994</v>
      </c>
      <c r="Q8" s="24"/>
      <c r="R8" s="25" t="s">
        <v>205</v>
      </c>
      <c r="S8" s="22">
        <f t="shared" ref="S8:S28" si="20">(T93+P93)/2</f>
        <v>5.9500000000000004E-4</v>
      </c>
      <c r="T8" s="72">
        <f t="shared" ref="T8:T28" si="21">(U93+Q93)/2</f>
        <v>99700.5</v>
      </c>
      <c r="U8" s="72">
        <f t="shared" ref="U8:U28" si="22">(V93+R93)/2</f>
        <v>398654</v>
      </c>
      <c r="V8" s="72">
        <f t="shared" ref="V8:V28" si="23">(W93+S93)/2</f>
        <v>87.35</v>
      </c>
      <c r="W8" s="25" t="s">
        <v>205</v>
      </c>
      <c r="X8" s="22">
        <f t="shared" si="3"/>
        <v>1.65E-4</v>
      </c>
      <c r="Y8" s="72">
        <f t="shared" si="4"/>
        <v>99698</v>
      </c>
      <c r="Z8" s="72">
        <f t="shared" si="5"/>
        <v>398754.5</v>
      </c>
      <c r="AA8" s="72">
        <f t="shared" si="6"/>
        <v>81.150000000000006</v>
      </c>
      <c r="AB8" s="24"/>
      <c r="AC8" s="25" t="s">
        <v>205</v>
      </c>
      <c r="AD8" s="22">
        <f t="shared" si="7"/>
        <v>2.9500000000000001E-4</v>
      </c>
      <c r="AE8" s="72">
        <f t="shared" si="8"/>
        <v>99750.5</v>
      </c>
      <c r="AF8" s="72">
        <f t="shared" si="9"/>
        <v>398928</v>
      </c>
      <c r="AG8" s="72">
        <f t="shared" si="10"/>
        <v>89</v>
      </c>
    </row>
    <row r="9" spans="1:33" ht="12" customHeight="1">
      <c r="A9" s="21" t="s">
        <v>67</v>
      </c>
      <c r="B9" s="22">
        <f t="shared" ref="B9:E9" si="24">(AB72+X72)/2</f>
        <v>6.0999999999999997E-4</v>
      </c>
      <c r="C9" s="23">
        <f t="shared" si="24"/>
        <v>99502</v>
      </c>
      <c r="D9" s="23">
        <f t="shared" si="24"/>
        <v>497355.5</v>
      </c>
      <c r="E9" s="23">
        <f t="shared" si="24"/>
        <v>72.599999999999994</v>
      </c>
      <c r="F9" s="24"/>
      <c r="G9" s="21" t="s">
        <v>67</v>
      </c>
      <c r="H9" s="22">
        <f t="shared" si="12"/>
        <v>4.95E-4</v>
      </c>
      <c r="I9" s="72">
        <f t="shared" si="13"/>
        <v>99525.5</v>
      </c>
      <c r="J9" s="72">
        <f t="shared" si="14"/>
        <v>497497</v>
      </c>
      <c r="K9" s="72">
        <f t="shared" si="15"/>
        <v>81.099999999999994</v>
      </c>
      <c r="L9" s="21" t="s">
        <v>67</v>
      </c>
      <c r="M9" s="22">
        <f t="shared" si="16"/>
        <v>3.1499999999999996E-4</v>
      </c>
      <c r="N9" s="72">
        <f t="shared" si="17"/>
        <v>99613</v>
      </c>
      <c r="O9" s="72">
        <f t="shared" si="18"/>
        <v>497987</v>
      </c>
      <c r="P9" s="72">
        <f t="shared" si="19"/>
        <v>74.900000000000006</v>
      </c>
      <c r="Q9" s="24"/>
      <c r="R9" s="21" t="s">
        <v>67</v>
      </c>
      <c r="S9" s="22">
        <f t="shared" si="20"/>
        <v>1.7999999999999998E-4</v>
      </c>
      <c r="T9" s="72">
        <f t="shared" si="21"/>
        <v>99641</v>
      </c>
      <c r="U9" s="72">
        <f t="shared" si="22"/>
        <v>498149</v>
      </c>
      <c r="V9" s="72">
        <f t="shared" si="23"/>
        <v>83.45</v>
      </c>
      <c r="W9" s="21" t="s">
        <v>67</v>
      </c>
      <c r="X9" s="22">
        <f t="shared" si="3"/>
        <v>1.55E-4</v>
      </c>
      <c r="Y9" s="72">
        <f t="shared" si="4"/>
        <v>99682</v>
      </c>
      <c r="Z9" s="72">
        <f t="shared" si="5"/>
        <v>498371.5</v>
      </c>
      <c r="AA9" s="72">
        <f t="shared" si="6"/>
        <v>77.2</v>
      </c>
      <c r="AB9" s="24"/>
      <c r="AC9" s="21" t="s">
        <v>67</v>
      </c>
      <c r="AD9" s="22">
        <f t="shared" si="7"/>
        <v>8.5000000000000006E-5</v>
      </c>
      <c r="AE9" s="72">
        <f t="shared" si="8"/>
        <v>99721</v>
      </c>
      <c r="AF9" s="72">
        <f t="shared" si="9"/>
        <v>498579.5</v>
      </c>
      <c r="AG9" s="72">
        <f t="shared" si="10"/>
        <v>85.050000000000011</v>
      </c>
    </row>
    <row r="10" spans="1:33" ht="12" customHeight="1">
      <c r="A10" s="21" t="s">
        <v>66</v>
      </c>
      <c r="B10" s="22">
        <f t="shared" ref="B10:E10" si="25">(AB73+X73)/2</f>
        <v>8.8000000000000003E-4</v>
      </c>
      <c r="C10" s="23">
        <f t="shared" si="25"/>
        <v>99441</v>
      </c>
      <c r="D10" s="23">
        <f t="shared" si="25"/>
        <v>497016.5</v>
      </c>
      <c r="E10" s="23">
        <f t="shared" si="25"/>
        <v>67.650000000000006</v>
      </c>
      <c r="F10" s="24"/>
      <c r="G10" s="21" t="s">
        <v>66</v>
      </c>
      <c r="H10" s="22">
        <f t="shared" si="12"/>
        <v>5.2500000000000008E-4</v>
      </c>
      <c r="I10" s="72">
        <f t="shared" si="13"/>
        <v>99476</v>
      </c>
      <c r="J10" s="72">
        <f t="shared" si="14"/>
        <v>497260.5</v>
      </c>
      <c r="K10" s="72">
        <f t="shared" si="15"/>
        <v>76.099999999999994</v>
      </c>
      <c r="L10" s="21" t="s">
        <v>66</v>
      </c>
      <c r="M10" s="22">
        <f t="shared" si="16"/>
        <v>4.8499999999999997E-4</v>
      </c>
      <c r="N10" s="72">
        <f t="shared" si="17"/>
        <v>99582</v>
      </c>
      <c r="O10" s="72">
        <f t="shared" si="18"/>
        <v>497812.5</v>
      </c>
      <c r="P10" s="72">
        <f t="shared" si="19"/>
        <v>69.900000000000006</v>
      </c>
      <c r="Q10" s="24"/>
      <c r="R10" s="21" t="s">
        <v>66</v>
      </c>
      <c r="S10" s="22">
        <f t="shared" si="20"/>
        <v>1.2999999999999999E-4</v>
      </c>
      <c r="T10" s="72">
        <f t="shared" si="21"/>
        <v>99622.5</v>
      </c>
      <c r="U10" s="72">
        <f t="shared" si="22"/>
        <v>498089.5</v>
      </c>
      <c r="V10" s="72">
        <f t="shared" si="23"/>
        <v>78.45</v>
      </c>
      <c r="W10" s="21" t="s">
        <v>66</v>
      </c>
      <c r="X10" s="22">
        <f t="shared" si="3"/>
        <v>2.5500000000000002E-4</v>
      </c>
      <c r="Y10" s="72">
        <f t="shared" si="4"/>
        <v>99666.5</v>
      </c>
      <c r="Z10" s="72">
        <f t="shared" si="5"/>
        <v>498283</v>
      </c>
      <c r="AA10" s="72">
        <f t="shared" si="6"/>
        <v>72.2</v>
      </c>
      <c r="AB10" s="24"/>
      <c r="AC10" s="21" t="s">
        <v>66</v>
      </c>
      <c r="AD10" s="22">
        <f t="shared" si="7"/>
        <v>7.0000000000000007E-5</v>
      </c>
      <c r="AE10" s="72">
        <f t="shared" si="8"/>
        <v>99712.5</v>
      </c>
      <c r="AF10" s="72">
        <f t="shared" si="9"/>
        <v>498550</v>
      </c>
      <c r="AG10" s="72">
        <f t="shared" si="10"/>
        <v>80.050000000000011</v>
      </c>
    </row>
    <row r="11" spans="1:33" ht="12" customHeight="1">
      <c r="A11" s="21" t="s">
        <v>65</v>
      </c>
      <c r="B11" s="22">
        <f t="shared" ref="B11:E11" si="26">(AB74+X74)/2</f>
        <v>2.2750000000000001E-3</v>
      </c>
      <c r="C11" s="23">
        <f t="shared" si="26"/>
        <v>99353</v>
      </c>
      <c r="D11" s="23">
        <f t="shared" si="26"/>
        <v>496262</v>
      </c>
      <c r="E11" s="23">
        <f t="shared" si="26"/>
        <v>62.7</v>
      </c>
      <c r="F11" s="24"/>
      <c r="G11" s="21" t="s">
        <v>65</v>
      </c>
      <c r="H11" s="22">
        <f t="shared" si="12"/>
        <v>1.1299999999999999E-3</v>
      </c>
      <c r="I11" s="72">
        <f t="shared" si="13"/>
        <v>99424.5</v>
      </c>
      <c r="J11" s="72">
        <f t="shared" si="14"/>
        <v>496872.5</v>
      </c>
      <c r="K11" s="72">
        <f t="shared" si="15"/>
        <v>71.150000000000006</v>
      </c>
      <c r="L11" s="21" t="s">
        <v>65</v>
      </c>
      <c r="M11" s="22">
        <f t="shared" si="16"/>
        <v>1.5149999999999999E-3</v>
      </c>
      <c r="N11" s="72">
        <f t="shared" si="17"/>
        <v>99534</v>
      </c>
      <c r="O11" s="72">
        <f t="shared" si="18"/>
        <v>497330</v>
      </c>
      <c r="P11" s="72">
        <f t="shared" si="19"/>
        <v>64.900000000000006</v>
      </c>
      <c r="Q11" s="24"/>
      <c r="R11" s="21" t="s">
        <v>65</v>
      </c>
      <c r="S11" s="22">
        <f t="shared" si="20"/>
        <v>8.4500000000000005E-4</v>
      </c>
      <c r="T11" s="72">
        <f t="shared" si="21"/>
        <v>99609.5</v>
      </c>
      <c r="U11" s="72">
        <f t="shared" si="22"/>
        <v>497872.5</v>
      </c>
      <c r="V11" s="72">
        <f t="shared" si="23"/>
        <v>73.45</v>
      </c>
      <c r="W11" s="21" t="s">
        <v>65</v>
      </c>
      <c r="X11" s="22">
        <f t="shared" si="3"/>
        <v>8.8499999999999994E-4</v>
      </c>
      <c r="Y11" s="72">
        <f t="shared" si="4"/>
        <v>99641</v>
      </c>
      <c r="Z11" s="72">
        <f t="shared" si="5"/>
        <v>498007</v>
      </c>
      <c r="AA11" s="72">
        <f t="shared" si="6"/>
        <v>67.2</v>
      </c>
      <c r="AB11" s="24"/>
      <c r="AC11" s="21" t="s">
        <v>65</v>
      </c>
      <c r="AD11" s="22">
        <f t="shared" si="7"/>
        <v>4.8000000000000001E-4</v>
      </c>
      <c r="AE11" s="72">
        <f t="shared" si="8"/>
        <v>99705.5</v>
      </c>
      <c r="AF11" s="72">
        <f t="shared" si="9"/>
        <v>498427</v>
      </c>
      <c r="AG11" s="72">
        <f t="shared" si="10"/>
        <v>75.050000000000011</v>
      </c>
    </row>
    <row r="12" spans="1:33" ht="12" customHeight="1">
      <c r="A12" s="21" t="s">
        <v>64</v>
      </c>
      <c r="B12" s="22">
        <f t="shared" ref="B12:E12" si="27">(AB75+X75)/2</f>
        <v>3.15E-3</v>
      </c>
      <c r="C12" s="23">
        <f t="shared" si="27"/>
        <v>99127.5</v>
      </c>
      <c r="D12" s="23">
        <f t="shared" si="27"/>
        <v>494884.5</v>
      </c>
      <c r="E12" s="23">
        <f t="shared" si="27"/>
        <v>57.85</v>
      </c>
      <c r="F12" s="24"/>
      <c r="G12" s="21" t="s">
        <v>64</v>
      </c>
      <c r="H12" s="22">
        <f t="shared" si="12"/>
        <v>1.5449999999999999E-3</v>
      </c>
      <c r="I12" s="72">
        <f t="shared" si="13"/>
        <v>99312</v>
      </c>
      <c r="J12" s="72">
        <f t="shared" si="14"/>
        <v>496187.5</v>
      </c>
      <c r="K12" s="72">
        <f t="shared" si="15"/>
        <v>66.2</v>
      </c>
      <c r="L12" s="21" t="s">
        <v>64</v>
      </c>
      <c r="M12" s="22">
        <f t="shared" si="16"/>
        <v>1.8E-3</v>
      </c>
      <c r="N12" s="72">
        <f t="shared" si="17"/>
        <v>99383</v>
      </c>
      <c r="O12" s="72">
        <f t="shared" si="18"/>
        <v>496480</v>
      </c>
      <c r="P12" s="72">
        <f t="shared" si="19"/>
        <v>60</v>
      </c>
      <c r="Q12" s="24"/>
      <c r="R12" s="21" t="s">
        <v>64</v>
      </c>
      <c r="S12" s="22">
        <f t="shared" si="20"/>
        <v>1.0249999999999999E-3</v>
      </c>
      <c r="T12" s="72">
        <f t="shared" si="21"/>
        <v>99526</v>
      </c>
      <c r="U12" s="72">
        <f t="shared" si="22"/>
        <v>497371.5</v>
      </c>
      <c r="V12" s="72">
        <f t="shared" si="23"/>
        <v>68.5</v>
      </c>
      <c r="W12" s="21" t="s">
        <v>64</v>
      </c>
      <c r="X12" s="22">
        <f t="shared" si="3"/>
        <v>1.1099999999999999E-3</v>
      </c>
      <c r="Y12" s="72">
        <f t="shared" si="4"/>
        <v>99553.5</v>
      </c>
      <c r="Z12" s="72">
        <f t="shared" si="5"/>
        <v>497503.5</v>
      </c>
      <c r="AA12" s="72">
        <f t="shared" si="6"/>
        <v>62.3</v>
      </c>
      <c r="AB12" s="24"/>
      <c r="AC12" s="21" t="s">
        <v>64</v>
      </c>
      <c r="AD12" s="22">
        <f t="shared" si="7"/>
        <v>6.2E-4</v>
      </c>
      <c r="AE12" s="72">
        <f t="shared" si="8"/>
        <v>99657.5</v>
      </c>
      <c r="AF12" s="72">
        <f t="shared" si="9"/>
        <v>498134</v>
      </c>
      <c r="AG12" s="72">
        <f t="shared" si="10"/>
        <v>70.099999999999994</v>
      </c>
    </row>
    <row r="13" spans="1:33" ht="12" customHeight="1">
      <c r="A13" s="21" t="s">
        <v>63</v>
      </c>
      <c r="B13" s="22">
        <f t="shared" ref="B13:E13" si="28">(AB76+X76)/2</f>
        <v>4.2550000000000001E-3</v>
      </c>
      <c r="C13" s="23">
        <f t="shared" si="28"/>
        <v>98814.5</v>
      </c>
      <c r="D13" s="23">
        <f t="shared" si="28"/>
        <v>493065.5</v>
      </c>
      <c r="E13" s="23">
        <f t="shared" si="28"/>
        <v>53</v>
      </c>
      <c r="F13" s="24"/>
      <c r="G13" s="21" t="s">
        <v>63</v>
      </c>
      <c r="H13" s="22">
        <f t="shared" si="12"/>
        <v>2.16E-3</v>
      </c>
      <c r="I13" s="72">
        <f t="shared" si="13"/>
        <v>99158.5</v>
      </c>
      <c r="J13" s="72">
        <f t="shared" si="14"/>
        <v>495288</v>
      </c>
      <c r="K13" s="72">
        <f t="shared" si="15"/>
        <v>61.3</v>
      </c>
      <c r="L13" s="21" t="s">
        <v>63</v>
      </c>
      <c r="M13" s="22">
        <f t="shared" si="16"/>
        <v>2.6800000000000001E-3</v>
      </c>
      <c r="N13" s="72">
        <f t="shared" si="17"/>
        <v>99204</v>
      </c>
      <c r="O13" s="72">
        <f t="shared" si="18"/>
        <v>495398.5</v>
      </c>
      <c r="P13" s="72">
        <f t="shared" si="19"/>
        <v>55.1</v>
      </c>
      <c r="Q13" s="24"/>
      <c r="R13" s="21" t="s">
        <v>63</v>
      </c>
      <c r="S13" s="22">
        <f t="shared" si="20"/>
        <v>1.4350000000000001E-3</v>
      </c>
      <c r="T13" s="72">
        <f t="shared" si="21"/>
        <v>99423.5</v>
      </c>
      <c r="U13" s="72">
        <f t="shared" si="22"/>
        <v>496788.5</v>
      </c>
      <c r="V13" s="72">
        <f t="shared" si="23"/>
        <v>63.55</v>
      </c>
      <c r="W13" s="21" t="s">
        <v>63</v>
      </c>
      <c r="X13" s="22">
        <f t="shared" si="3"/>
        <v>1.74E-3</v>
      </c>
      <c r="Y13" s="72">
        <f t="shared" si="4"/>
        <v>99443.5</v>
      </c>
      <c r="Z13" s="72">
        <f t="shared" si="5"/>
        <v>496814</v>
      </c>
      <c r="AA13" s="72">
        <f t="shared" si="6"/>
        <v>57.3</v>
      </c>
      <c r="AB13" s="24"/>
      <c r="AC13" s="21" t="s">
        <v>63</v>
      </c>
      <c r="AD13" s="22">
        <f t="shared" si="7"/>
        <v>9.2000000000000003E-4</v>
      </c>
      <c r="AE13" s="72">
        <f t="shared" si="8"/>
        <v>99595.5</v>
      </c>
      <c r="AF13" s="72">
        <f t="shared" si="9"/>
        <v>497767</v>
      </c>
      <c r="AG13" s="72">
        <f t="shared" si="10"/>
        <v>65.099999999999994</v>
      </c>
    </row>
    <row r="14" spans="1:33" ht="12" customHeight="1">
      <c r="A14" s="21" t="s">
        <v>62</v>
      </c>
      <c r="B14" s="22">
        <f t="shared" ref="B14:E14" si="29">(AB77+X77)/2</f>
        <v>5.0699999999999999E-3</v>
      </c>
      <c r="C14" s="23">
        <f t="shared" si="29"/>
        <v>98394.5</v>
      </c>
      <c r="D14" s="23">
        <f t="shared" si="29"/>
        <v>490757.5</v>
      </c>
      <c r="E14" s="23">
        <f t="shared" si="29"/>
        <v>48.25</v>
      </c>
      <c r="F14" s="24"/>
      <c r="G14" s="21" t="s">
        <v>62</v>
      </c>
      <c r="H14" s="22">
        <f t="shared" si="12"/>
        <v>2.9199999999999999E-3</v>
      </c>
      <c r="I14" s="72">
        <f t="shared" si="13"/>
        <v>98944.5</v>
      </c>
      <c r="J14" s="72">
        <f t="shared" si="14"/>
        <v>494034.5</v>
      </c>
      <c r="K14" s="72">
        <f t="shared" si="15"/>
        <v>56.45</v>
      </c>
      <c r="L14" s="21" t="s">
        <v>62</v>
      </c>
      <c r="M14" s="22">
        <f t="shared" si="16"/>
        <v>3.4349999999999997E-3</v>
      </c>
      <c r="N14" s="72">
        <f t="shared" si="17"/>
        <v>98938</v>
      </c>
      <c r="O14" s="72">
        <f t="shared" si="18"/>
        <v>493865.5</v>
      </c>
      <c r="P14" s="72">
        <f t="shared" si="19"/>
        <v>50.25</v>
      </c>
      <c r="Q14" s="24"/>
      <c r="R14" s="21" t="s">
        <v>62</v>
      </c>
      <c r="S14" s="22">
        <f t="shared" si="20"/>
        <v>1.9199999999999998E-3</v>
      </c>
      <c r="T14" s="72">
        <f t="shared" si="21"/>
        <v>99281.5</v>
      </c>
      <c r="U14" s="72">
        <f t="shared" si="22"/>
        <v>495945.5</v>
      </c>
      <c r="V14" s="72">
        <f t="shared" si="23"/>
        <v>58.650000000000006</v>
      </c>
      <c r="W14" s="21" t="s">
        <v>62</v>
      </c>
      <c r="X14" s="22">
        <f t="shared" si="3"/>
        <v>2.2950000000000002E-3</v>
      </c>
      <c r="Y14" s="72">
        <f t="shared" si="4"/>
        <v>99270.5</v>
      </c>
      <c r="Z14" s="72">
        <f t="shared" si="5"/>
        <v>495800.5</v>
      </c>
      <c r="AA14" s="72">
        <f t="shared" si="6"/>
        <v>52.4</v>
      </c>
      <c r="AB14" s="24"/>
      <c r="AC14" s="21" t="s">
        <v>62</v>
      </c>
      <c r="AD14" s="22">
        <f t="shared" si="7"/>
        <v>1.2699999999999999E-3</v>
      </c>
      <c r="AE14" s="72">
        <f t="shared" si="8"/>
        <v>99504</v>
      </c>
      <c r="AF14" s="72">
        <f t="shared" si="9"/>
        <v>497216</v>
      </c>
      <c r="AG14" s="72">
        <f t="shared" si="10"/>
        <v>60.2</v>
      </c>
    </row>
    <row r="15" spans="1:33" ht="12" customHeight="1">
      <c r="A15" s="21" t="s">
        <v>61</v>
      </c>
      <c r="B15" s="22">
        <f t="shared" ref="B15:E15" si="30">(AB78+X78)/2</f>
        <v>6.9899999999999997E-3</v>
      </c>
      <c r="C15" s="23">
        <f t="shared" si="30"/>
        <v>97895</v>
      </c>
      <c r="D15" s="23">
        <f t="shared" si="30"/>
        <v>487886.5</v>
      </c>
      <c r="E15" s="23">
        <f t="shared" si="30"/>
        <v>43.45</v>
      </c>
      <c r="F15" s="24"/>
      <c r="G15" s="21" t="s">
        <v>61</v>
      </c>
      <c r="H15" s="22">
        <f t="shared" si="12"/>
        <v>3.8999999999999998E-3</v>
      </c>
      <c r="I15" s="72">
        <f t="shared" si="13"/>
        <v>98655.5</v>
      </c>
      <c r="J15" s="72">
        <f t="shared" si="14"/>
        <v>492356</v>
      </c>
      <c r="K15" s="72">
        <f t="shared" si="15"/>
        <v>51.55</v>
      </c>
      <c r="L15" s="21" t="s">
        <v>61</v>
      </c>
      <c r="M15" s="22">
        <f t="shared" si="16"/>
        <v>4.7100000000000006E-3</v>
      </c>
      <c r="N15" s="72">
        <f t="shared" si="17"/>
        <v>98598</v>
      </c>
      <c r="O15" s="72">
        <f t="shared" si="18"/>
        <v>491910</v>
      </c>
      <c r="P15" s="72">
        <f t="shared" si="19"/>
        <v>45.45</v>
      </c>
      <c r="Q15" s="24"/>
      <c r="R15" s="21" t="s">
        <v>61</v>
      </c>
      <c r="S15" s="22">
        <f t="shared" si="20"/>
        <v>2.5950000000000001E-3</v>
      </c>
      <c r="T15" s="72">
        <f t="shared" si="21"/>
        <v>99091</v>
      </c>
      <c r="U15" s="72">
        <f t="shared" si="22"/>
        <v>494850.5</v>
      </c>
      <c r="V15" s="72">
        <f t="shared" si="23"/>
        <v>53.75</v>
      </c>
      <c r="W15" s="21" t="s">
        <v>61</v>
      </c>
      <c r="X15" s="22">
        <f t="shared" si="3"/>
        <v>3.2450000000000001E-3</v>
      </c>
      <c r="Y15" s="72">
        <f t="shared" si="4"/>
        <v>99042.5</v>
      </c>
      <c r="Z15" s="72">
        <f t="shared" si="5"/>
        <v>494466.5</v>
      </c>
      <c r="AA15" s="72">
        <f t="shared" si="6"/>
        <v>47.55</v>
      </c>
      <c r="AB15" s="24"/>
      <c r="AC15" s="21" t="s">
        <v>61</v>
      </c>
      <c r="AD15" s="22">
        <f t="shared" si="7"/>
        <v>1.7699999999999999E-3</v>
      </c>
      <c r="AE15" s="72">
        <f t="shared" si="8"/>
        <v>99377.5</v>
      </c>
      <c r="AF15" s="72">
        <f t="shared" si="9"/>
        <v>496477</v>
      </c>
      <c r="AG15" s="72">
        <f t="shared" si="10"/>
        <v>55.25</v>
      </c>
    </row>
    <row r="16" spans="1:33" ht="12" customHeight="1">
      <c r="A16" s="21" t="s">
        <v>60</v>
      </c>
      <c r="B16" s="22">
        <f t="shared" ref="B16:E16" si="31">(AB79+X79)/2</f>
        <v>1.1560000000000001E-2</v>
      </c>
      <c r="C16" s="23">
        <f t="shared" si="31"/>
        <v>97211</v>
      </c>
      <c r="D16" s="23">
        <f t="shared" si="31"/>
        <v>483475.5</v>
      </c>
      <c r="E16" s="23">
        <f t="shared" si="31"/>
        <v>38.75</v>
      </c>
      <c r="F16" s="24"/>
      <c r="G16" s="21" t="s">
        <v>60</v>
      </c>
      <c r="H16" s="22">
        <f t="shared" si="12"/>
        <v>4.9150000000000001E-3</v>
      </c>
      <c r="I16" s="72">
        <f t="shared" si="13"/>
        <v>98271.5</v>
      </c>
      <c r="J16" s="72">
        <f t="shared" si="14"/>
        <v>490196.5</v>
      </c>
      <c r="K16" s="72">
        <f t="shared" si="15"/>
        <v>46.8</v>
      </c>
      <c r="L16" s="21" t="s">
        <v>60</v>
      </c>
      <c r="M16" s="22">
        <f t="shared" si="16"/>
        <v>7.8499999999999993E-3</v>
      </c>
      <c r="N16" s="72">
        <f t="shared" si="17"/>
        <v>98134</v>
      </c>
      <c r="O16" s="72">
        <f t="shared" si="18"/>
        <v>488920.5</v>
      </c>
      <c r="P16" s="72">
        <f t="shared" si="19"/>
        <v>40.650000000000006</v>
      </c>
      <c r="Q16" s="24"/>
      <c r="R16" s="21" t="s">
        <v>60</v>
      </c>
      <c r="S16" s="22">
        <f t="shared" si="20"/>
        <v>3.6900000000000001E-3</v>
      </c>
      <c r="T16" s="72">
        <f t="shared" si="21"/>
        <v>98834</v>
      </c>
      <c r="U16" s="72">
        <f t="shared" si="22"/>
        <v>493297.5</v>
      </c>
      <c r="V16" s="72">
        <f t="shared" si="23"/>
        <v>48.9</v>
      </c>
      <c r="W16" s="21" t="s">
        <v>60</v>
      </c>
      <c r="X16" s="22">
        <f t="shared" si="3"/>
        <v>5.5149999999999999E-3</v>
      </c>
      <c r="Y16" s="72">
        <f t="shared" si="4"/>
        <v>98720.5</v>
      </c>
      <c r="Z16" s="72">
        <f t="shared" si="5"/>
        <v>492372</v>
      </c>
      <c r="AA16" s="72">
        <f t="shared" si="6"/>
        <v>42.650000000000006</v>
      </c>
      <c r="AB16" s="24"/>
      <c r="AC16" s="21" t="s">
        <v>60</v>
      </c>
      <c r="AD16" s="22">
        <f t="shared" si="7"/>
        <v>2.5700000000000002E-3</v>
      </c>
      <c r="AE16" s="72">
        <f t="shared" si="8"/>
        <v>99201.5</v>
      </c>
      <c r="AF16" s="72">
        <f t="shared" si="9"/>
        <v>495401</v>
      </c>
      <c r="AG16" s="72">
        <f t="shared" si="10"/>
        <v>50.35</v>
      </c>
    </row>
    <row r="17" spans="1:33" ht="12" customHeight="1">
      <c r="A17" s="21" t="s">
        <v>59</v>
      </c>
      <c r="B17" s="22">
        <f t="shared" ref="B17:E17" si="32">(AB80+X80)/2</f>
        <v>1.8520000000000002E-2</v>
      </c>
      <c r="C17" s="23">
        <f t="shared" si="32"/>
        <v>96087.5</v>
      </c>
      <c r="D17" s="23">
        <f t="shared" si="32"/>
        <v>476274.5</v>
      </c>
      <c r="E17" s="23">
        <f t="shared" si="32"/>
        <v>34.15</v>
      </c>
      <c r="F17" s="24"/>
      <c r="G17" s="21" t="s">
        <v>59</v>
      </c>
      <c r="H17" s="22">
        <f t="shared" si="12"/>
        <v>6.8900000000000003E-3</v>
      </c>
      <c r="I17" s="72">
        <f t="shared" si="13"/>
        <v>97788.5</v>
      </c>
      <c r="J17" s="72">
        <f t="shared" si="14"/>
        <v>487369</v>
      </c>
      <c r="K17" s="72">
        <f t="shared" si="15"/>
        <v>42</v>
      </c>
      <c r="L17" s="21" t="s">
        <v>59</v>
      </c>
      <c r="M17" s="22">
        <f t="shared" si="16"/>
        <v>1.3260000000000001E-2</v>
      </c>
      <c r="N17" s="72">
        <f t="shared" si="17"/>
        <v>97364</v>
      </c>
      <c r="O17" s="72">
        <f t="shared" si="18"/>
        <v>483803</v>
      </c>
      <c r="P17" s="72">
        <f t="shared" si="19"/>
        <v>35.950000000000003</v>
      </c>
      <c r="Q17" s="24"/>
      <c r="R17" s="21" t="s">
        <v>59</v>
      </c>
      <c r="S17" s="22">
        <f t="shared" si="20"/>
        <v>4.8999999999999998E-3</v>
      </c>
      <c r="T17" s="72">
        <f t="shared" si="21"/>
        <v>98469.5</v>
      </c>
      <c r="U17" s="72">
        <f t="shared" si="22"/>
        <v>491213</v>
      </c>
      <c r="V17" s="72">
        <f t="shared" si="23"/>
        <v>44.05</v>
      </c>
      <c r="W17" s="21" t="s">
        <v>59</v>
      </c>
      <c r="X17" s="22">
        <f t="shared" si="3"/>
        <v>9.4699999999999993E-3</v>
      </c>
      <c r="Y17" s="72">
        <f t="shared" si="4"/>
        <v>98176.5</v>
      </c>
      <c r="Z17" s="72">
        <f t="shared" si="5"/>
        <v>488715</v>
      </c>
      <c r="AA17" s="72">
        <f t="shared" si="6"/>
        <v>37.9</v>
      </c>
      <c r="AB17" s="24"/>
      <c r="AC17" s="21" t="s">
        <v>59</v>
      </c>
      <c r="AD17" s="22">
        <f t="shared" si="7"/>
        <v>3.47E-3</v>
      </c>
      <c r="AE17" s="72">
        <f t="shared" si="8"/>
        <v>98947</v>
      </c>
      <c r="AF17" s="72">
        <f t="shared" si="9"/>
        <v>493930</v>
      </c>
      <c r="AG17" s="72">
        <f t="shared" si="10"/>
        <v>45.5</v>
      </c>
    </row>
    <row r="18" spans="1:33" ht="12" customHeight="1">
      <c r="A18" s="21" t="s">
        <v>58</v>
      </c>
      <c r="B18" s="22">
        <f t="shared" ref="B18:E18" si="33">(AB81+X81)/2</f>
        <v>2.691E-2</v>
      </c>
      <c r="C18" s="23">
        <f t="shared" si="33"/>
        <v>94308.5</v>
      </c>
      <c r="D18" s="23">
        <f t="shared" si="33"/>
        <v>465536.5</v>
      </c>
      <c r="E18" s="23">
        <f t="shared" si="33"/>
        <v>29.75</v>
      </c>
      <c r="F18" s="24"/>
      <c r="G18" s="21" t="s">
        <v>58</v>
      </c>
      <c r="H18" s="22">
        <f t="shared" si="12"/>
        <v>1.0055E-2</v>
      </c>
      <c r="I18" s="72">
        <f t="shared" si="13"/>
        <v>97115.5</v>
      </c>
      <c r="J18" s="72">
        <f t="shared" si="14"/>
        <v>483243</v>
      </c>
      <c r="K18" s="72">
        <f t="shared" si="15"/>
        <v>37.299999999999997</v>
      </c>
      <c r="L18" s="21" t="s">
        <v>58</v>
      </c>
      <c r="M18" s="22">
        <f t="shared" si="16"/>
        <v>1.8634999999999999E-2</v>
      </c>
      <c r="N18" s="72">
        <f t="shared" si="17"/>
        <v>96073</v>
      </c>
      <c r="O18" s="72">
        <f t="shared" si="18"/>
        <v>476120</v>
      </c>
      <c r="P18" s="72">
        <f t="shared" si="19"/>
        <v>31.4</v>
      </c>
      <c r="Q18" s="24"/>
      <c r="R18" s="21" t="s">
        <v>58</v>
      </c>
      <c r="S18" s="22">
        <f t="shared" si="20"/>
        <v>7.3950000000000005E-3</v>
      </c>
      <c r="T18" s="72">
        <f t="shared" si="21"/>
        <v>97986.5</v>
      </c>
      <c r="U18" s="72">
        <f t="shared" si="22"/>
        <v>488213</v>
      </c>
      <c r="V18" s="72">
        <f t="shared" si="23"/>
        <v>39.25</v>
      </c>
      <c r="W18" s="21" t="s">
        <v>58</v>
      </c>
      <c r="X18" s="22">
        <f t="shared" si="3"/>
        <v>1.3325E-2</v>
      </c>
      <c r="Y18" s="72">
        <f t="shared" si="4"/>
        <v>97247</v>
      </c>
      <c r="Z18" s="72">
        <f t="shared" si="5"/>
        <v>483161</v>
      </c>
      <c r="AA18" s="72">
        <f t="shared" si="6"/>
        <v>33.25</v>
      </c>
      <c r="AB18" s="24"/>
      <c r="AC18" s="21" t="s">
        <v>58</v>
      </c>
      <c r="AD18" s="22">
        <f t="shared" si="7"/>
        <v>5.2350000000000001E-3</v>
      </c>
      <c r="AE18" s="72">
        <f t="shared" si="8"/>
        <v>98604</v>
      </c>
      <c r="AF18" s="72">
        <f t="shared" si="9"/>
        <v>491790.5</v>
      </c>
      <c r="AG18" s="72">
        <f t="shared" si="10"/>
        <v>40.599999999999994</v>
      </c>
    </row>
    <row r="19" spans="1:33" ht="12" customHeight="1">
      <c r="A19" s="21" t="s">
        <v>57</v>
      </c>
      <c r="B19" s="22">
        <f t="shared" ref="B19:E19" si="34">(AB82+X82)/2</f>
        <v>3.8515000000000001E-2</v>
      </c>
      <c r="C19" s="23">
        <f t="shared" si="34"/>
        <v>91772.5</v>
      </c>
      <c r="D19" s="23">
        <f t="shared" si="34"/>
        <v>450500</v>
      </c>
      <c r="E19" s="23">
        <f t="shared" si="34"/>
        <v>25.5</v>
      </c>
      <c r="F19" s="24"/>
      <c r="G19" s="21" t="s">
        <v>57</v>
      </c>
      <c r="H19" s="22">
        <f t="shared" si="12"/>
        <v>1.2815E-2</v>
      </c>
      <c r="I19" s="72">
        <f t="shared" si="13"/>
        <v>96138.5</v>
      </c>
      <c r="J19" s="72">
        <f t="shared" si="14"/>
        <v>477745.5</v>
      </c>
      <c r="K19" s="72">
        <f t="shared" si="15"/>
        <v>32.6</v>
      </c>
      <c r="L19" s="21" t="s">
        <v>57</v>
      </c>
      <c r="M19" s="22">
        <f t="shared" si="16"/>
        <v>2.7935000000000001E-2</v>
      </c>
      <c r="N19" s="72">
        <f t="shared" si="17"/>
        <v>94284</v>
      </c>
      <c r="O19" s="72">
        <f t="shared" si="18"/>
        <v>465271</v>
      </c>
      <c r="P19" s="72">
        <f t="shared" si="19"/>
        <v>26.95</v>
      </c>
      <c r="Q19" s="24"/>
      <c r="R19" s="21" t="s">
        <v>57</v>
      </c>
      <c r="S19" s="22">
        <f t="shared" si="20"/>
        <v>9.2099999999999994E-3</v>
      </c>
      <c r="T19" s="72">
        <f t="shared" si="21"/>
        <v>97262.5</v>
      </c>
      <c r="U19" s="72">
        <f t="shared" si="22"/>
        <v>484154.5</v>
      </c>
      <c r="V19" s="72">
        <f t="shared" si="23"/>
        <v>34.549999999999997</v>
      </c>
      <c r="W19" s="21" t="s">
        <v>57</v>
      </c>
      <c r="X19" s="22">
        <f t="shared" si="3"/>
        <v>1.9975E-2</v>
      </c>
      <c r="Y19" s="72">
        <f t="shared" si="4"/>
        <v>95952</v>
      </c>
      <c r="Z19" s="72">
        <f t="shared" si="5"/>
        <v>475289.5</v>
      </c>
      <c r="AA19" s="72">
        <f t="shared" si="6"/>
        <v>28.65</v>
      </c>
      <c r="AB19" s="24"/>
      <c r="AC19" s="21" t="s">
        <v>57</v>
      </c>
      <c r="AD19" s="22">
        <f t="shared" si="7"/>
        <v>6.5199999999999998E-3</v>
      </c>
      <c r="AE19" s="72">
        <f t="shared" si="8"/>
        <v>98087.5</v>
      </c>
      <c r="AF19" s="72">
        <f t="shared" si="9"/>
        <v>488895.5</v>
      </c>
      <c r="AG19" s="72">
        <f t="shared" si="10"/>
        <v>35.85</v>
      </c>
    </row>
    <row r="20" spans="1:33" ht="12" customHeight="1">
      <c r="A20" s="21" t="s">
        <v>56</v>
      </c>
      <c r="B20" s="22">
        <f t="shared" ref="B20:E20" si="35">(AB83+X83)/2</f>
        <v>5.5330000000000004E-2</v>
      </c>
      <c r="C20" s="23">
        <f t="shared" si="35"/>
        <v>88240</v>
      </c>
      <c r="D20" s="23">
        <f t="shared" si="35"/>
        <v>429617</v>
      </c>
      <c r="E20" s="23">
        <f t="shared" si="35"/>
        <v>21.45</v>
      </c>
      <c r="F20" s="24"/>
      <c r="G20" s="21" t="s">
        <v>56</v>
      </c>
      <c r="H20" s="22">
        <f t="shared" si="12"/>
        <v>1.9075000000000002E-2</v>
      </c>
      <c r="I20" s="72">
        <f t="shared" si="13"/>
        <v>94907</v>
      </c>
      <c r="J20" s="72">
        <f t="shared" si="14"/>
        <v>470346</v>
      </c>
      <c r="K20" s="72">
        <f t="shared" si="15"/>
        <v>28</v>
      </c>
      <c r="L20" s="21" t="s">
        <v>56</v>
      </c>
      <c r="M20" s="22">
        <f t="shared" si="16"/>
        <v>4.0509999999999997E-2</v>
      </c>
      <c r="N20" s="72">
        <f t="shared" si="17"/>
        <v>91651</v>
      </c>
      <c r="O20" s="72">
        <f t="shared" si="18"/>
        <v>449363.5</v>
      </c>
      <c r="P20" s="72">
        <f t="shared" si="19"/>
        <v>22.6</v>
      </c>
      <c r="Q20" s="24"/>
      <c r="R20" s="21" t="s">
        <v>56</v>
      </c>
      <c r="S20" s="22">
        <f t="shared" si="20"/>
        <v>1.3344999999999999E-2</v>
      </c>
      <c r="T20" s="72">
        <f t="shared" si="21"/>
        <v>96367</v>
      </c>
      <c r="U20" s="72">
        <f t="shared" si="22"/>
        <v>478848</v>
      </c>
      <c r="V20" s="72">
        <f t="shared" si="23"/>
        <v>29.85</v>
      </c>
      <c r="W20" s="21" t="s">
        <v>56</v>
      </c>
      <c r="X20" s="22">
        <f t="shared" si="3"/>
        <v>2.912E-2</v>
      </c>
      <c r="Y20" s="72">
        <f t="shared" si="4"/>
        <v>94035.5</v>
      </c>
      <c r="Z20" s="72">
        <f t="shared" si="5"/>
        <v>463643.5</v>
      </c>
      <c r="AA20" s="72">
        <f t="shared" si="6"/>
        <v>24.15</v>
      </c>
      <c r="AB20" s="24"/>
      <c r="AC20" s="21" t="s">
        <v>56</v>
      </c>
      <c r="AD20" s="22">
        <f t="shared" si="7"/>
        <v>9.495E-3</v>
      </c>
      <c r="AE20" s="72">
        <f t="shared" si="8"/>
        <v>97447.5</v>
      </c>
      <c r="AF20" s="72">
        <f t="shared" si="9"/>
        <v>485095.5</v>
      </c>
      <c r="AG20" s="72">
        <f t="shared" si="10"/>
        <v>31.05</v>
      </c>
    </row>
    <row r="21" spans="1:33" ht="12" customHeight="1">
      <c r="A21" s="21" t="s">
        <v>55</v>
      </c>
      <c r="B21" s="22">
        <f t="shared" ref="B21:E21" si="36">(AB84+X84)/2</f>
        <v>8.2694999999999991E-2</v>
      </c>
      <c r="C21" s="23">
        <f t="shared" si="36"/>
        <v>83362.5</v>
      </c>
      <c r="D21" s="23">
        <f t="shared" si="36"/>
        <v>400685</v>
      </c>
      <c r="E21" s="23">
        <f t="shared" si="36"/>
        <v>17.5</v>
      </c>
      <c r="F21" s="24"/>
      <c r="G21" s="21" t="s">
        <v>55</v>
      </c>
      <c r="H21" s="22">
        <f t="shared" si="12"/>
        <v>3.1870000000000002E-2</v>
      </c>
      <c r="I21" s="72">
        <f t="shared" si="13"/>
        <v>93097.5</v>
      </c>
      <c r="J21" s="72">
        <f t="shared" si="14"/>
        <v>458694</v>
      </c>
      <c r="K21" s="72">
        <f t="shared" si="15"/>
        <v>23.5</v>
      </c>
      <c r="L21" s="21" t="s">
        <v>55</v>
      </c>
      <c r="M21" s="22">
        <f t="shared" si="16"/>
        <v>5.7430000000000002E-2</v>
      </c>
      <c r="N21" s="72">
        <f t="shared" si="17"/>
        <v>87940.5</v>
      </c>
      <c r="O21" s="72">
        <f t="shared" si="18"/>
        <v>427985</v>
      </c>
      <c r="P21" s="72">
        <f t="shared" si="19"/>
        <v>18.450000000000003</v>
      </c>
      <c r="Q21" s="24"/>
      <c r="R21" s="21" t="s">
        <v>55</v>
      </c>
      <c r="S21" s="22">
        <f t="shared" si="20"/>
        <v>2.205E-2</v>
      </c>
      <c r="T21" s="72">
        <f t="shared" si="21"/>
        <v>95081</v>
      </c>
      <c r="U21" s="72">
        <f t="shared" si="22"/>
        <v>470616</v>
      </c>
      <c r="V21" s="72">
        <f t="shared" si="23"/>
        <v>25.2</v>
      </c>
      <c r="W21" s="21" t="s">
        <v>55</v>
      </c>
      <c r="X21" s="22">
        <f t="shared" si="3"/>
        <v>4.2569999999999997E-2</v>
      </c>
      <c r="Y21" s="72">
        <f t="shared" si="4"/>
        <v>91298</v>
      </c>
      <c r="Z21" s="72">
        <f t="shared" si="5"/>
        <v>447564</v>
      </c>
      <c r="AA21" s="72">
        <f t="shared" si="6"/>
        <v>19.8</v>
      </c>
      <c r="AB21" s="24"/>
      <c r="AC21" s="21" t="s">
        <v>55</v>
      </c>
      <c r="AD21" s="22">
        <f t="shared" si="7"/>
        <v>1.617E-2</v>
      </c>
      <c r="AE21" s="72">
        <f t="shared" si="8"/>
        <v>96522.5</v>
      </c>
      <c r="AF21" s="72">
        <f t="shared" si="9"/>
        <v>479079</v>
      </c>
      <c r="AG21" s="72">
        <f t="shared" si="10"/>
        <v>26.3</v>
      </c>
    </row>
    <row r="22" spans="1:33" ht="12" customHeight="1">
      <c r="A22" s="21" t="s">
        <v>54</v>
      </c>
      <c r="B22" s="22">
        <f t="shared" ref="B22:E22" si="37">(AB85+X85)/2</f>
        <v>0.13679999999999998</v>
      </c>
      <c r="C22" s="23">
        <f t="shared" si="37"/>
        <v>76484</v>
      </c>
      <c r="D22" s="23">
        <f t="shared" si="37"/>
        <v>358022.5</v>
      </c>
      <c r="E22" s="23">
        <f t="shared" si="37"/>
        <v>13.85</v>
      </c>
      <c r="F22" s="24"/>
      <c r="G22" s="21" t="s">
        <v>54</v>
      </c>
      <c r="H22" s="22">
        <f t="shared" si="12"/>
        <v>5.7234999999999994E-2</v>
      </c>
      <c r="I22" s="72">
        <f t="shared" si="13"/>
        <v>90133.5</v>
      </c>
      <c r="J22" s="72">
        <f t="shared" si="14"/>
        <v>438972.5</v>
      </c>
      <c r="K22" s="72">
        <f t="shared" si="15"/>
        <v>19.149999999999999</v>
      </c>
      <c r="L22" s="21" t="s">
        <v>54</v>
      </c>
      <c r="M22" s="22">
        <f t="shared" si="16"/>
        <v>0.10803</v>
      </c>
      <c r="N22" s="72">
        <f t="shared" si="17"/>
        <v>82894.5</v>
      </c>
      <c r="O22" s="72">
        <f t="shared" si="18"/>
        <v>394193</v>
      </c>
      <c r="P22" s="72">
        <f t="shared" si="19"/>
        <v>14.399999999999999</v>
      </c>
      <c r="Q22" s="24"/>
      <c r="R22" s="21" t="s">
        <v>54</v>
      </c>
      <c r="S22" s="22">
        <f t="shared" si="20"/>
        <v>4.1410000000000002E-2</v>
      </c>
      <c r="T22" s="72">
        <f t="shared" si="21"/>
        <v>92985</v>
      </c>
      <c r="U22" s="72">
        <f t="shared" si="22"/>
        <v>456311</v>
      </c>
      <c r="V22" s="72">
        <f t="shared" si="23"/>
        <v>20.7</v>
      </c>
      <c r="W22" s="21" t="s">
        <v>54</v>
      </c>
      <c r="X22" s="22">
        <f t="shared" si="3"/>
        <v>8.4235000000000004E-2</v>
      </c>
      <c r="Y22" s="72">
        <f t="shared" si="4"/>
        <v>87414</v>
      </c>
      <c r="Z22" s="72">
        <f t="shared" si="5"/>
        <v>420582</v>
      </c>
      <c r="AA22" s="72">
        <f t="shared" si="6"/>
        <v>15.600000000000001</v>
      </c>
      <c r="AB22" s="24"/>
      <c r="AC22" s="21" t="s">
        <v>54</v>
      </c>
      <c r="AD22" s="22">
        <f t="shared" si="7"/>
        <v>3.1890000000000002E-2</v>
      </c>
      <c r="AE22" s="72">
        <f t="shared" si="8"/>
        <v>94962</v>
      </c>
      <c r="AF22" s="72">
        <f t="shared" si="9"/>
        <v>468096</v>
      </c>
      <c r="AG22" s="72">
        <f t="shared" si="10"/>
        <v>21.7</v>
      </c>
    </row>
    <row r="23" spans="1:33" ht="12" customHeight="1">
      <c r="A23" s="21" t="s">
        <v>53</v>
      </c>
      <c r="B23" s="22">
        <f t="shared" ref="B23:E23" si="38">(AB86+X86)/2</f>
        <v>0.220775</v>
      </c>
      <c r="C23" s="23">
        <f t="shared" si="38"/>
        <v>66037.5</v>
      </c>
      <c r="D23" s="23">
        <f t="shared" si="38"/>
        <v>295367.5</v>
      </c>
      <c r="E23" s="23">
        <f t="shared" si="38"/>
        <v>10.7</v>
      </c>
      <c r="F23" s="24"/>
      <c r="G23" s="21" t="s">
        <v>53</v>
      </c>
      <c r="H23" s="22">
        <f t="shared" si="12"/>
        <v>0.10242000000000001</v>
      </c>
      <c r="I23" s="72">
        <f t="shared" si="13"/>
        <v>84982.5</v>
      </c>
      <c r="J23" s="72">
        <f t="shared" si="14"/>
        <v>404894.5</v>
      </c>
      <c r="K23" s="72">
        <f t="shared" si="15"/>
        <v>15.15</v>
      </c>
      <c r="L23" s="21" t="s">
        <v>53</v>
      </c>
      <c r="M23" s="22">
        <f t="shared" si="16"/>
        <v>0.19312000000000001</v>
      </c>
      <c r="N23" s="72">
        <f t="shared" si="17"/>
        <v>73948</v>
      </c>
      <c r="O23" s="72">
        <f t="shared" si="18"/>
        <v>336458.5</v>
      </c>
      <c r="P23" s="72">
        <f t="shared" si="19"/>
        <v>10.85</v>
      </c>
      <c r="Q23" s="24"/>
      <c r="R23" s="21" t="s">
        <v>53</v>
      </c>
      <c r="S23" s="22">
        <f t="shared" si="20"/>
        <v>7.8030000000000002E-2</v>
      </c>
      <c r="T23" s="72">
        <f t="shared" si="21"/>
        <v>89136.5</v>
      </c>
      <c r="U23" s="72">
        <f t="shared" si="22"/>
        <v>429857.5</v>
      </c>
      <c r="V23" s="72">
        <f t="shared" si="23"/>
        <v>16.5</v>
      </c>
      <c r="W23" s="21" t="s">
        <v>53</v>
      </c>
      <c r="X23" s="22">
        <f t="shared" si="3"/>
        <v>0.15845000000000001</v>
      </c>
      <c r="Y23" s="72">
        <f t="shared" si="4"/>
        <v>80055.5</v>
      </c>
      <c r="Z23" s="72">
        <f t="shared" si="5"/>
        <v>371139.5</v>
      </c>
      <c r="AA23" s="72">
        <f t="shared" si="6"/>
        <v>11.75</v>
      </c>
      <c r="AB23" s="24"/>
      <c r="AC23" s="21" t="s">
        <v>53</v>
      </c>
      <c r="AD23" s="22">
        <f t="shared" si="7"/>
        <v>6.3064999999999996E-2</v>
      </c>
      <c r="AE23" s="72">
        <f t="shared" si="8"/>
        <v>91934.5</v>
      </c>
      <c r="AF23" s="72">
        <f t="shared" si="9"/>
        <v>446623.5</v>
      </c>
      <c r="AG23" s="72">
        <f t="shared" si="10"/>
        <v>17.3</v>
      </c>
    </row>
    <row r="24" spans="1:33" ht="12" customHeight="1">
      <c r="A24" s="21" t="s">
        <v>52</v>
      </c>
      <c r="B24" s="22">
        <f t="shared" ref="B24:E24" si="39">(AB87+X87)/2</f>
        <v>0.344225</v>
      </c>
      <c r="C24" s="23">
        <f t="shared" si="39"/>
        <v>51452.5</v>
      </c>
      <c r="D24" s="23">
        <f t="shared" si="39"/>
        <v>213604</v>
      </c>
      <c r="E24" s="23">
        <f t="shared" si="39"/>
        <v>7.9499999999999993</v>
      </c>
      <c r="F24" s="24"/>
      <c r="G24" s="21" t="s">
        <v>52</v>
      </c>
      <c r="H24" s="22">
        <f t="shared" si="12"/>
        <v>0.178205</v>
      </c>
      <c r="I24" s="72">
        <f t="shared" si="13"/>
        <v>76297</v>
      </c>
      <c r="J24" s="72">
        <f t="shared" si="14"/>
        <v>349748.5</v>
      </c>
      <c r="K24" s="72">
        <f t="shared" si="15"/>
        <v>11.6</v>
      </c>
      <c r="L24" s="21" t="s">
        <v>52</v>
      </c>
      <c r="M24" s="22">
        <f t="shared" si="16"/>
        <v>0.33077000000000001</v>
      </c>
      <c r="N24" s="72">
        <f t="shared" si="17"/>
        <v>59683.5</v>
      </c>
      <c r="O24" s="72">
        <f t="shared" si="18"/>
        <v>250861.5</v>
      </c>
      <c r="P24" s="72">
        <f t="shared" si="19"/>
        <v>7.8</v>
      </c>
      <c r="Q24" s="24"/>
      <c r="R24" s="21" t="s">
        <v>52</v>
      </c>
      <c r="S24" s="22">
        <f t="shared" si="20"/>
        <v>0.14302999999999999</v>
      </c>
      <c r="T24" s="72">
        <f t="shared" si="21"/>
        <v>82184.5</v>
      </c>
      <c r="U24" s="72">
        <f t="shared" si="22"/>
        <v>383820</v>
      </c>
      <c r="V24" s="72">
        <f t="shared" si="23"/>
        <v>12.65</v>
      </c>
      <c r="W24" s="21" t="s">
        <v>52</v>
      </c>
      <c r="X24" s="22">
        <f t="shared" si="3"/>
        <v>0.28644500000000001</v>
      </c>
      <c r="Y24" s="72">
        <f t="shared" si="4"/>
        <v>67381</v>
      </c>
      <c r="Z24" s="72">
        <f t="shared" si="5"/>
        <v>291219</v>
      </c>
      <c r="AA24" s="72">
        <f t="shared" si="6"/>
        <v>8.4499999999999993</v>
      </c>
      <c r="AB24" s="24"/>
      <c r="AC24" s="21" t="s">
        <v>52</v>
      </c>
      <c r="AD24" s="22">
        <f t="shared" si="7"/>
        <v>0.1216</v>
      </c>
      <c r="AE24" s="72">
        <f t="shared" si="8"/>
        <v>86138.5</v>
      </c>
      <c r="AF24" s="72">
        <f t="shared" si="9"/>
        <v>406829.5</v>
      </c>
      <c r="AG24" s="72">
        <f t="shared" si="10"/>
        <v>13.3</v>
      </c>
    </row>
    <row r="25" spans="1:33" ht="12" customHeight="1">
      <c r="A25" s="21" t="s">
        <v>204</v>
      </c>
      <c r="B25" s="22">
        <f t="shared" ref="B25:E25" si="40">(AB88+X88)/2</f>
        <v>0.50570000000000004</v>
      </c>
      <c r="C25" s="23">
        <f t="shared" si="40"/>
        <v>33701</v>
      </c>
      <c r="D25" s="23">
        <f t="shared" si="40"/>
        <v>124507</v>
      </c>
      <c r="E25" s="23">
        <f t="shared" si="40"/>
        <v>5.75</v>
      </c>
      <c r="F25" s="24"/>
      <c r="G25" s="21" t="s">
        <v>204</v>
      </c>
      <c r="H25" s="22">
        <f t="shared" si="12"/>
        <v>0.29802000000000001</v>
      </c>
      <c r="I25" s="72">
        <f t="shared" si="13"/>
        <v>62744</v>
      </c>
      <c r="J25" s="72">
        <f t="shared" si="14"/>
        <v>268900.5</v>
      </c>
      <c r="K25" s="72">
        <f t="shared" si="15"/>
        <v>8.5500000000000007</v>
      </c>
      <c r="L25" s="21" t="s">
        <v>204</v>
      </c>
      <c r="M25" s="22">
        <f t="shared" si="16"/>
        <v>0.5223549999999999</v>
      </c>
      <c r="N25" s="72">
        <f t="shared" si="17"/>
        <v>39966.5</v>
      </c>
      <c r="O25" s="72">
        <f t="shared" si="18"/>
        <v>146595.5</v>
      </c>
      <c r="P25" s="72">
        <f t="shared" si="19"/>
        <v>5.4</v>
      </c>
      <c r="Q25" s="24"/>
      <c r="R25" s="21" t="s">
        <v>204</v>
      </c>
      <c r="S25" s="22">
        <f t="shared" si="20"/>
        <v>0.25250499999999998</v>
      </c>
      <c r="T25" s="72">
        <f t="shared" si="21"/>
        <v>70436.5</v>
      </c>
      <c r="U25" s="72">
        <f t="shared" si="22"/>
        <v>310141</v>
      </c>
      <c r="V25" s="72">
        <f t="shared" si="23"/>
        <v>9.3000000000000007</v>
      </c>
      <c r="W25" s="21" t="s">
        <v>204</v>
      </c>
      <c r="X25" s="22">
        <f t="shared" si="3"/>
        <v>0.47696</v>
      </c>
      <c r="Y25" s="72">
        <f t="shared" si="4"/>
        <v>48097.5</v>
      </c>
      <c r="Z25" s="72">
        <f t="shared" si="5"/>
        <v>183164</v>
      </c>
      <c r="AA25" s="72">
        <f t="shared" si="6"/>
        <v>5.8000000000000007</v>
      </c>
      <c r="AB25" s="24"/>
      <c r="AC25" s="21" t="s">
        <v>204</v>
      </c>
      <c r="AD25" s="22">
        <f t="shared" si="7"/>
        <v>0.22570499999999999</v>
      </c>
      <c r="AE25" s="72">
        <f t="shared" si="8"/>
        <v>75667</v>
      </c>
      <c r="AF25" s="72">
        <f t="shared" si="9"/>
        <v>338494</v>
      </c>
      <c r="AG25" s="72">
        <f t="shared" si="10"/>
        <v>9.8000000000000007</v>
      </c>
    </row>
    <row r="26" spans="1:33" ht="12" customHeight="1">
      <c r="A26" s="21" t="s">
        <v>203</v>
      </c>
      <c r="B26" s="22">
        <f t="shared" ref="B26:E26" si="41">(AB89+X89)/2</f>
        <v>0.68186999999999998</v>
      </c>
      <c r="C26" s="23">
        <f t="shared" si="41"/>
        <v>16658.5</v>
      </c>
      <c r="D26" s="23">
        <f t="shared" si="41"/>
        <v>52216</v>
      </c>
      <c r="E26" s="23">
        <f t="shared" si="41"/>
        <v>4.05</v>
      </c>
      <c r="F26" s="24"/>
      <c r="G26" s="21" t="s">
        <v>203</v>
      </c>
      <c r="H26" s="22">
        <f t="shared" si="12"/>
        <v>0.46731500000000004</v>
      </c>
      <c r="I26" s="72">
        <f t="shared" si="13"/>
        <v>44128.5</v>
      </c>
      <c r="J26" s="72">
        <f t="shared" si="14"/>
        <v>168928</v>
      </c>
      <c r="K26" s="72">
        <f t="shared" si="15"/>
        <v>6</v>
      </c>
      <c r="L26" s="21" t="s">
        <v>203</v>
      </c>
      <c r="M26" s="22">
        <f t="shared" si="16"/>
        <v>0.73324499999999992</v>
      </c>
      <c r="N26" s="72">
        <f t="shared" si="17"/>
        <v>19114.5</v>
      </c>
      <c r="O26" s="72">
        <f t="shared" si="18"/>
        <v>56514.5</v>
      </c>
      <c r="P26" s="72">
        <f t="shared" si="19"/>
        <v>3.55</v>
      </c>
      <c r="Q26" s="24"/>
      <c r="R26" s="21" t="s">
        <v>203</v>
      </c>
      <c r="S26" s="22">
        <f t="shared" si="20"/>
        <v>0.41779500000000003</v>
      </c>
      <c r="T26" s="72">
        <f t="shared" si="21"/>
        <v>52661</v>
      </c>
      <c r="U26" s="72">
        <f t="shared" si="22"/>
        <v>208972</v>
      </c>
      <c r="V26" s="72">
        <f t="shared" si="23"/>
        <v>6.55</v>
      </c>
      <c r="W26" s="21" t="s">
        <v>203</v>
      </c>
      <c r="X26" s="22">
        <f t="shared" si="3"/>
        <v>0.70076000000000005</v>
      </c>
      <c r="Y26" s="72">
        <f t="shared" si="4"/>
        <v>25177</v>
      </c>
      <c r="Z26" s="72">
        <f t="shared" si="5"/>
        <v>77742</v>
      </c>
      <c r="AA26" s="72">
        <f t="shared" si="6"/>
        <v>3.8499999999999996</v>
      </c>
      <c r="AB26" s="24"/>
      <c r="AC26" s="21" t="s">
        <v>203</v>
      </c>
      <c r="AD26" s="22">
        <f t="shared" si="7"/>
        <v>0.39100499999999999</v>
      </c>
      <c r="AE26" s="72">
        <f t="shared" si="8"/>
        <v>58595</v>
      </c>
      <c r="AF26" s="72">
        <f t="shared" si="9"/>
        <v>237160.5</v>
      </c>
      <c r="AG26" s="72">
        <f t="shared" si="10"/>
        <v>6.85</v>
      </c>
    </row>
    <row r="27" spans="1:33" ht="12" customHeight="1">
      <c r="A27" s="21" t="s">
        <v>87</v>
      </c>
      <c r="B27" s="22">
        <f t="shared" ref="B27:E27" si="42">(AB90+X90)/2</f>
        <v>0.83143499999999992</v>
      </c>
      <c r="C27" s="23">
        <f t="shared" si="42"/>
        <v>5430</v>
      </c>
      <c r="D27" s="23">
        <f t="shared" si="42"/>
        <v>14020</v>
      </c>
      <c r="E27" s="23">
        <f t="shared" si="42"/>
        <v>2.8499999999999996</v>
      </c>
      <c r="F27" s="24"/>
      <c r="G27" s="21" t="s">
        <v>87</v>
      </c>
      <c r="H27" s="22">
        <f t="shared" si="12"/>
        <v>0.66640500000000003</v>
      </c>
      <c r="I27" s="72">
        <f t="shared" si="13"/>
        <v>23623</v>
      </c>
      <c r="J27" s="72">
        <f t="shared" si="14"/>
        <v>75693</v>
      </c>
      <c r="K27" s="72">
        <f t="shared" si="15"/>
        <v>4.0999999999999996</v>
      </c>
      <c r="L27" s="21" t="s">
        <v>87</v>
      </c>
      <c r="M27" s="22">
        <f t="shared" si="16"/>
        <v>0.89654500000000004</v>
      </c>
      <c r="N27" s="72">
        <f t="shared" si="17"/>
        <v>5111</v>
      </c>
      <c r="O27" s="72">
        <f t="shared" si="18"/>
        <v>11177.5</v>
      </c>
      <c r="P27" s="72">
        <f t="shared" si="19"/>
        <v>2.3499999999999996</v>
      </c>
      <c r="Q27" s="24"/>
      <c r="R27" s="21" t="s">
        <v>87</v>
      </c>
      <c r="S27" s="22">
        <f t="shared" si="20"/>
        <v>0.62551999999999996</v>
      </c>
      <c r="T27" s="72">
        <f t="shared" si="21"/>
        <v>30670.5</v>
      </c>
      <c r="U27" s="72">
        <f t="shared" si="22"/>
        <v>102449.5</v>
      </c>
      <c r="V27" s="72">
        <f t="shared" si="23"/>
        <v>4.45</v>
      </c>
      <c r="W27" s="21" t="s">
        <v>87</v>
      </c>
      <c r="X27" s="22">
        <f t="shared" si="3"/>
        <v>0.88348000000000004</v>
      </c>
      <c r="Y27" s="72">
        <f t="shared" si="4"/>
        <v>7546</v>
      </c>
      <c r="Z27" s="72">
        <f t="shared" si="5"/>
        <v>17164</v>
      </c>
      <c r="AA27" s="72">
        <f t="shared" si="6"/>
        <v>2.4500000000000002</v>
      </c>
      <c r="AB27" s="24"/>
      <c r="AC27" s="21" t="s">
        <v>87</v>
      </c>
      <c r="AD27" s="22">
        <f t="shared" si="7"/>
        <v>0.60749500000000001</v>
      </c>
      <c r="AE27" s="72">
        <f t="shared" si="8"/>
        <v>35691</v>
      </c>
      <c r="AF27" s="72">
        <f t="shared" si="9"/>
        <v>121621.5</v>
      </c>
      <c r="AG27" s="72">
        <f t="shared" si="10"/>
        <v>4.55</v>
      </c>
    </row>
    <row r="28" spans="1:33" s="17" customFormat="1" ht="12" customHeight="1">
      <c r="A28" s="21" t="s">
        <v>51</v>
      </c>
      <c r="B28" s="22">
        <f t="shared" ref="B28:E28" si="43">(AB91+X91)/2</f>
        <v>1</v>
      </c>
      <c r="C28" s="23">
        <f t="shared" si="43"/>
        <v>1049.5</v>
      </c>
      <c r="D28" s="23">
        <f t="shared" si="43"/>
        <v>2430.5</v>
      </c>
      <c r="E28" s="23">
        <f t="shared" si="43"/>
        <v>2</v>
      </c>
      <c r="F28" s="16"/>
      <c r="G28" s="21" t="s">
        <v>51</v>
      </c>
      <c r="H28" s="22">
        <f t="shared" si="12"/>
        <v>1</v>
      </c>
      <c r="I28" s="72">
        <f t="shared" si="13"/>
        <v>7976</v>
      </c>
      <c r="J28" s="72">
        <f t="shared" si="14"/>
        <v>22266.5</v>
      </c>
      <c r="K28" s="72">
        <f t="shared" si="15"/>
        <v>2.75</v>
      </c>
      <c r="L28" s="21" t="s">
        <v>51</v>
      </c>
      <c r="M28" s="22">
        <f t="shared" si="16"/>
        <v>1</v>
      </c>
      <c r="N28" s="72">
        <f t="shared" si="17"/>
        <v>530.5</v>
      </c>
      <c r="O28" s="72">
        <f t="shared" si="18"/>
        <v>826</v>
      </c>
      <c r="P28" s="72">
        <f t="shared" si="19"/>
        <v>1.55</v>
      </c>
      <c r="Q28" s="16"/>
      <c r="R28" s="21" t="s">
        <v>51</v>
      </c>
      <c r="S28" s="22">
        <f t="shared" si="20"/>
        <v>1</v>
      </c>
      <c r="T28" s="72">
        <f t="shared" si="21"/>
        <v>11491</v>
      </c>
      <c r="U28" s="72">
        <f t="shared" si="22"/>
        <v>33723.5</v>
      </c>
      <c r="V28" s="72">
        <f t="shared" si="23"/>
        <v>2.9</v>
      </c>
      <c r="W28" s="21" t="s">
        <v>51</v>
      </c>
      <c r="X28" s="22">
        <f t="shared" si="3"/>
        <v>1</v>
      </c>
      <c r="Y28" s="72">
        <f t="shared" si="4"/>
        <v>881</v>
      </c>
      <c r="Z28" s="72">
        <f t="shared" si="5"/>
        <v>1405</v>
      </c>
      <c r="AA28" s="72">
        <f t="shared" si="6"/>
        <v>1.6</v>
      </c>
      <c r="AB28" s="16"/>
      <c r="AC28" s="21" t="s">
        <v>51</v>
      </c>
      <c r="AD28" s="22">
        <f t="shared" si="7"/>
        <v>1</v>
      </c>
      <c r="AE28" s="72">
        <f t="shared" si="8"/>
        <v>14013</v>
      </c>
      <c r="AF28" s="72">
        <f t="shared" si="9"/>
        <v>41734</v>
      </c>
      <c r="AG28" s="72">
        <f t="shared" si="10"/>
        <v>3</v>
      </c>
    </row>
    <row r="29" spans="1:33" s="17" customFormat="1" ht="6.95" customHeight="1" thickBot="1">
      <c r="A29" s="26"/>
      <c r="B29" s="27"/>
      <c r="C29" s="28"/>
      <c r="D29" s="28"/>
      <c r="E29" s="27"/>
      <c r="F29" s="16"/>
      <c r="G29" s="26"/>
      <c r="H29" s="27"/>
      <c r="I29" s="27"/>
      <c r="J29" s="27"/>
      <c r="K29" s="27"/>
      <c r="L29" s="26"/>
      <c r="M29" s="27"/>
      <c r="N29" s="28"/>
      <c r="O29" s="28"/>
      <c r="P29" s="27"/>
      <c r="Q29" s="16"/>
      <c r="R29" s="26"/>
      <c r="S29" s="27"/>
      <c r="T29" s="27"/>
      <c r="U29" s="27"/>
      <c r="V29" s="27"/>
      <c r="W29" s="26"/>
      <c r="X29" s="27"/>
      <c r="Y29" s="28"/>
      <c r="Z29" s="28"/>
      <c r="AA29" s="27"/>
      <c r="AB29" s="16"/>
      <c r="AC29" s="26"/>
      <c r="AD29" s="27"/>
      <c r="AE29" s="27"/>
      <c r="AF29" s="27"/>
      <c r="AG29" s="27"/>
    </row>
    <row r="30" spans="1:33" s="29" customFormat="1" ht="20.100000000000001" customHeight="1" thickBot="1">
      <c r="A30" s="5" t="s">
        <v>304</v>
      </c>
      <c r="B30" s="16"/>
      <c r="C30" s="16"/>
      <c r="D30" s="16"/>
      <c r="E30" s="16"/>
      <c r="F30" s="16"/>
      <c r="G30" s="8" t="s">
        <v>305</v>
      </c>
      <c r="H30" s="16"/>
      <c r="I30" s="16"/>
      <c r="J30" s="16"/>
      <c r="K30" s="16"/>
      <c r="L30" s="5" t="s">
        <v>307</v>
      </c>
      <c r="M30" s="16"/>
      <c r="N30" s="16"/>
      <c r="O30" s="16"/>
      <c r="P30" s="16"/>
      <c r="Q30" s="16"/>
      <c r="R30" s="8" t="s">
        <v>309</v>
      </c>
      <c r="S30" s="16"/>
      <c r="T30" s="16"/>
      <c r="U30" s="16"/>
      <c r="V30" s="16"/>
      <c r="W30" s="5" t="s">
        <v>311</v>
      </c>
      <c r="X30" s="16"/>
      <c r="Y30" s="16"/>
      <c r="Z30" s="16"/>
      <c r="AA30" s="16"/>
      <c r="AB30" s="16"/>
      <c r="AC30" s="8" t="s">
        <v>313</v>
      </c>
      <c r="AD30" s="16"/>
      <c r="AE30" s="16"/>
      <c r="AF30" s="16"/>
      <c r="AG30" s="16"/>
    </row>
    <row r="31" spans="1:33" ht="15" customHeight="1">
      <c r="A31" s="10" t="s">
        <v>76</v>
      </c>
      <c r="B31" s="11" t="s">
        <v>215</v>
      </c>
      <c r="C31" s="11" t="s">
        <v>214</v>
      </c>
      <c r="D31" s="11" t="s">
        <v>213</v>
      </c>
      <c r="E31" s="11" t="s">
        <v>212</v>
      </c>
      <c r="F31" s="12"/>
      <c r="G31" s="10" t="s">
        <v>75</v>
      </c>
      <c r="H31" s="11" t="s">
        <v>215</v>
      </c>
      <c r="I31" s="11" t="s">
        <v>214</v>
      </c>
      <c r="J31" s="11" t="s">
        <v>213</v>
      </c>
      <c r="K31" s="11" t="s">
        <v>212</v>
      </c>
      <c r="L31" s="10" t="s">
        <v>76</v>
      </c>
      <c r="M31" s="11" t="s">
        <v>215</v>
      </c>
      <c r="N31" s="11" t="s">
        <v>214</v>
      </c>
      <c r="O31" s="11" t="s">
        <v>213</v>
      </c>
      <c r="P31" s="11" t="s">
        <v>212</v>
      </c>
      <c r="Q31" s="12"/>
      <c r="R31" s="10" t="s">
        <v>75</v>
      </c>
      <c r="S31" s="11" t="s">
        <v>215</v>
      </c>
      <c r="T31" s="11" t="s">
        <v>214</v>
      </c>
      <c r="U31" s="11" t="s">
        <v>213</v>
      </c>
      <c r="V31" s="11" t="s">
        <v>212</v>
      </c>
      <c r="W31" s="10" t="s">
        <v>76</v>
      </c>
      <c r="X31" s="11" t="s">
        <v>215</v>
      </c>
      <c r="Y31" s="11" t="s">
        <v>214</v>
      </c>
      <c r="Z31" s="11" t="s">
        <v>213</v>
      </c>
      <c r="AA31" s="11" t="s">
        <v>212</v>
      </c>
      <c r="AB31" s="12"/>
      <c r="AC31" s="10" t="s">
        <v>75</v>
      </c>
      <c r="AD31" s="11" t="s">
        <v>215</v>
      </c>
      <c r="AE31" s="11" t="s">
        <v>214</v>
      </c>
      <c r="AF31" s="11" t="s">
        <v>213</v>
      </c>
      <c r="AG31" s="11" t="s">
        <v>212</v>
      </c>
    </row>
    <row r="32" spans="1:33" s="17" customFormat="1" ht="15" customHeight="1">
      <c r="A32" s="13" t="s">
        <v>211</v>
      </c>
      <c r="B32" s="14" t="s">
        <v>209</v>
      </c>
      <c r="C32" s="15" t="s">
        <v>208</v>
      </c>
      <c r="D32" s="14" t="s">
        <v>207</v>
      </c>
      <c r="E32" s="14" t="s">
        <v>206</v>
      </c>
      <c r="F32" s="16"/>
      <c r="G32" s="13" t="s">
        <v>210</v>
      </c>
      <c r="H32" s="14" t="s">
        <v>209</v>
      </c>
      <c r="I32" s="15" t="s">
        <v>208</v>
      </c>
      <c r="J32" s="14" t="s">
        <v>207</v>
      </c>
      <c r="K32" s="14" t="s">
        <v>206</v>
      </c>
      <c r="L32" s="13" t="s">
        <v>211</v>
      </c>
      <c r="M32" s="14" t="s">
        <v>209</v>
      </c>
      <c r="N32" s="15" t="s">
        <v>208</v>
      </c>
      <c r="O32" s="14" t="s">
        <v>207</v>
      </c>
      <c r="P32" s="14" t="s">
        <v>206</v>
      </c>
      <c r="Q32" s="16"/>
      <c r="R32" s="13" t="s">
        <v>210</v>
      </c>
      <c r="S32" s="14" t="s">
        <v>209</v>
      </c>
      <c r="T32" s="15" t="s">
        <v>208</v>
      </c>
      <c r="U32" s="14" t="s">
        <v>207</v>
      </c>
      <c r="V32" s="14" t="s">
        <v>206</v>
      </c>
      <c r="W32" s="13" t="s">
        <v>211</v>
      </c>
      <c r="X32" s="14" t="s">
        <v>209</v>
      </c>
      <c r="Y32" s="15" t="s">
        <v>208</v>
      </c>
      <c r="Z32" s="14" t="s">
        <v>207</v>
      </c>
      <c r="AA32" s="14" t="s">
        <v>206</v>
      </c>
      <c r="AB32" s="16"/>
      <c r="AC32" s="13" t="s">
        <v>210</v>
      </c>
      <c r="AD32" s="14" t="s">
        <v>209</v>
      </c>
      <c r="AE32" s="15" t="s">
        <v>208</v>
      </c>
      <c r="AF32" s="14" t="s">
        <v>207</v>
      </c>
      <c r="AG32" s="14" t="s">
        <v>206</v>
      </c>
    </row>
    <row r="33" spans="1:33" s="17" customFormat="1" ht="6.95" customHeight="1">
      <c r="A33" s="18"/>
      <c r="B33" s="19"/>
      <c r="C33" s="20"/>
      <c r="D33" s="19"/>
      <c r="E33" s="19"/>
      <c r="F33" s="16"/>
      <c r="G33" s="18"/>
      <c r="H33" s="19"/>
      <c r="I33" s="20"/>
      <c r="J33" s="19"/>
      <c r="K33" s="19"/>
      <c r="L33" s="18"/>
      <c r="M33" s="19"/>
      <c r="N33" s="20"/>
      <c r="O33" s="19"/>
      <c r="P33" s="19"/>
      <c r="Q33" s="16"/>
      <c r="R33" s="18"/>
      <c r="S33" s="19"/>
      <c r="T33" s="20"/>
      <c r="U33" s="19"/>
      <c r="V33" s="19"/>
      <c r="W33" s="18"/>
      <c r="X33" s="19"/>
      <c r="Y33" s="20"/>
      <c r="Z33" s="19"/>
      <c r="AA33" s="19"/>
      <c r="AB33" s="16"/>
      <c r="AC33" s="18"/>
      <c r="AD33" s="19"/>
      <c r="AE33" s="20"/>
      <c r="AF33" s="19"/>
      <c r="AG33" s="19"/>
    </row>
    <row r="34" spans="1:33" ht="12" customHeight="1">
      <c r="A34" s="21">
        <v>0</v>
      </c>
      <c r="B34" s="286">
        <f>(X70+T70)/2</f>
        <v>3.8349999999999999E-3</v>
      </c>
      <c r="C34" s="307">
        <f t="shared" ref="C34:E34" si="44">(Y70+U70)/2</f>
        <v>100000</v>
      </c>
      <c r="D34" s="307">
        <f t="shared" si="44"/>
        <v>99638</v>
      </c>
      <c r="E34" s="307">
        <f t="shared" si="44"/>
        <v>78.25</v>
      </c>
      <c r="F34" s="24"/>
      <c r="G34" s="21">
        <v>0</v>
      </c>
      <c r="H34" s="22">
        <f>(X92+T92)/2</f>
        <v>3.2799999999999999E-3</v>
      </c>
      <c r="I34" s="72">
        <f t="shared" ref="I34:K34" si="45">(Y92+U92)/2</f>
        <v>100000</v>
      </c>
      <c r="J34" s="72">
        <f t="shared" si="45"/>
        <v>99692</v>
      </c>
      <c r="K34" s="72">
        <f t="shared" si="45"/>
        <v>87.15</v>
      </c>
      <c r="L34" s="21">
        <v>0</v>
      </c>
      <c r="M34" s="22">
        <f>(P70+L70)/2</f>
        <v>3.2699999999999999E-3</v>
      </c>
      <c r="N34" s="72">
        <f t="shared" ref="N34:P34" si="46">(Q70+M70)/2</f>
        <v>100000</v>
      </c>
      <c r="O34" s="72">
        <f t="shared" si="46"/>
        <v>99691</v>
      </c>
      <c r="P34" s="72">
        <f t="shared" si="46"/>
        <v>80.800000000000011</v>
      </c>
      <c r="Q34" s="24"/>
      <c r="R34" s="21">
        <v>0</v>
      </c>
      <c r="S34" s="22">
        <f>(P92+L92)/2</f>
        <v>2.735E-3</v>
      </c>
      <c r="T34" s="72">
        <f t="shared" ref="T34:V34" si="47">(Q92+M92)/2</f>
        <v>100000</v>
      </c>
      <c r="U34" s="72">
        <f t="shared" si="47"/>
        <v>99743</v>
      </c>
      <c r="V34" s="72">
        <f t="shared" si="47"/>
        <v>89</v>
      </c>
      <c r="W34" s="21">
        <v>0</v>
      </c>
      <c r="X34" s="22">
        <f>(H70+D70)/2</f>
        <v>2.7899999999999999E-3</v>
      </c>
      <c r="Y34" s="72">
        <f>(I70+E70)/2</f>
        <v>100000</v>
      </c>
      <c r="Z34" s="72">
        <f>(J70+F70)/2</f>
        <v>99736</v>
      </c>
      <c r="AA34" s="72">
        <f>(K70+G70)/2</f>
        <v>82.9</v>
      </c>
      <c r="AB34" s="24"/>
      <c r="AC34" s="21">
        <v>0</v>
      </c>
      <c r="AD34" s="22">
        <f>(H92+D92)/2</f>
        <v>2.2750000000000001E-3</v>
      </c>
      <c r="AE34" s="72">
        <f>(I92+E92)/2</f>
        <v>100000</v>
      </c>
      <c r="AF34" s="72">
        <f>(J92+F92)/2</f>
        <v>99786</v>
      </c>
      <c r="AG34" s="72">
        <f>(K92+G92)/2</f>
        <v>90.449999999999989</v>
      </c>
    </row>
    <row r="35" spans="1:33" ht="12" customHeight="1">
      <c r="A35" s="25" t="s">
        <v>205</v>
      </c>
      <c r="B35" s="286">
        <f t="shared" ref="B35:B55" si="48">(X71+T71)/2</f>
        <v>4.7000000000000004E-4</v>
      </c>
      <c r="C35" s="307">
        <f t="shared" ref="C35:C55" si="49">(Y71+U71)/2</f>
        <v>99616.5</v>
      </c>
      <c r="D35" s="307">
        <f t="shared" ref="D35:D55" si="50">(Z71+V71)/2</f>
        <v>398360</v>
      </c>
      <c r="E35" s="307">
        <f t="shared" ref="E35:E55" si="51">(AA71+W71)/2</f>
        <v>77.550000000000011</v>
      </c>
      <c r="F35" s="24"/>
      <c r="G35" s="25" t="s">
        <v>205</v>
      </c>
      <c r="H35" s="22">
        <f t="shared" ref="H35:H55" si="52">(X93+T93)/2</f>
        <v>8.4000000000000003E-4</v>
      </c>
      <c r="I35" s="72">
        <f t="shared" ref="I35:I55" si="53">(Y93+U93)/2</f>
        <v>99672</v>
      </c>
      <c r="J35" s="72">
        <f t="shared" ref="J35:J55" si="54">(Z93+V93)/2</f>
        <v>398480.5</v>
      </c>
      <c r="K35" s="72">
        <f t="shared" ref="K35:K55" si="55">(AA93+W93)/2</f>
        <v>86.45</v>
      </c>
      <c r="L35" s="25" t="s">
        <v>205</v>
      </c>
      <c r="M35" s="22">
        <f t="shared" ref="M35:M55" si="56">(P71+L71)/2</f>
        <v>2.3000000000000001E-4</v>
      </c>
      <c r="N35" s="72">
        <f t="shared" ref="N35:N55" si="57">(Q71+M71)/2</f>
        <v>99673</v>
      </c>
      <c r="O35" s="72">
        <f t="shared" ref="O35:O55" si="58">(R71+N71)/2</f>
        <v>398638.5</v>
      </c>
      <c r="P35" s="72">
        <f t="shared" ref="P35:P55" si="59">(S71+O71)/2</f>
        <v>80.05</v>
      </c>
      <c r="Q35" s="24"/>
      <c r="R35" s="25" t="s">
        <v>205</v>
      </c>
      <c r="S35" s="22">
        <f t="shared" ref="S35:S55" si="60">(P93+L93)/2</f>
        <v>4.15E-4</v>
      </c>
      <c r="T35" s="72">
        <f t="shared" ref="T35:T55" si="61">(Q93+M93)/2</f>
        <v>99726.5</v>
      </c>
      <c r="U35" s="72">
        <f t="shared" ref="U35:U55" si="62">(R93+N93)/2</f>
        <v>398802.5</v>
      </c>
      <c r="V35" s="72">
        <f t="shared" ref="V35:V55" si="63">(S93+O93)/2</f>
        <v>88.25</v>
      </c>
      <c r="W35" s="25" t="s">
        <v>205</v>
      </c>
      <c r="X35" s="22">
        <f t="shared" ref="X35:X55" si="64">(H71+D71)/2</f>
        <v>1.1999999999999999E-4</v>
      </c>
      <c r="Y35" s="72">
        <f t="shared" ref="Y35:Y55" si="65">(I71+E71)/2</f>
        <v>99721</v>
      </c>
      <c r="Z35" s="72">
        <f t="shared" ref="Z35:Z55" si="66">(J71+F71)/2</f>
        <v>398858</v>
      </c>
      <c r="AA35" s="72">
        <f t="shared" ref="AA35:AA55" si="67">(K71+G71)/2</f>
        <v>82.15</v>
      </c>
      <c r="AB35" s="24"/>
      <c r="AC35" s="25" t="s">
        <v>205</v>
      </c>
      <c r="AD35" s="22">
        <f t="shared" ref="AD35:AD55" si="68">(H93+D93)/2</f>
        <v>2.1500000000000002E-4</v>
      </c>
      <c r="AE35" s="72">
        <f t="shared" ref="AE35:AE55" si="69">(I93+E93)/2</f>
        <v>99772.5</v>
      </c>
      <c r="AF35" s="72">
        <f t="shared" ref="AF35:AF55" si="70">(J93+F93)/2</f>
        <v>399035.5</v>
      </c>
      <c r="AG35" s="72">
        <f t="shared" ref="AG35:AG55" si="71">(K93+G93)/2</f>
        <v>89.65</v>
      </c>
    </row>
    <row r="36" spans="1:33" ht="12" customHeight="1">
      <c r="A36" s="21" t="s">
        <v>67</v>
      </c>
      <c r="B36" s="286">
        <f t="shared" si="48"/>
        <v>4.4499999999999997E-4</v>
      </c>
      <c r="C36" s="307">
        <f t="shared" si="49"/>
        <v>99570</v>
      </c>
      <c r="D36" s="307">
        <f t="shared" si="50"/>
        <v>497738.5</v>
      </c>
      <c r="E36" s="307">
        <f t="shared" si="51"/>
        <v>73.599999999999994</v>
      </c>
      <c r="F36" s="24"/>
      <c r="G36" s="21" t="s">
        <v>67</v>
      </c>
      <c r="H36" s="22">
        <f t="shared" si="52"/>
        <v>2.5500000000000002E-4</v>
      </c>
      <c r="I36" s="72">
        <f t="shared" si="53"/>
        <v>99588</v>
      </c>
      <c r="J36" s="72">
        <f t="shared" si="54"/>
        <v>497861</v>
      </c>
      <c r="K36" s="72">
        <f t="shared" si="55"/>
        <v>82.55</v>
      </c>
      <c r="L36" s="21" t="s">
        <v>67</v>
      </c>
      <c r="M36" s="22">
        <f t="shared" si="56"/>
        <v>2.1999999999999998E-4</v>
      </c>
      <c r="N36" s="72">
        <f t="shared" si="57"/>
        <v>99650</v>
      </c>
      <c r="O36" s="72">
        <f t="shared" si="58"/>
        <v>498195.5</v>
      </c>
      <c r="P36" s="72">
        <f t="shared" si="59"/>
        <v>76.099999999999994</v>
      </c>
      <c r="Q36" s="24"/>
      <c r="R36" s="21" t="s">
        <v>67</v>
      </c>
      <c r="S36" s="22">
        <f t="shared" si="60"/>
        <v>1.25E-4</v>
      </c>
      <c r="T36" s="72">
        <f t="shared" si="61"/>
        <v>99685</v>
      </c>
      <c r="U36" s="72">
        <f t="shared" si="62"/>
        <v>498387.5</v>
      </c>
      <c r="V36" s="72">
        <f t="shared" si="63"/>
        <v>84.300000000000011</v>
      </c>
      <c r="W36" s="21" t="s">
        <v>67</v>
      </c>
      <c r="X36" s="22">
        <f t="shared" si="64"/>
        <v>1.0999999999999999E-4</v>
      </c>
      <c r="Y36" s="72">
        <f t="shared" si="65"/>
        <v>99710</v>
      </c>
      <c r="Z36" s="72">
        <f t="shared" si="66"/>
        <v>498522</v>
      </c>
      <c r="AA36" s="72">
        <f t="shared" si="67"/>
        <v>78.150000000000006</v>
      </c>
      <c r="AB36" s="24"/>
      <c r="AC36" s="21" t="s">
        <v>67</v>
      </c>
      <c r="AD36" s="22">
        <f t="shared" si="68"/>
        <v>5.9999999999999995E-5</v>
      </c>
      <c r="AE36" s="72">
        <f t="shared" si="69"/>
        <v>99751</v>
      </c>
      <c r="AF36" s="72">
        <f t="shared" si="70"/>
        <v>498737</v>
      </c>
      <c r="AG36" s="72">
        <f t="shared" si="71"/>
        <v>85.7</v>
      </c>
    </row>
    <row r="37" spans="1:33" ht="12" customHeight="1">
      <c r="A37" s="21" t="s">
        <v>66</v>
      </c>
      <c r="B37" s="286">
        <f t="shared" si="48"/>
        <v>6.6E-4</v>
      </c>
      <c r="C37" s="307">
        <f t="shared" si="49"/>
        <v>99526</v>
      </c>
      <c r="D37" s="307">
        <f t="shared" si="50"/>
        <v>497494</v>
      </c>
      <c r="E37" s="307">
        <f t="shared" si="51"/>
        <v>68.650000000000006</v>
      </c>
      <c r="F37" s="24"/>
      <c r="G37" s="21" t="s">
        <v>66</v>
      </c>
      <c r="H37" s="22">
        <f t="shared" si="52"/>
        <v>1.7999999999999998E-4</v>
      </c>
      <c r="I37" s="72">
        <f t="shared" si="53"/>
        <v>99562</v>
      </c>
      <c r="J37" s="72">
        <f t="shared" si="54"/>
        <v>497777</v>
      </c>
      <c r="K37" s="72">
        <f t="shared" si="55"/>
        <v>77.55</v>
      </c>
      <c r="L37" s="21" t="s">
        <v>66</v>
      </c>
      <c r="M37" s="22">
        <f t="shared" si="56"/>
        <v>3.5E-4</v>
      </c>
      <c r="N37" s="72">
        <f t="shared" si="57"/>
        <v>99628</v>
      </c>
      <c r="O37" s="72">
        <f t="shared" si="58"/>
        <v>498071.5</v>
      </c>
      <c r="P37" s="72">
        <f t="shared" si="59"/>
        <v>71.099999999999994</v>
      </c>
      <c r="Q37" s="24"/>
      <c r="R37" s="21" t="s">
        <v>66</v>
      </c>
      <c r="S37" s="22">
        <f t="shared" si="60"/>
        <v>9.5000000000000005E-5</v>
      </c>
      <c r="T37" s="72">
        <f t="shared" si="61"/>
        <v>99672.5</v>
      </c>
      <c r="U37" s="72">
        <f t="shared" si="62"/>
        <v>498346</v>
      </c>
      <c r="V37" s="72">
        <f t="shared" si="63"/>
        <v>79.300000000000011</v>
      </c>
      <c r="W37" s="21" t="s">
        <v>66</v>
      </c>
      <c r="X37" s="22">
        <f t="shared" si="64"/>
        <v>1.9000000000000001E-4</v>
      </c>
      <c r="Y37" s="72">
        <f t="shared" si="65"/>
        <v>99699</v>
      </c>
      <c r="Z37" s="72">
        <f t="shared" si="66"/>
        <v>498458.5</v>
      </c>
      <c r="AA37" s="72">
        <f t="shared" si="67"/>
        <v>73.2</v>
      </c>
      <c r="AB37" s="24"/>
      <c r="AC37" s="21" t="s">
        <v>66</v>
      </c>
      <c r="AD37" s="22">
        <f t="shared" si="68"/>
        <v>5.0000000000000002E-5</v>
      </c>
      <c r="AE37" s="72">
        <f t="shared" si="69"/>
        <v>99745</v>
      </c>
      <c r="AF37" s="72">
        <f t="shared" si="70"/>
        <v>498716</v>
      </c>
      <c r="AG37" s="72">
        <f t="shared" si="71"/>
        <v>80.7</v>
      </c>
    </row>
    <row r="38" spans="1:33" ht="12" customHeight="1">
      <c r="A38" s="21" t="s">
        <v>65</v>
      </c>
      <c r="B38" s="286">
        <f t="shared" si="48"/>
        <v>1.98E-3</v>
      </c>
      <c r="C38" s="307">
        <f t="shared" si="49"/>
        <v>99460</v>
      </c>
      <c r="D38" s="307">
        <f t="shared" si="50"/>
        <v>496857</v>
      </c>
      <c r="E38" s="307">
        <f t="shared" si="51"/>
        <v>63.65</v>
      </c>
      <c r="F38" s="24"/>
      <c r="G38" s="21" t="s">
        <v>65</v>
      </c>
      <c r="H38" s="22">
        <f t="shared" si="52"/>
        <v>1.1000000000000001E-3</v>
      </c>
      <c r="I38" s="72">
        <f t="shared" si="53"/>
        <v>99544.5</v>
      </c>
      <c r="J38" s="72">
        <f t="shared" si="54"/>
        <v>497492.5</v>
      </c>
      <c r="K38" s="72">
        <f t="shared" si="55"/>
        <v>72.55</v>
      </c>
      <c r="L38" s="21" t="s">
        <v>65</v>
      </c>
      <c r="M38" s="22">
        <f t="shared" si="56"/>
        <v>1.155E-3</v>
      </c>
      <c r="N38" s="72">
        <f t="shared" si="57"/>
        <v>99593.5</v>
      </c>
      <c r="O38" s="72">
        <f t="shared" si="58"/>
        <v>497707.5</v>
      </c>
      <c r="P38" s="72">
        <f t="shared" si="59"/>
        <v>66.099999999999994</v>
      </c>
      <c r="Q38" s="24"/>
      <c r="R38" s="21" t="s">
        <v>65</v>
      </c>
      <c r="S38" s="22">
        <f t="shared" si="60"/>
        <v>6.3499999999999993E-4</v>
      </c>
      <c r="T38" s="72">
        <f t="shared" si="61"/>
        <v>99663</v>
      </c>
      <c r="U38" s="72">
        <f t="shared" si="62"/>
        <v>498183</v>
      </c>
      <c r="V38" s="72">
        <f t="shared" si="63"/>
        <v>74.300000000000011</v>
      </c>
      <c r="W38" s="21" t="s">
        <v>65</v>
      </c>
      <c r="X38" s="22">
        <f t="shared" si="64"/>
        <v>6.8000000000000005E-4</v>
      </c>
      <c r="Y38" s="72">
        <f t="shared" si="65"/>
        <v>99680</v>
      </c>
      <c r="Z38" s="72">
        <f t="shared" si="66"/>
        <v>498248.5</v>
      </c>
      <c r="AA38" s="72">
        <f t="shared" si="67"/>
        <v>68.2</v>
      </c>
      <c r="AB38" s="24"/>
      <c r="AC38" s="21" t="s">
        <v>65</v>
      </c>
      <c r="AD38" s="22">
        <f t="shared" si="68"/>
        <v>3.6999999999999999E-4</v>
      </c>
      <c r="AE38" s="72">
        <f t="shared" si="69"/>
        <v>99740</v>
      </c>
      <c r="AF38" s="72">
        <f t="shared" si="70"/>
        <v>498621.5</v>
      </c>
      <c r="AG38" s="72">
        <f t="shared" si="71"/>
        <v>75.7</v>
      </c>
    </row>
    <row r="39" spans="1:33" ht="12" customHeight="1">
      <c r="A39" s="21" t="s">
        <v>64</v>
      </c>
      <c r="B39" s="286">
        <f t="shared" si="48"/>
        <v>2.2950000000000002E-3</v>
      </c>
      <c r="C39" s="307">
        <f t="shared" si="49"/>
        <v>99263.5</v>
      </c>
      <c r="D39" s="307">
        <f t="shared" si="50"/>
        <v>495756.5</v>
      </c>
      <c r="E39" s="307">
        <f t="shared" si="51"/>
        <v>58.8</v>
      </c>
      <c r="F39" s="24"/>
      <c r="G39" s="21" t="s">
        <v>64</v>
      </c>
      <c r="H39" s="22">
        <f t="shared" si="52"/>
        <v>1.305E-3</v>
      </c>
      <c r="I39" s="72">
        <f t="shared" si="53"/>
        <v>99435</v>
      </c>
      <c r="J39" s="72">
        <f t="shared" si="54"/>
        <v>496843.5</v>
      </c>
      <c r="K39" s="72">
        <f t="shared" si="55"/>
        <v>67.650000000000006</v>
      </c>
      <c r="L39" s="21" t="s">
        <v>64</v>
      </c>
      <c r="M39" s="22">
        <f t="shared" si="56"/>
        <v>1.41E-3</v>
      </c>
      <c r="N39" s="72">
        <f t="shared" si="57"/>
        <v>99478.5</v>
      </c>
      <c r="O39" s="72">
        <f t="shared" si="58"/>
        <v>497054</v>
      </c>
      <c r="P39" s="72">
        <f t="shared" si="59"/>
        <v>61.2</v>
      </c>
      <c r="Q39" s="24"/>
      <c r="R39" s="21" t="s">
        <v>64</v>
      </c>
      <c r="S39" s="22">
        <f t="shared" si="60"/>
        <v>7.9499999999999992E-4</v>
      </c>
      <c r="T39" s="72">
        <f t="shared" si="61"/>
        <v>99600</v>
      </c>
      <c r="U39" s="72">
        <f t="shared" si="62"/>
        <v>497802</v>
      </c>
      <c r="V39" s="72">
        <f t="shared" si="63"/>
        <v>69.349999999999994</v>
      </c>
      <c r="W39" s="21" t="s">
        <v>64</v>
      </c>
      <c r="X39" s="22">
        <f t="shared" si="64"/>
        <v>8.7499999999999991E-4</v>
      </c>
      <c r="Y39" s="72">
        <f t="shared" si="65"/>
        <v>99613</v>
      </c>
      <c r="Z39" s="72">
        <f t="shared" si="66"/>
        <v>497858.5</v>
      </c>
      <c r="AA39" s="72">
        <f t="shared" si="67"/>
        <v>63.25</v>
      </c>
      <c r="AB39" s="24"/>
      <c r="AC39" s="21" t="s">
        <v>64</v>
      </c>
      <c r="AD39" s="22">
        <f t="shared" si="68"/>
        <v>4.8999999999999998E-4</v>
      </c>
      <c r="AE39" s="72">
        <f t="shared" si="69"/>
        <v>99702.5</v>
      </c>
      <c r="AF39" s="72">
        <f t="shared" si="70"/>
        <v>498392.5</v>
      </c>
      <c r="AG39" s="72">
        <f t="shared" si="71"/>
        <v>70.75</v>
      </c>
    </row>
    <row r="40" spans="1:33" ht="12" customHeight="1">
      <c r="A40" s="21" t="s">
        <v>63</v>
      </c>
      <c r="B40" s="286">
        <f t="shared" si="48"/>
        <v>3.32E-3</v>
      </c>
      <c r="C40" s="307">
        <f t="shared" si="49"/>
        <v>99035</v>
      </c>
      <c r="D40" s="307">
        <f t="shared" si="50"/>
        <v>494405</v>
      </c>
      <c r="E40" s="307">
        <f t="shared" si="51"/>
        <v>53.9</v>
      </c>
      <c r="F40" s="24"/>
      <c r="G40" s="21" t="s">
        <v>63</v>
      </c>
      <c r="H40" s="22">
        <f t="shared" si="52"/>
        <v>1.7750000000000001E-3</v>
      </c>
      <c r="I40" s="72">
        <f t="shared" si="53"/>
        <v>99305</v>
      </c>
      <c r="J40" s="72">
        <f t="shared" si="54"/>
        <v>496114.5</v>
      </c>
      <c r="K40" s="72">
        <f t="shared" si="55"/>
        <v>62.7</v>
      </c>
      <c r="L40" s="21" t="s">
        <v>63</v>
      </c>
      <c r="M40" s="22">
        <f t="shared" si="56"/>
        <v>2.1550000000000002E-3</v>
      </c>
      <c r="N40" s="72">
        <f t="shared" si="57"/>
        <v>99338.5</v>
      </c>
      <c r="O40" s="72">
        <f t="shared" si="58"/>
        <v>496191.5</v>
      </c>
      <c r="P40" s="72">
        <f t="shared" si="59"/>
        <v>56.25</v>
      </c>
      <c r="Q40" s="24"/>
      <c r="R40" s="21" t="s">
        <v>63</v>
      </c>
      <c r="S40" s="22">
        <f t="shared" si="60"/>
        <v>1.1450000000000002E-3</v>
      </c>
      <c r="T40" s="72">
        <f t="shared" si="61"/>
        <v>99520.5</v>
      </c>
      <c r="U40" s="72">
        <f t="shared" si="62"/>
        <v>497341.5</v>
      </c>
      <c r="V40" s="72">
        <f t="shared" si="63"/>
        <v>64.400000000000006</v>
      </c>
      <c r="W40" s="21" t="s">
        <v>63</v>
      </c>
      <c r="X40" s="22">
        <f t="shared" si="64"/>
        <v>1.41E-3</v>
      </c>
      <c r="Y40" s="72">
        <f t="shared" si="65"/>
        <v>99526</v>
      </c>
      <c r="Z40" s="72">
        <f t="shared" si="66"/>
        <v>497305.5</v>
      </c>
      <c r="AA40" s="72">
        <f t="shared" si="67"/>
        <v>58.3</v>
      </c>
      <c r="AB40" s="24"/>
      <c r="AC40" s="21" t="s">
        <v>63</v>
      </c>
      <c r="AD40" s="22">
        <f t="shared" si="68"/>
        <v>7.5000000000000002E-4</v>
      </c>
      <c r="AE40" s="72">
        <f t="shared" si="69"/>
        <v>99653.5</v>
      </c>
      <c r="AF40" s="72">
        <f t="shared" si="70"/>
        <v>498096</v>
      </c>
      <c r="AG40" s="72">
        <f t="shared" si="71"/>
        <v>65.75</v>
      </c>
    </row>
    <row r="41" spans="1:33" ht="12" customHeight="1">
      <c r="A41" s="21" t="s">
        <v>62</v>
      </c>
      <c r="B41" s="286">
        <f t="shared" si="48"/>
        <v>4.1900000000000001E-3</v>
      </c>
      <c r="C41" s="307">
        <f t="shared" si="49"/>
        <v>98706.5</v>
      </c>
      <c r="D41" s="307">
        <f t="shared" si="50"/>
        <v>492525</v>
      </c>
      <c r="E41" s="307">
        <f t="shared" si="51"/>
        <v>49.1</v>
      </c>
      <c r="F41" s="24"/>
      <c r="G41" s="21" t="s">
        <v>62</v>
      </c>
      <c r="H41" s="22">
        <f t="shared" si="52"/>
        <v>2.3449999999999999E-3</v>
      </c>
      <c r="I41" s="72">
        <f t="shared" si="53"/>
        <v>99128.5</v>
      </c>
      <c r="J41" s="72">
        <f t="shared" si="54"/>
        <v>495081</v>
      </c>
      <c r="K41" s="72">
        <f t="shared" si="55"/>
        <v>57.8</v>
      </c>
      <c r="L41" s="21" t="s">
        <v>62</v>
      </c>
      <c r="M41" s="22">
        <f t="shared" si="56"/>
        <v>2.8050000000000002E-3</v>
      </c>
      <c r="N41" s="72">
        <f t="shared" si="57"/>
        <v>99124</v>
      </c>
      <c r="O41" s="72">
        <f t="shared" si="58"/>
        <v>494946.5</v>
      </c>
      <c r="P41" s="72">
        <f t="shared" si="59"/>
        <v>51.349999999999994</v>
      </c>
      <c r="Q41" s="24"/>
      <c r="R41" s="21" t="s">
        <v>62</v>
      </c>
      <c r="S41" s="22">
        <f t="shared" si="60"/>
        <v>1.555E-3</v>
      </c>
      <c r="T41" s="72">
        <f t="shared" si="61"/>
        <v>99407.5</v>
      </c>
      <c r="U41" s="72">
        <f t="shared" si="62"/>
        <v>496662.5</v>
      </c>
      <c r="V41" s="72">
        <f t="shared" si="63"/>
        <v>59.5</v>
      </c>
      <c r="W41" s="21" t="s">
        <v>62</v>
      </c>
      <c r="X41" s="22">
        <f t="shared" si="64"/>
        <v>1.885E-3</v>
      </c>
      <c r="Y41" s="72">
        <f t="shared" si="65"/>
        <v>99386</v>
      </c>
      <c r="Z41" s="72">
        <f t="shared" si="66"/>
        <v>496478</v>
      </c>
      <c r="AA41" s="72">
        <f t="shared" si="67"/>
        <v>53.349999999999994</v>
      </c>
      <c r="AB41" s="24"/>
      <c r="AC41" s="21" t="s">
        <v>62</v>
      </c>
      <c r="AD41" s="22">
        <f t="shared" si="68"/>
        <v>1.0499999999999999E-3</v>
      </c>
      <c r="AE41" s="72">
        <f t="shared" si="69"/>
        <v>99578.5</v>
      </c>
      <c r="AF41" s="72">
        <f t="shared" si="70"/>
        <v>497644</v>
      </c>
      <c r="AG41" s="72">
        <f t="shared" si="71"/>
        <v>60.8</v>
      </c>
    </row>
    <row r="42" spans="1:33" ht="12" customHeight="1">
      <c r="A42" s="21" t="s">
        <v>61</v>
      </c>
      <c r="B42" s="286">
        <f t="shared" si="48"/>
        <v>5.6649999999999999E-3</v>
      </c>
      <c r="C42" s="307">
        <f t="shared" si="49"/>
        <v>98292.5</v>
      </c>
      <c r="D42" s="307">
        <f t="shared" si="50"/>
        <v>490163.5</v>
      </c>
      <c r="E42" s="307">
        <f t="shared" si="51"/>
        <v>44.3</v>
      </c>
      <c r="F42" s="24"/>
      <c r="G42" s="21" t="s">
        <v>61</v>
      </c>
      <c r="H42" s="22">
        <f t="shared" si="52"/>
        <v>3.1199999999999999E-3</v>
      </c>
      <c r="I42" s="72">
        <f t="shared" si="53"/>
        <v>98896.5</v>
      </c>
      <c r="J42" s="72">
        <f t="shared" si="54"/>
        <v>493757.5</v>
      </c>
      <c r="K42" s="72">
        <f t="shared" si="55"/>
        <v>52.9</v>
      </c>
      <c r="L42" s="21" t="s">
        <v>61</v>
      </c>
      <c r="M42" s="22">
        <f t="shared" si="56"/>
        <v>3.9050000000000005E-3</v>
      </c>
      <c r="N42" s="72">
        <f t="shared" si="57"/>
        <v>98846</v>
      </c>
      <c r="O42" s="72">
        <f t="shared" si="58"/>
        <v>493332.5</v>
      </c>
      <c r="P42" s="72">
        <f t="shared" si="59"/>
        <v>46.55</v>
      </c>
      <c r="Q42" s="24"/>
      <c r="R42" s="21" t="s">
        <v>61</v>
      </c>
      <c r="S42" s="22">
        <f t="shared" si="60"/>
        <v>2.1350000000000002E-3</v>
      </c>
      <c r="T42" s="72">
        <f t="shared" si="61"/>
        <v>99252.5</v>
      </c>
      <c r="U42" s="72">
        <f t="shared" si="62"/>
        <v>495766.5</v>
      </c>
      <c r="V42" s="72">
        <f t="shared" si="63"/>
        <v>54.55</v>
      </c>
      <c r="W42" s="21" t="s">
        <v>61</v>
      </c>
      <c r="X42" s="22">
        <f t="shared" si="64"/>
        <v>2.7049999999999999E-3</v>
      </c>
      <c r="Y42" s="72">
        <f t="shared" si="65"/>
        <v>99198.5</v>
      </c>
      <c r="Z42" s="72">
        <f t="shared" si="66"/>
        <v>495373</v>
      </c>
      <c r="AA42" s="72">
        <f t="shared" si="67"/>
        <v>48.45</v>
      </c>
      <c r="AB42" s="24"/>
      <c r="AC42" s="21" t="s">
        <v>61</v>
      </c>
      <c r="AD42" s="22">
        <f t="shared" si="68"/>
        <v>1.485E-3</v>
      </c>
      <c r="AE42" s="72">
        <f t="shared" si="69"/>
        <v>99474.5</v>
      </c>
      <c r="AF42" s="72">
        <f t="shared" si="70"/>
        <v>497028</v>
      </c>
      <c r="AG42" s="72">
        <f t="shared" si="71"/>
        <v>55.900000000000006</v>
      </c>
    </row>
    <row r="43" spans="1:33" ht="12" customHeight="1">
      <c r="A43" s="21" t="s">
        <v>60</v>
      </c>
      <c r="B43" s="286">
        <f t="shared" si="48"/>
        <v>9.3449999999999991E-3</v>
      </c>
      <c r="C43" s="307">
        <f t="shared" si="49"/>
        <v>97736.5</v>
      </c>
      <c r="D43" s="307">
        <f t="shared" si="50"/>
        <v>486602</v>
      </c>
      <c r="E43" s="307">
        <f t="shared" si="51"/>
        <v>39.549999999999997</v>
      </c>
      <c r="F43" s="24"/>
      <c r="G43" s="21" t="s">
        <v>60</v>
      </c>
      <c r="H43" s="22">
        <f t="shared" si="52"/>
        <v>4.3949999999999996E-3</v>
      </c>
      <c r="I43" s="72">
        <f t="shared" si="53"/>
        <v>98588.5</v>
      </c>
      <c r="J43" s="72">
        <f t="shared" si="54"/>
        <v>491904</v>
      </c>
      <c r="K43" s="72">
        <f t="shared" si="55"/>
        <v>48.1</v>
      </c>
      <c r="L43" s="21" t="s">
        <v>60</v>
      </c>
      <c r="M43" s="22">
        <f t="shared" si="56"/>
        <v>6.5749999999999992E-3</v>
      </c>
      <c r="N43" s="72">
        <f t="shared" si="57"/>
        <v>98459.5</v>
      </c>
      <c r="O43" s="72">
        <f t="shared" si="58"/>
        <v>490832</v>
      </c>
      <c r="P43" s="72">
        <f t="shared" si="59"/>
        <v>41.7</v>
      </c>
      <c r="Q43" s="24"/>
      <c r="R43" s="21" t="s">
        <v>60</v>
      </c>
      <c r="S43" s="22">
        <f t="shared" si="60"/>
        <v>3.0699999999999998E-3</v>
      </c>
      <c r="T43" s="72">
        <f t="shared" si="61"/>
        <v>99040.5</v>
      </c>
      <c r="U43" s="72">
        <f t="shared" si="62"/>
        <v>494478.5</v>
      </c>
      <c r="V43" s="72">
        <f t="shared" si="63"/>
        <v>49.65</v>
      </c>
      <c r="W43" s="21" t="s">
        <v>60</v>
      </c>
      <c r="X43" s="22">
        <f t="shared" si="64"/>
        <v>4.6350000000000002E-3</v>
      </c>
      <c r="Y43" s="72">
        <f t="shared" si="65"/>
        <v>98930</v>
      </c>
      <c r="Z43" s="72">
        <f t="shared" si="66"/>
        <v>493615</v>
      </c>
      <c r="AA43" s="72">
        <f t="shared" si="67"/>
        <v>43.55</v>
      </c>
      <c r="AB43" s="24"/>
      <c r="AC43" s="21" t="s">
        <v>60</v>
      </c>
      <c r="AD43" s="22">
        <f t="shared" si="68"/>
        <v>2.1700000000000001E-3</v>
      </c>
      <c r="AE43" s="72">
        <f t="shared" si="69"/>
        <v>99327</v>
      </c>
      <c r="AF43" s="72">
        <f t="shared" si="70"/>
        <v>496121</v>
      </c>
      <c r="AG43" s="72">
        <f t="shared" si="71"/>
        <v>51</v>
      </c>
    </row>
    <row r="44" spans="1:33" ht="12" customHeight="1">
      <c r="A44" s="21" t="s">
        <v>59</v>
      </c>
      <c r="B44" s="286">
        <f t="shared" si="48"/>
        <v>1.566E-2</v>
      </c>
      <c r="C44" s="307">
        <f t="shared" si="49"/>
        <v>96823</v>
      </c>
      <c r="D44" s="307">
        <f t="shared" si="50"/>
        <v>480567.5</v>
      </c>
      <c r="E44" s="307">
        <f t="shared" si="51"/>
        <v>34.849999999999994</v>
      </c>
      <c r="F44" s="24"/>
      <c r="G44" s="21" t="s">
        <v>59</v>
      </c>
      <c r="H44" s="22">
        <f t="shared" si="52"/>
        <v>5.79E-3</v>
      </c>
      <c r="I44" s="72">
        <f t="shared" si="53"/>
        <v>98155.5</v>
      </c>
      <c r="J44" s="72">
        <f t="shared" si="54"/>
        <v>489440</v>
      </c>
      <c r="K44" s="72">
        <f t="shared" si="55"/>
        <v>43.3</v>
      </c>
      <c r="L44" s="21" t="s">
        <v>59</v>
      </c>
      <c r="M44" s="22">
        <f t="shared" si="56"/>
        <v>1.1195E-2</v>
      </c>
      <c r="N44" s="72">
        <f t="shared" si="57"/>
        <v>97813</v>
      </c>
      <c r="O44" s="72">
        <f t="shared" si="58"/>
        <v>486508.5</v>
      </c>
      <c r="P44" s="72">
        <f t="shared" si="59"/>
        <v>37</v>
      </c>
      <c r="Q44" s="24"/>
      <c r="R44" s="21" t="s">
        <v>59</v>
      </c>
      <c r="S44" s="22">
        <f t="shared" si="60"/>
        <v>4.1099999999999999E-3</v>
      </c>
      <c r="T44" s="72">
        <f t="shared" si="61"/>
        <v>98737</v>
      </c>
      <c r="U44" s="72">
        <f t="shared" si="62"/>
        <v>492733</v>
      </c>
      <c r="V44" s="72">
        <f t="shared" si="63"/>
        <v>44.8</v>
      </c>
      <c r="W44" s="21" t="s">
        <v>59</v>
      </c>
      <c r="X44" s="22">
        <f t="shared" si="64"/>
        <v>8.0299999999999989E-3</v>
      </c>
      <c r="Y44" s="72">
        <f t="shared" si="65"/>
        <v>98471.5</v>
      </c>
      <c r="Z44" s="72">
        <f t="shared" si="66"/>
        <v>490515.5</v>
      </c>
      <c r="AA44" s="72">
        <f t="shared" si="67"/>
        <v>38.75</v>
      </c>
      <c r="AB44" s="24"/>
      <c r="AC44" s="21" t="s">
        <v>59</v>
      </c>
      <c r="AD44" s="22">
        <f t="shared" si="68"/>
        <v>2.9550000000000002E-3</v>
      </c>
      <c r="AE44" s="72">
        <f t="shared" si="69"/>
        <v>99111.5</v>
      </c>
      <c r="AF44" s="72">
        <f t="shared" si="70"/>
        <v>494870</v>
      </c>
      <c r="AG44" s="72">
        <f t="shared" si="71"/>
        <v>46.099999999999994</v>
      </c>
    </row>
    <row r="45" spans="1:33" ht="12" customHeight="1">
      <c r="A45" s="21" t="s">
        <v>58</v>
      </c>
      <c r="B45" s="286">
        <f t="shared" si="48"/>
        <v>2.1989999999999999E-2</v>
      </c>
      <c r="C45" s="307">
        <f t="shared" si="49"/>
        <v>95307</v>
      </c>
      <c r="D45" s="307">
        <f t="shared" si="50"/>
        <v>471564.5</v>
      </c>
      <c r="E45" s="307">
        <f t="shared" si="51"/>
        <v>30.4</v>
      </c>
      <c r="F45" s="24"/>
      <c r="G45" s="21" t="s">
        <v>58</v>
      </c>
      <c r="H45" s="22">
        <f t="shared" si="52"/>
        <v>8.7299999999999999E-3</v>
      </c>
      <c r="I45" s="72">
        <f t="shared" si="53"/>
        <v>97587</v>
      </c>
      <c r="J45" s="72">
        <f t="shared" si="54"/>
        <v>485911.5</v>
      </c>
      <c r="K45" s="72">
        <f t="shared" si="55"/>
        <v>38.549999999999997</v>
      </c>
      <c r="L45" s="21" t="s">
        <v>58</v>
      </c>
      <c r="M45" s="22">
        <f t="shared" si="56"/>
        <v>1.5745000000000002E-2</v>
      </c>
      <c r="N45" s="72">
        <f t="shared" si="57"/>
        <v>96718</v>
      </c>
      <c r="O45" s="72">
        <f t="shared" si="58"/>
        <v>479978.5</v>
      </c>
      <c r="P45" s="72">
        <f t="shared" si="59"/>
        <v>32.349999999999994</v>
      </c>
      <c r="Q45" s="24"/>
      <c r="R45" s="21" t="s">
        <v>58</v>
      </c>
      <c r="S45" s="22">
        <f t="shared" si="60"/>
        <v>6.2000000000000006E-3</v>
      </c>
      <c r="T45" s="72">
        <f t="shared" si="61"/>
        <v>98331.5</v>
      </c>
      <c r="U45" s="72">
        <f t="shared" si="62"/>
        <v>490207.5</v>
      </c>
      <c r="V45" s="72">
        <f t="shared" si="63"/>
        <v>39.950000000000003</v>
      </c>
      <c r="W45" s="21" t="s">
        <v>58</v>
      </c>
      <c r="X45" s="22">
        <f t="shared" si="64"/>
        <v>1.1304999999999999E-2</v>
      </c>
      <c r="Y45" s="72">
        <f t="shared" si="65"/>
        <v>97681</v>
      </c>
      <c r="Z45" s="72">
        <f t="shared" si="66"/>
        <v>485784</v>
      </c>
      <c r="AA45" s="72">
        <f t="shared" si="67"/>
        <v>34.1</v>
      </c>
      <c r="AB45" s="24"/>
      <c r="AC45" s="21" t="s">
        <v>58</v>
      </c>
      <c r="AD45" s="22">
        <f t="shared" si="68"/>
        <v>4.4650000000000002E-3</v>
      </c>
      <c r="AE45" s="72">
        <f t="shared" si="69"/>
        <v>98818.5</v>
      </c>
      <c r="AF45" s="72">
        <f t="shared" si="70"/>
        <v>493043</v>
      </c>
      <c r="AG45" s="72">
        <f t="shared" si="71"/>
        <v>41.2</v>
      </c>
    </row>
    <row r="46" spans="1:33" ht="12" customHeight="1">
      <c r="A46" s="21" t="s">
        <v>57</v>
      </c>
      <c r="B46" s="286">
        <f t="shared" si="48"/>
        <v>3.2960000000000003E-2</v>
      </c>
      <c r="C46" s="307">
        <f t="shared" si="49"/>
        <v>93212</v>
      </c>
      <c r="D46" s="307">
        <f t="shared" si="50"/>
        <v>458883</v>
      </c>
      <c r="E46" s="307">
        <f t="shared" si="51"/>
        <v>26</v>
      </c>
      <c r="F46" s="24"/>
      <c r="G46" s="21" t="s">
        <v>57</v>
      </c>
      <c r="H46" s="22">
        <f t="shared" si="52"/>
        <v>1.0880000000000001E-2</v>
      </c>
      <c r="I46" s="72">
        <f t="shared" si="53"/>
        <v>96735</v>
      </c>
      <c r="J46" s="72">
        <f t="shared" si="54"/>
        <v>481140.5</v>
      </c>
      <c r="K46" s="72">
        <f t="shared" si="55"/>
        <v>33.85</v>
      </c>
      <c r="L46" s="21" t="s">
        <v>57</v>
      </c>
      <c r="M46" s="22">
        <f t="shared" si="56"/>
        <v>2.3600000000000003E-2</v>
      </c>
      <c r="N46" s="72">
        <f t="shared" si="57"/>
        <v>95196.5</v>
      </c>
      <c r="O46" s="72">
        <f t="shared" si="58"/>
        <v>470739.5</v>
      </c>
      <c r="P46" s="72">
        <f t="shared" si="59"/>
        <v>27.85</v>
      </c>
      <c r="Q46" s="24"/>
      <c r="R46" s="21" t="s">
        <v>57</v>
      </c>
      <c r="S46" s="22">
        <f t="shared" si="60"/>
        <v>7.7250000000000001E-3</v>
      </c>
      <c r="T46" s="72">
        <f t="shared" si="61"/>
        <v>97722</v>
      </c>
      <c r="U46" s="72">
        <f t="shared" si="62"/>
        <v>486790.5</v>
      </c>
      <c r="V46" s="72">
        <f t="shared" si="63"/>
        <v>35.25</v>
      </c>
      <c r="W46" s="21" t="s">
        <v>57</v>
      </c>
      <c r="X46" s="22">
        <f t="shared" si="64"/>
        <v>1.695E-2</v>
      </c>
      <c r="Y46" s="72">
        <f t="shared" si="65"/>
        <v>96577</v>
      </c>
      <c r="Z46" s="72">
        <f t="shared" si="66"/>
        <v>479070</v>
      </c>
      <c r="AA46" s="72">
        <f t="shared" si="67"/>
        <v>29.4</v>
      </c>
      <c r="AB46" s="24"/>
      <c r="AC46" s="21" t="s">
        <v>57</v>
      </c>
      <c r="AD46" s="22">
        <f t="shared" si="68"/>
        <v>5.555E-3</v>
      </c>
      <c r="AE46" s="72">
        <f t="shared" si="69"/>
        <v>98377.5</v>
      </c>
      <c r="AF46" s="72">
        <f t="shared" si="70"/>
        <v>490570.5</v>
      </c>
      <c r="AG46" s="72">
        <f t="shared" si="71"/>
        <v>36.35</v>
      </c>
    </row>
    <row r="47" spans="1:33" ht="12" customHeight="1">
      <c r="A47" s="21" t="s">
        <v>56</v>
      </c>
      <c r="B47" s="286">
        <f t="shared" si="48"/>
        <v>4.7664999999999999E-2</v>
      </c>
      <c r="C47" s="307">
        <f t="shared" si="49"/>
        <v>90141</v>
      </c>
      <c r="D47" s="307">
        <f t="shared" si="50"/>
        <v>440394.5</v>
      </c>
      <c r="E47" s="307">
        <f t="shared" si="51"/>
        <v>21.799999999999997</v>
      </c>
      <c r="F47" s="24"/>
      <c r="G47" s="21" t="s">
        <v>56</v>
      </c>
      <c r="H47" s="22">
        <f t="shared" si="52"/>
        <v>1.5730000000000001E-2</v>
      </c>
      <c r="I47" s="72">
        <f t="shared" si="53"/>
        <v>95683</v>
      </c>
      <c r="J47" s="72">
        <f t="shared" si="54"/>
        <v>474915.5</v>
      </c>
      <c r="K47" s="72">
        <f t="shared" si="55"/>
        <v>29.2</v>
      </c>
      <c r="L47" s="21" t="s">
        <v>56</v>
      </c>
      <c r="M47" s="22">
        <f t="shared" si="56"/>
        <v>3.4314999999999998E-2</v>
      </c>
      <c r="N47" s="72">
        <f t="shared" si="57"/>
        <v>92950</v>
      </c>
      <c r="O47" s="72">
        <f t="shared" si="58"/>
        <v>457127</v>
      </c>
      <c r="P47" s="72">
        <f t="shared" si="59"/>
        <v>23.4</v>
      </c>
      <c r="Q47" s="24"/>
      <c r="R47" s="21" t="s">
        <v>56</v>
      </c>
      <c r="S47" s="22">
        <f t="shared" si="60"/>
        <v>1.1214999999999999E-2</v>
      </c>
      <c r="T47" s="72">
        <f t="shared" si="61"/>
        <v>96967</v>
      </c>
      <c r="U47" s="72">
        <f t="shared" si="62"/>
        <v>482313.5</v>
      </c>
      <c r="V47" s="72">
        <f t="shared" si="63"/>
        <v>30.5</v>
      </c>
      <c r="W47" s="21" t="s">
        <v>56</v>
      </c>
      <c r="X47" s="22">
        <f t="shared" si="64"/>
        <v>2.477E-2</v>
      </c>
      <c r="Y47" s="72">
        <f t="shared" si="65"/>
        <v>94940.5</v>
      </c>
      <c r="Z47" s="72">
        <f t="shared" si="66"/>
        <v>469100</v>
      </c>
      <c r="AA47" s="72">
        <f t="shared" si="67"/>
        <v>24.85</v>
      </c>
      <c r="AB47" s="24"/>
      <c r="AC47" s="21" t="s">
        <v>56</v>
      </c>
      <c r="AD47" s="22">
        <f t="shared" si="68"/>
        <v>8.1050000000000011E-3</v>
      </c>
      <c r="AE47" s="72">
        <f t="shared" si="69"/>
        <v>97831</v>
      </c>
      <c r="AF47" s="72">
        <f t="shared" si="70"/>
        <v>487319.5</v>
      </c>
      <c r="AG47" s="72">
        <f t="shared" si="71"/>
        <v>31.55</v>
      </c>
    </row>
    <row r="48" spans="1:33" ht="12" customHeight="1">
      <c r="A48" s="21" t="s">
        <v>55</v>
      </c>
      <c r="B48" s="286">
        <f t="shared" si="48"/>
        <v>6.6549999999999998E-2</v>
      </c>
      <c r="C48" s="307">
        <f t="shared" si="49"/>
        <v>85848</v>
      </c>
      <c r="D48" s="307">
        <f t="shared" si="50"/>
        <v>415913.5</v>
      </c>
      <c r="E48" s="307">
        <f t="shared" si="51"/>
        <v>17.75</v>
      </c>
      <c r="F48" s="24"/>
      <c r="G48" s="21" t="s">
        <v>55</v>
      </c>
      <c r="H48" s="22">
        <f t="shared" si="52"/>
        <v>2.5599999999999998E-2</v>
      </c>
      <c r="I48" s="72">
        <f t="shared" si="53"/>
        <v>94178</v>
      </c>
      <c r="J48" s="72">
        <f t="shared" si="54"/>
        <v>465359.5</v>
      </c>
      <c r="K48" s="72">
        <f t="shared" si="55"/>
        <v>24.6</v>
      </c>
      <c r="L48" s="21" t="s">
        <v>55</v>
      </c>
      <c r="M48" s="22">
        <f t="shared" si="56"/>
        <v>4.9405000000000004E-2</v>
      </c>
      <c r="N48" s="72">
        <f t="shared" si="57"/>
        <v>89762</v>
      </c>
      <c r="O48" s="72">
        <f t="shared" si="58"/>
        <v>438575</v>
      </c>
      <c r="P48" s="72">
        <f t="shared" si="59"/>
        <v>19.149999999999999</v>
      </c>
      <c r="Q48" s="24"/>
      <c r="R48" s="21" t="s">
        <v>55</v>
      </c>
      <c r="S48" s="22">
        <f t="shared" si="60"/>
        <v>1.8825000000000001E-2</v>
      </c>
      <c r="T48" s="72">
        <f t="shared" si="61"/>
        <v>95879.5</v>
      </c>
      <c r="U48" s="72">
        <f t="shared" si="62"/>
        <v>475294.5</v>
      </c>
      <c r="V48" s="72">
        <f t="shared" si="63"/>
        <v>25.8</v>
      </c>
      <c r="W48" s="21" t="s">
        <v>55</v>
      </c>
      <c r="X48" s="22">
        <f t="shared" si="64"/>
        <v>3.6754999999999996E-2</v>
      </c>
      <c r="Y48" s="72">
        <f t="shared" si="65"/>
        <v>92589.5</v>
      </c>
      <c r="Z48" s="72">
        <f t="shared" si="66"/>
        <v>455167</v>
      </c>
      <c r="AA48" s="72">
        <f t="shared" si="67"/>
        <v>20.450000000000003</v>
      </c>
      <c r="AB48" s="24"/>
      <c r="AC48" s="21" t="s">
        <v>55</v>
      </c>
      <c r="AD48" s="22">
        <f t="shared" si="68"/>
        <v>1.4005E-2</v>
      </c>
      <c r="AE48" s="72">
        <f t="shared" si="69"/>
        <v>97038</v>
      </c>
      <c r="AF48" s="72">
        <f t="shared" si="70"/>
        <v>482125</v>
      </c>
      <c r="AG48" s="72">
        <f t="shared" si="71"/>
        <v>26.75</v>
      </c>
    </row>
    <row r="49" spans="1:33" ht="12" customHeight="1">
      <c r="A49" s="21" t="s">
        <v>54</v>
      </c>
      <c r="B49" s="286">
        <f t="shared" si="48"/>
        <v>0.122055</v>
      </c>
      <c r="C49" s="307">
        <f t="shared" si="49"/>
        <v>80140.5</v>
      </c>
      <c r="D49" s="307">
        <f t="shared" si="50"/>
        <v>378416</v>
      </c>
      <c r="E49" s="307">
        <f t="shared" si="51"/>
        <v>13.8</v>
      </c>
      <c r="F49" s="24"/>
      <c r="G49" s="21" t="s">
        <v>54</v>
      </c>
      <c r="H49" s="22">
        <f t="shared" si="52"/>
        <v>4.6960000000000002E-2</v>
      </c>
      <c r="I49" s="72">
        <f t="shared" si="53"/>
        <v>91767.5</v>
      </c>
      <c r="J49" s="72">
        <f t="shared" si="54"/>
        <v>449153.5</v>
      </c>
      <c r="K49" s="72">
        <f t="shared" si="55"/>
        <v>20.149999999999999</v>
      </c>
      <c r="L49" s="21" t="s">
        <v>54</v>
      </c>
      <c r="M49" s="22">
        <f t="shared" si="56"/>
        <v>9.5340000000000008E-2</v>
      </c>
      <c r="N49" s="72">
        <f t="shared" si="57"/>
        <v>85330.5</v>
      </c>
      <c r="O49" s="72">
        <f t="shared" si="58"/>
        <v>408337.5</v>
      </c>
      <c r="P49" s="72">
        <f t="shared" si="59"/>
        <v>15</v>
      </c>
      <c r="Q49" s="24"/>
      <c r="R49" s="21" t="s">
        <v>54</v>
      </c>
      <c r="S49" s="22">
        <f t="shared" si="60"/>
        <v>3.6235000000000003E-2</v>
      </c>
      <c r="T49" s="72">
        <f t="shared" si="61"/>
        <v>94075.5</v>
      </c>
      <c r="U49" s="72">
        <f t="shared" si="62"/>
        <v>462786.5</v>
      </c>
      <c r="V49" s="72">
        <f t="shared" si="63"/>
        <v>21.25</v>
      </c>
      <c r="W49" s="21" t="s">
        <v>54</v>
      </c>
      <c r="X49" s="22">
        <f t="shared" si="64"/>
        <v>7.4529999999999999E-2</v>
      </c>
      <c r="Y49" s="72">
        <f t="shared" si="65"/>
        <v>89188.5</v>
      </c>
      <c r="Z49" s="72">
        <f t="shared" si="66"/>
        <v>431134</v>
      </c>
      <c r="AA49" s="72">
        <f t="shared" si="67"/>
        <v>16.149999999999999</v>
      </c>
      <c r="AB49" s="24"/>
      <c r="AC49" s="21" t="s">
        <v>54</v>
      </c>
      <c r="AD49" s="22">
        <f t="shared" si="68"/>
        <v>2.8250000000000001E-2</v>
      </c>
      <c r="AE49" s="72">
        <f t="shared" si="69"/>
        <v>95679.5</v>
      </c>
      <c r="AF49" s="72">
        <f t="shared" si="70"/>
        <v>472428</v>
      </c>
      <c r="AG49" s="72">
        <f t="shared" si="71"/>
        <v>22.1</v>
      </c>
    </row>
    <row r="50" spans="1:33" ht="12" customHeight="1">
      <c r="A50" s="21" t="s">
        <v>53</v>
      </c>
      <c r="B50" s="286">
        <f t="shared" si="48"/>
        <v>0.21271499999999999</v>
      </c>
      <c r="C50" s="307">
        <f t="shared" si="49"/>
        <v>70369.5</v>
      </c>
      <c r="D50" s="307">
        <f t="shared" si="50"/>
        <v>316691</v>
      </c>
      <c r="E50" s="307">
        <f t="shared" si="51"/>
        <v>10.399999999999999</v>
      </c>
      <c r="F50" s="24"/>
      <c r="G50" s="21" t="s">
        <v>53</v>
      </c>
      <c r="H50" s="22">
        <f t="shared" si="52"/>
        <v>8.6435000000000012E-2</v>
      </c>
      <c r="I50" s="72">
        <f t="shared" si="53"/>
        <v>87460.5</v>
      </c>
      <c r="J50" s="72">
        <f t="shared" si="54"/>
        <v>420008.5</v>
      </c>
      <c r="K50" s="72">
        <f t="shared" si="55"/>
        <v>16.05</v>
      </c>
      <c r="L50" s="21" t="s">
        <v>53</v>
      </c>
      <c r="M50" s="22">
        <f t="shared" si="56"/>
        <v>0.17488000000000001</v>
      </c>
      <c r="N50" s="72">
        <f t="shared" si="57"/>
        <v>77202</v>
      </c>
      <c r="O50" s="72">
        <f t="shared" si="58"/>
        <v>354780</v>
      </c>
      <c r="P50" s="72">
        <f t="shared" si="59"/>
        <v>11.3</v>
      </c>
      <c r="Q50" s="24"/>
      <c r="R50" s="21" t="s">
        <v>53</v>
      </c>
      <c r="S50" s="22">
        <f t="shared" si="60"/>
        <v>6.9984999999999992E-2</v>
      </c>
      <c r="T50" s="72">
        <f t="shared" si="61"/>
        <v>90668</v>
      </c>
      <c r="U50" s="72">
        <f t="shared" si="62"/>
        <v>438984</v>
      </c>
      <c r="V50" s="72">
        <f t="shared" si="63"/>
        <v>16.899999999999999</v>
      </c>
      <c r="W50" s="21" t="s">
        <v>53</v>
      </c>
      <c r="X50" s="22">
        <f t="shared" si="64"/>
        <v>0.14367000000000002</v>
      </c>
      <c r="Y50" s="72">
        <f t="shared" si="65"/>
        <v>82545</v>
      </c>
      <c r="Z50" s="72">
        <f t="shared" si="66"/>
        <v>385664.5</v>
      </c>
      <c r="AA50" s="72">
        <f t="shared" si="67"/>
        <v>12.2</v>
      </c>
      <c r="AB50" s="24"/>
      <c r="AC50" s="21" t="s">
        <v>53</v>
      </c>
      <c r="AD50" s="22">
        <f t="shared" si="68"/>
        <v>5.713E-2</v>
      </c>
      <c r="AE50" s="72">
        <f t="shared" si="69"/>
        <v>92977</v>
      </c>
      <c r="AF50" s="72">
        <f t="shared" si="70"/>
        <v>452988</v>
      </c>
      <c r="AG50" s="72">
        <f t="shared" si="71"/>
        <v>17.7</v>
      </c>
    </row>
    <row r="51" spans="1:33" ht="12" customHeight="1">
      <c r="A51" s="21" t="s">
        <v>52</v>
      </c>
      <c r="B51" s="286">
        <f t="shared" si="48"/>
        <v>0.35467499999999996</v>
      </c>
      <c r="C51" s="307">
        <f t="shared" si="49"/>
        <v>55419.5</v>
      </c>
      <c r="D51" s="307">
        <f t="shared" si="50"/>
        <v>229303</v>
      </c>
      <c r="E51" s="307">
        <f t="shared" si="51"/>
        <v>7.4499999999999993</v>
      </c>
      <c r="F51" s="24"/>
      <c r="G51" s="21" t="s">
        <v>52</v>
      </c>
      <c r="H51" s="22">
        <f t="shared" si="52"/>
        <v>0.15459000000000001</v>
      </c>
      <c r="I51" s="72">
        <f t="shared" si="53"/>
        <v>79904.5</v>
      </c>
      <c r="J51" s="72">
        <f t="shared" si="54"/>
        <v>370867</v>
      </c>
      <c r="K51" s="72">
        <f t="shared" si="55"/>
        <v>12.35</v>
      </c>
      <c r="L51" s="21" t="s">
        <v>52</v>
      </c>
      <c r="M51" s="22">
        <f t="shared" si="56"/>
        <v>0.307805</v>
      </c>
      <c r="N51" s="72">
        <f t="shared" si="57"/>
        <v>63714.5</v>
      </c>
      <c r="O51" s="72">
        <f t="shared" si="58"/>
        <v>271756.5</v>
      </c>
      <c r="P51" s="72">
        <f t="shared" si="59"/>
        <v>8.15</v>
      </c>
      <c r="Q51" s="24"/>
      <c r="R51" s="21" t="s">
        <v>52</v>
      </c>
      <c r="S51" s="22">
        <f t="shared" si="60"/>
        <v>0.131635</v>
      </c>
      <c r="T51" s="72">
        <f t="shared" si="61"/>
        <v>84325.5</v>
      </c>
      <c r="U51" s="72">
        <f t="shared" si="62"/>
        <v>396194.5</v>
      </c>
      <c r="V51" s="72">
        <f t="shared" si="63"/>
        <v>13</v>
      </c>
      <c r="W51" s="21" t="s">
        <v>52</v>
      </c>
      <c r="X51" s="22">
        <f t="shared" si="64"/>
        <v>0.26660499999999998</v>
      </c>
      <c r="Y51" s="72">
        <f t="shared" si="65"/>
        <v>70694.5</v>
      </c>
      <c r="Z51" s="72">
        <f t="shared" si="66"/>
        <v>309221</v>
      </c>
      <c r="AA51" s="72">
        <f t="shared" si="67"/>
        <v>8.75</v>
      </c>
      <c r="AB51" s="24"/>
      <c r="AC51" s="21" t="s">
        <v>52</v>
      </c>
      <c r="AD51" s="22">
        <f t="shared" si="68"/>
        <v>0.11278000000000001</v>
      </c>
      <c r="AE51" s="72">
        <f t="shared" si="69"/>
        <v>87666.5</v>
      </c>
      <c r="AF51" s="72">
        <f t="shared" si="70"/>
        <v>415932.5</v>
      </c>
      <c r="AG51" s="72">
        <f t="shared" si="71"/>
        <v>13.55</v>
      </c>
    </row>
    <row r="52" spans="1:33" ht="12" customHeight="1">
      <c r="A52" s="21" t="s">
        <v>204</v>
      </c>
      <c r="B52" s="286">
        <f t="shared" si="48"/>
        <v>0.54566499999999996</v>
      </c>
      <c r="C52" s="307">
        <f t="shared" si="49"/>
        <v>35790.5</v>
      </c>
      <c r="D52" s="307">
        <f t="shared" si="50"/>
        <v>128614</v>
      </c>
      <c r="E52" s="307">
        <f t="shared" si="51"/>
        <v>5.1999999999999993</v>
      </c>
      <c r="F52" s="24"/>
      <c r="G52" s="21" t="s">
        <v>204</v>
      </c>
      <c r="H52" s="22">
        <f t="shared" si="52"/>
        <v>0.26638000000000001</v>
      </c>
      <c r="I52" s="72">
        <f t="shared" si="53"/>
        <v>67559</v>
      </c>
      <c r="J52" s="72">
        <f t="shared" si="54"/>
        <v>294970</v>
      </c>
      <c r="K52" s="72">
        <f t="shared" si="55"/>
        <v>9.1</v>
      </c>
      <c r="L52" s="21" t="s">
        <v>204</v>
      </c>
      <c r="M52" s="22">
        <f t="shared" si="56"/>
        <v>0.49922</v>
      </c>
      <c r="N52" s="72">
        <f t="shared" si="57"/>
        <v>44124.5</v>
      </c>
      <c r="O52" s="72">
        <f t="shared" si="58"/>
        <v>165036</v>
      </c>
      <c r="P52" s="72">
        <f t="shared" si="59"/>
        <v>5.6</v>
      </c>
      <c r="Q52" s="24"/>
      <c r="R52" s="21" t="s">
        <v>204</v>
      </c>
      <c r="S52" s="22">
        <f t="shared" si="60"/>
        <v>0.23841000000000001</v>
      </c>
      <c r="T52" s="72">
        <f t="shared" si="61"/>
        <v>73231</v>
      </c>
      <c r="U52" s="72">
        <f t="shared" si="62"/>
        <v>325170.5</v>
      </c>
      <c r="V52" s="72">
        <f t="shared" si="63"/>
        <v>9.5500000000000007</v>
      </c>
      <c r="W52" s="21" t="s">
        <v>204</v>
      </c>
      <c r="X52" s="22">
        <f t="shared" si="64"/>
        <v>0.45557999999999998</v>
      </c>
      <c r="Y52" s="72">
        <f t="shared" si="65"/>
        <v>51862.5</v>
      </c>
      <c r="Z52" s="72">
        <f t="shared" si="66"/>
        <v>200832</v>
      </c>
      <c r="AA52" s="72">
        <f t="shared" si="67"/>
        <v>6</v>
      </c>
      <c r="AB52" s="24"/>
      <c r="AC52" s="21" t="s">
        <v>204</v>
      </c>
      <c r="AD52" s="22">
        <f t="shared" si="68"/>
        <v>0.21426000000000001</v>
      </c>
      <c r="AE52" s="72">
        <f t="shared" si="69"/>
        <v>77783</v>
      </c>
      <c r="AF52" s="72">
        <f t="shared" si="70"/>
        <v>350267</v>
      </c>
      <c r="AG52" s="72">
        <f t="shared" si="71"/>
        <v>10</v>
      </c>
    </row>
    <row r="53" spans="1:33" ht="12" customHeight="1">
      <c r="A53" s="21" t="s">
        <v>203</v>
      </c>
      <c r="B53" s="286">
        <f t="shared" si="48"/>
        <v>0.74920500000000001</v>
      </c>
      <c r="C53" s="307">
        <f t="shared" si="49"/>
        <v>16285.5</v>
      </c>
      <c r="D53" s="307">
        <f t="shared" si="50"/>
        <v>47054.5</v>
      </c>
      <c r="E53" s="307">
        <f t="shared" si="51"/>
        <v>3.45</v>
      </c>
      <c r="F53" s="24"/>
      <c r="G53" s="21" t="s">
        <v>203</v>
      </c>
      <c r="H53" s="22">
        <f t="shared" si="52"/>
        <v>0.43112499999999998</v>
      </c>
      <c r="I53" s="72">
        <f t="shared" si="53"/>
        <v>49572.5</v>
      </c>
      <c r="J53" s="72">
        <f t="shared" si="54"/>
        <v>194721</v>
      </c>
      <c r="K53" s="72">
        <f t="shared" si="55"/>
        <v>6.4</v>
      </c>
      <c r="L53" s="21" t="s">
        <v>203</v>
      </c>
      <c r="M53" s="22">
        <f t="shared" si="56"/>
        <v>0.71694999999999998</v>
      </c>
      <c r="N53" s="72">
        <f t="shared" si="57"/>
        <v>22120.5</v>
      </c>
      <c r="O53" s="72">
        <f t="shared" si="58"/>
        <v>66880</v>
      </c>
      <c r="P53" s="72">
        <f t="shared" si="59"/>
        <v>3.7</v>
      </c>
      <c r="Q53" s="24"/>
      <c r="R53" s="21" t="s">
        <v>203</v>
      </c>
      <c r="S53" s="22">
        <f t="shared" si="60"/>
        <v>0.40383000000000002</v>
      </c>
      <c r="T53" s="72">
        <f t="shared" si="61"/>
        <v>55782</v>
      </c>
      <c r="U53" s="72">
        <f t="shared" si="62"/>
        <v>223676.5</v>
      </c>
      <c r="V53" s="72">
        <f t="shared" si="63"/>
        <v>6.6999999999999993</v>
      </c>
      <c r="W53" s="21" t="s">
        <v>203</v>
      </c>
      <c r="X53" s="22">
        <f t="shared" si="64"/>
        <v>0.68469500000000005</v>
      </c>
      <c r="Y53" s="72">
        <f t="shared" si="65"/>
        <v>28254.5</v>
      </c>
      <c r="Z53" s="72">
        <f t="shared" si="66"/>
        <v>89009.5</v>
      </c>
      <c r="AA53" s="72">
        <f t="shared" si="67"/>
        <v>3.95</v>
      </c>
      <c r="AB53" s="24"/>
      <c r="AC53" s="21" t="s">
        <v>203</v>
      </c>
      <c r="AD53" s="22">
        <f t="shared" si="68"/>
        <v>0.37920999999999999</v>
      </c>
      <c r="AE53" s="72">
        <f t="shared" si="69"/>
        <v>61123</v>
      </c>
      <c r="AF53" s="72">
        <f t="shared" si="70"/>
        <v>249499</v>
      </c>
      <c r="AG53" s="72">
        <f t="shared" si="71"/>
        <v>6.95</v>
      </c>
    </row>
    <row r="54" spans="1:33" ht="12" customHeight="1">
      <c r="A54" s="21" t="s">
        <v>87</v>
      </c>
      <c r="B54" s="286">
        <f t="shared" si="48"/>
        <v>0.90279500000000001</v>
      </c>
      <c r="C54" s="307">
        <f t="shared" si="49"/>
        <v>4095</v>
      </c>
      <c r="D54" s="307">
        <f t="shared" si="50"/>
        <v>8776.5</v>
      </c>
      <c r="E54" s="307">
        <f t="shared" si="51"/>
        <v>2.2999999999999998</v>
      </c>
      <c r="F54" s="24"/>
      <c r="G54" s="21" t="s">
        <v>87</v>
      </c>
      <c r="H54" s="22">
        <f t="shared" si="52"/>
        <v>0.634185</v>
      </c>
      <c r="I54" s="72">
        <f t="shared" si="53"/>
        <v>28210.5</v>
      </c>
      <c r="J54" s="72">
        <f t="shared" si="54"/>
        <v>93298</v>
      </c>
      <c r="K54" s="72">
        <f t="shared" si="55"/>
        <v>4.3499999999999996</v>
      </c>
      <c r="L54" s="21" t="s">
        <v>87</v>
      </c>
      <c r="M54" s="22">
        <f t="shared" si="56"/>
        <v>0.890065</v>
      </c>
      <c r="N54" s="72">
        <f t="shared" si="57"/>
        <v>6274</v>
      </c>
      <c r="O54" s="72">
        <f t="shared" si="58"/>
        <v>13998.5</v>
      </c>
      <c r="P54" s="72">
        <f t="shared" si="59"/>
        <v>2.4</v>
      </c>
      <c r="Q54" s="24"/>
      <c r="R54" s="21" t="s">
        <v>87</v>
      </c>
      <c r="S54" s="22">
        <f t="shared" si="60"/>
        <v>0.61615500000000001</v>
      </c>
      <c r="T54" s="72">
        <f t="shared" si="61"/>
        <v>33266.5</v>
      </c>
      <c r="U54" s="72">
        <f t="shared" si="62"/>
        <v>112293.5</v>
      </c>
      <c r="V54" s="72">
        <f t="shared" si="63"/>
        <v>4.5</v>
      </c>
      <c r="W54" s="21" t="s">
        <v>87</v>
      </c>
      <c r="X54" s="22">
        <f t="shared" si="64"/>
        <v>0.87678500000000004</v>
      </c>
      <c r="Y54" s="72">
        <f t="shared" si="65"/>
        <v>8921.5</v>
      </c>
      <c r="Z54" s="72">
        <f t="shared" si="66"/>
        <v>20674.5</v>
      </c>
      <c r="AA54" s="72">
        <f t="shared" si="67"/>
        <v>2.5</v>
      </c>
      <c r="AB54" s="24"/>
      <c r="AC54" s="21" t="s">
        <v>87</v>
      </c>
      <c r="AD54" s="22">
        <f t="shared" si="68"/>
        <v>0.59945999999999999</v>
      </c>
      <c r="AE54" s="72">
        <f t="shared" si="69"/>
        <v>37952</v>
      </c>
      <c r="AF54" s="72">
        <f t="shared" si="70"/>
        <v>130454.5</v>
      </c>
      <c r="AG54" s="72">
        <f t="shared" si="71"/>
        <v>4.6500000000000004</v>
      </c>
    </row>
    <row r="55" spans="1:33" s="17" customFormat="1" ht="12" customHeight="1">
      <c r="A55" s="21" t="s">
        <v>51</v>
      </c>
      <c r="B55" s="286">
        <f t="shared" si="48"/>
        <v>1</v>
      </c>
      <c r="C55" s="307">
        <f t="shared" si="49"/>
        <v>399.5</v>
      </c>
      <c r="D55" s="307">
        <f t="shared" si="50"/>
        <v>615</v>
      </c>
      <c r="E55" s="307">
        <f t="shared" si="51"/>
        <v>1.5</v>
      </c>
      <c r="F55" s="16"/>
      <c r="G55" s="21" t="s">
        <v>51</v>
      </c>
      <c r="H55" s="22">
        <f t="shared" si="52"/>
        <v>1</v>
      </c>
      <c r="I55" s="72">
        <f t="shared" si="53"/>
        <v>10324.5</v>
      </c>
      <c r="J55" s="72">
        <f t="shared" si="54"/>
        <v>30088</v>
      </c>
      <c r="K55" s="72">
        <f t="shared" si="55"/>
        <v>2.9</v>
      </c>
      <c r="L55" s="21" t="s">
        <v>51</v>
      </c>
      <c r="M55" s="22">
        <f t="shared" si="56"/>
        <v>1</v>
      </c>
      <c r="N55" s="72">
        <f t="shared" si="57"/>
        <v>691.5</v>
      </c>
      <c r="O55" s="72">
        <f t="shared" si="58"/>
        <v>1090</v>
      </c>
      <c r="P55" s="72">
        <f t="shared" si="59"/>
        <v>1.6</v>
      </c>
      <c r="Q55" s="16"/>
      <c r="R55" s="21" t="s">
        <v>51</v>
      </c>
      <c r="S55" s="22">
        <f t="shared" si="60"/>
        <v>1</v>
      </c>
      <c r="T55" s="72">
        <f t="shared" si="61"/>
        <v>12775.5</v>
      </c>
      <c r="U55" s="72">
        <f t="shared" si="62"/>
        <v>37789</v>
      </c>
      <c r="V55" s="72">
        <f t="shared" si="63"/>
        <v>2.95</v>
      </c>
      <c r="W55" s="21" t="s">
        <v>51</v>
      </c>
      <c r="X55" s="22">
        <f t="shared" si="64"/>
        <v>1</v>
      </c>
      <c r="Y55" s="72">
        <f t="shared" si="65"/>
        <v>1101.5</v>
      </c>
      <c r="Z55" s="72">
        <f t="shared" si="66"/>
        <v>1776</v>
      </c>
      <c r="AA55" s="72">
        <f t="shared" si="67"/>
        <v>1.6</v>
      </c>
      <c r="AB55" s="16"/>
      <c r="AC55" s="21" t="s">
        <v>51</v>
      </c>
      <c r="AD55" s="22">
        <f t="shared" si="68"/>
        <v>1</v>
      </c>
      <c r="AE55" s="72">
        <f t="shared" si="69"/>
        <v>15206</v>
      </c>
      <c r="AF55" s="72">
        <f t="shared" si="70"/>
        <v>45565</v>
      </c>
      <c r="AG55" s="72">
        <f t="shared" si="71"/>
        <v>3</v>
      </c>
    </row>
    <row r="56" spans="1:33" s="17" customFormat="1" ht="6.95" customHeight="1" thickBot="1">
      <c r="A56" s="26"/>
      <c r="B56" s="27"/>
      <c r="C56" s="28"/>
      <c r="D56" s="28"/>
      <c r="E56" s="27"/>
      <c r="F56" s="16"/>
      <c r="G56" s="26"/>
      <c r="H56" s="27"/>
      <c r="I56" s="27"/>
      <c r="J56" s="27"/>
      <c r="K56" s="27"/>
      <c r="L56" s="26"/>
      <c r="M56" s="27"/>
      <c r="N56" s="28"/>
      <c r="O56" s="28"/>
      <c r="P56" s="27"/>
      <c r="Q56" s="16"/>
      <c r="R56" s="26"/>
      <c r="S56" s="27"/>
      <c r="T56" s="27"/>
      <c r="U56" s="27"/>
      <c r="V56" s="27"/>
      <c r="W56" s="26"/>
      <c r="X56" s="27"/>
      <c r="Y56" s="28"/>
      <c r="Z56" s="28"/>
      <c r="AA56" s="27"/>
      <c r="AB56" s="16"/>
      <c r="AC56" s="26"/>
      <c r="AD56" s="27"/>
      <c r="AE56" s="27"/>
      <c r="AF56" s="27"/>
      <c r="AG56" s="27"/>
    </row>
    <row r="58" spans="1:33" ht="13.5">
      <c r="A58" s="30"/>
    </row>
    <row r="68" spans="1:35" ht="16.5">
      <c r="A68" s="1144" t="s">
        <v>188</v>
      </c>
      <c r="B68" s="1144" t="s">
        <v>267</v>
      </c>
      <c r="C68" s="1144" t="s">
        <v>268</v>
      </c>
      <c r="D68" s="1146" t="s">
        <v>269</v>
      </c>
      <c r="E68" s="1146" t="s">
        <v>269</v>
      </c>
      <c r="F68" s="1146" t="s">
        <v>269</v>
      </c>
      <c r="G68" s="1146" t="s">
        <v>269</v>
      </c>
      <c r="H68" s="1146" t="s">
        <v>270</v>
      </c>
      <c r="I68" s="1146" t="s">
        <v>270</v>
      </c>
      <c r="J68" s="1146" t="s">
        <v>270</v>
      </c>
      <c r="K68" s="1146" t="s">
        <v>270</v>
      </c>
      <c r="L68" s="1146" t="s">
        <v>271</v>
      </c>
      <c r="M68" s="1146"/>
      <c r="N68" s="1146"/>
      <c r="O68" s="1146"/>
      <c r="P68" s="1146" t="s">
        <v>272</v>
      </c>
      <c r="Q68" s="1146" t="s">
        <v>272</v>
      </c>
      <c r="R68" s="1146" t="s">
        <v>272</v>
      </c>
      <c r="S68" s="1146" t="s">
        <v>272</v>
      </c>
      <c r="T68" s="1146" t="s">
        <v>273</v>
      </c>
      <c r="U68" s="1146" t="s">
        <v>273</v>
      </c>
      <c r="V68" s="1146" t="s">
        <v>273</v>
      </c>
      <c r="W68" s="1146" t="s">
        <v>273</v>
      </c>
      <c r="X68" s="1146" t="s">
        <v>274</v>
      </c>
      <c r="Y68" s="1146" t="s">
        <v>274</v>
      </c>
      <c r="Z68" s="1146" t="s">
        <v>274</v>
      </c>
      <c r="AA68" s="1146" t="s">
        <v>274</v>
      </c>
      <c r="AB68" s="1146" t="s">
        <v>275</v>
      </c>
      <c r="AC68" s="1146" t="s">
        <v>275</v>
      </c>
      <c r="AD68" s="1146" t="s">
        <v>275</v>
      </c>
      <c r="AE68" s="1146" t="s">
        <v>275</v>
      </c>
      <c r="AH68" s="343" t="s">
        <v>595</v>
      </c>
      <c r="AI68" s="343" t="s">
        <v>619</v>
      </c>
    </row>
    <row r="69" spans="1:35" ht="16.5">
      <c r="A69" s="1145" t="s">
        <v>188</v>
      </c>
      <c r="B69" s="1145" t="s">
        <v>267</v>
      </c>
      <c r="C69" s="1145" t="s">
        <v>268</v>
      </c>
      <c r="D69" s="278" t="s">
        <v>276</v>
      </c>
      <c r="E69" s="278" t="s">
        <v>277</v>
      </c>
      <c r="F69" s="278" t="s">
        <v>278</v>
      </c>
      <c r="G69" s="278" t="s">
        <v>279</v>
      </c>
      <c r="H69" s="278" t="s">
        <v>276</v>
      </c>
      <c r="I69" s="278" t="s">
        <v>277</v>
      </c>
      <c r="J69" s="278" t="s">
        <v>278</v>
      </c>
      <c r="K69" s="278" t="s">
        <v>279</v>
      </c>
      <c r="L69" s="278" t="s">
        <v>276</v>
      </c>
      <c r="M69" s="278" t="s">
        <v>277</v>
      </c>
      <c r="N69" s="278" t="s">
        <v>278</v>
      </c>
      <c r="O69" s="278" t="s">
        <v>279</v>
      </c>
      <c r="P69" s="278" t="s">
        <v>276</v>
      </c>
      <c r="Q69" s="278" t="s">
        <v>277</v>
      </c>
      <c r="R69" s="278" t="s">
        <v>278</v>
      </c>
      <c r="S69" s="278" t="s">
        <v>279</v>
      </c>
      <c r="T69" s="278" t="s">
        <v>276</v>
      </c>
      <c r="U69" s="278" t="s">
        <v>277</v>
      </c>
      <c r="V69" s="278" t="s">
        <v>278</v>
      </c>
      <c r="W69" s="278" t="s">
        <v>279</v>
      </c>
      <c r="X69" s="278" t="s">
        <v>276</v>
      </c>
      <c r="Y69" s="278" t="s">
        <v>277</v>
      </c>
      <c r="Z69" s="278" t="s">
        <v>278</v>
      </c>
      <c r="AA69" s="278" t="s">
        <v>279</v>
      </c>
      <c r="AB69" s="278" t="s">
        <v>276</v>
      </c>
      <c r="AC69" s="278" t="s">
        <v>277</v>
      </c>
      <c r="AD69" s="278" t="s">
        <v>278</v>
      </c>
      <c r="AE69" s="278" t="s">
        <v>279</v>
      </c>
      <c r="AH69" s="343" t="s">
        <v>597</v>
      </c>
      <c r="AI69" s="343" t="s">
        <v>620</v>
      </c>
    </row>
    <row r="70" spans="1:35" ht="16.5">
      <c r="A70" s="76" t="s">
        <v>95</v>
      </c>
      <c r="B70" s="76" t="s">
        <v>280</v>
      </c>
      <c r="C70" s="76" t="s">
        <v>281</v>
      </c>
      <c r="D70" s="359">
        <v>2.6800000000000001E-3</v>
      </c>
      <c r="E70" s="360">
        <v>100000</v>
      </c>
      <c r="F70" s="360">
        <v>99746</v>
      </c>
      <c r="G70" s="361">
        <v>83.4</v>
      </c>
      <c r="H70" s="359">
        <v>2.8999999999999998E-3</v>
      </c>
      <c r="I70" s="360">
        <v>100000</v>
      </c>
      <c r="J70" s="360">
        <v>99726</v>
      </c>
      <c r="K70" s="361">
        <v>82.4</v>
      </c>
      <c r="L70" s="359">
        <v>3.14E-3</v>
      </c>
      <c r="M70" s="360">
        <v>100000</v>
      </c>
      <c r="N70" s="360">
        <v>99703</v>
      </c>
      <c r="O70" s="361">
        <v>81.400000000000006</v>
      </c>
      <c r="P70" s="359">
        <v>3.3999999999999998E-3</v>
      </c>
      <c r="Q70" s="360">
        <v>100000</v>
      </c>
      <c r="R70" s="360">
        <v>99679</v>
      </c>
      <c r="S70" s="361">
        <v>80.2</v>
      </c>
      <c r="T70" s="359">
        <v>3.6800000000000001E-3</v>
      </c>
      <c r="U70" s="360">
        <v>100000</v>
      </c>
      <c r="V70" s="360">
        <v>99652</v>
      </c>
      <c r="W70" s="361">
        <v>78.900000000000006</v>
      </c>
      <c r="X70" s="359">
        <v>3.9899999999999996E-3</v>
      </c>
      <c r="Y70" s="360">
        <v>100000</v>
      </c>
      <c r="Z70" s="360">
        <v>99624</v>
      </c>
      <c r="AA70" s="361">
        <v>77.599999999999994</v>
      </c>
      <c r="AB70" s="359">
        <v>4.3200000000000001E-3</v>
      </c>
      <c r="AC70" s="360">
        <v>100000</v>
      </c>
      <c r="AD70" s="360">
        <v>99593</v>
      </c>
      <c r="AE70" s="361">
        <v>76.8</v>
      </c>
      <c r="AF70" s="362"/>
      <c r="AG70" s="362"/>
      <c r="AH70" s="363" t="s">
        <v>599</v>
      </c>
      <c r="AI70" s="343" t="s">
        <v>621</v>
      </c>
    </row>
    <row r="71" spans="1:35" ht="16.5">
      <c r="A71" s="74" t="s">
        <v>124</v>
      </c>
      <c r="B71" s="74" t="s">
        <v>124</v>
      </c>
      <c r="C71" s="76" t="s">
        <v>282</v>
      </c>
      <c r="D71" s="359">
        <v>1E-4</v>
      </c>
      <c r="E71" s="360">
        <v>99732</v>
      </c>
      <c r="F71" s="360">
        <v>398907</v>
      </c>
      <c r="G71" s="361">
        <v>82.6</v>
      </c>
      <c r="H71" s="359">
        <v>1.3999999999999999E-4</v>
      </c>
      <c r="I71" s="360">
        <v>99710</v>
      </c>
      <c r="J71" s="360">
        <v>398809</v>
      </c>
      <c r="K71" s="361">
        <v>81.7</v>
      </c>
      <c r="L71" s="359">
        <v>1.9000000000000001E-4</v>
      </c>
      <c r="M71" s="360">
        <v>99686</v>
      </c>
      <c r="N71" s="360">
        <v>398700</v>
      </c>
      <c r="O71" s="361">
        <v>80.599999999999994</v>
      </c>
      <c r="P71" s="359">
        <v>2.7E-4</v>
      </c>
      <c r="Q71" s="360">
        <v>99660</v>
      </c>
      <c r="R71" s="360">
        <v>398577</v>
      </c>
      <c r="S71" s="361">
        <v>79.5</v>
      </c>
      <c r="T71" s="359">
        <v>3.8999999999999999E-4</v>
      </c>
      <c r="U71" s="360">
        <v>99632</v>
      </c>
      <c r="V71" s="360">
        <v>398439</v>
      </c>
      <c r="W71" s="361">
        <v>78.2</v>
      </c>
      <c r="X71" s="359">
        <v>5.5000000000000003E-4</v>
      </c>
      <c r="Y71" s="360">
        <v>99601</v>
      </c>
      <c r="Z71" s="360">
        <v>398281</v>
      </c>
      <c r="AA71" s="361">
        <v>76.900000000000006</v>
      </c>
      <c r="AB71" s="359">
        <v>1.1199999999999999E-3</v>
      </c>
      <c r="AC71" s="360">
        <v>99568</v>
      </c>
      <c r="AD71" s="360">
        <v>398001</v>
      </c>
      <c r="AE71" s="361">
        <v>76.2</v>
      </c>
      <c r="AF71" s="362"/>
      <c r="AG71" s="362"/>
      <c r="AH71" s="363" t="s">
        <v>601</v>
      </c>
      <c r="AI71" s="343" t="s">
        <v>602</v>
      </c>
    </row>
    <row r="72" spans="1:35" ht="16.5">
      <c r="A72" s="74" t="s">
        <v>124</v>
      </c>
      <c r="B72" s="74" t="s">
        <v>124</v>
      </c>
      <c r="C72" s="76" t="s">
        <v>283</v>
      </c>
      <c r="D72" s="359">
        <v>9.0000000000000006E-5</v>
      </c>
      <c r="E72" s="360">
        <v>99723</v>
      </c>
      <c r="F72" s="360">
        <v>498592</v>
      </c>
      <c r="G72" s="361">
        <v>78.599999999999994</v>
      </c>
      <c r="H72" s="359">
        <v>1.2999999999999999E-4</v>
      </c>
      <c r="I72" s="360">
        <v>99697</v>
      </c>
      <c r="J72" s="360">
        <v>498452</v>
      </c>
      <c r="K72" s="361">
        <v>77.7</v>
      </c>
      <c r="L72" s="359">
        <v>1.8000000000000001E-4</v>
      </c>
      <c r="M72" s="360">
        <v>99667</v>
      </c>
      <c r="N72" s="360">
        <v>498291</v>
      </c>
      <c r="O72" s="361">
        <v>76.7</v>
      </c>
      <c r="P72" s="359">
        <v>2.5999999999999998E-4</v>
      </c>
      <c r="Q72" s="360">
        <v>99633</v>
      </c>
      <c r="R72" s="360">
        <v>498100</v>
      </c>
      <c r="S72" s="361">
        <v>75.5</v>
      </c>
      <c r="T72" s="359">
        <v>3.6999999999999999E-4</v>
      </c>
      <c r="U72" s="360">
        <v>99593</v>
      </c>
      <c r="V72" s="360">
        <v>497874</v>
      </c>
      <c r="W72" s="361">
        <v>74.3</v>
      </c>
      <c r="X72" s="359">
        <v>5.1999999999999995E-4</v>
      </c>
      <c r="Y72" s="360">
        <v>99547</v>
      </c>
      <c r="Z72" s="360">
        <v>497603</v>
      </c>
      <c r="AA72" s="361">
        <v>72.900000000000006</v>
      </c>
      <c r="AB72" s="359">
        <v>6.9999999999999999E-4</v>
      </c>
      <c r="AC72" s="360">
        <v>99457</v>
      </c>
      <c r="AD72" s="360">
        <v>497108</v>
      </c>
      <c r="AE72" s="361">
        <v>72.3</v>
      </c>
      <c r="AF72" s="362"/>
      <c r="AG72" s="362"/>
      <c r="AH72" s="363" t="s">
        <v>603</v>
      </c>
      <c r="AI72" s="343" t="s">
        <v>622</v>
      </c>
    </row>
    <row r="73" spans="1:35" ht="16.5">
      <c r="A73" s="74" t="s">
        <v>124</v>
      </c>
      <c r="B73" s="74" t="s">
        <v>124</v>
      </c>
      <c r="C73" s="76" t="s">
        <v>284</v>
      </c>
      <c r="D73" s="359">
        <v>1.6000000000000001E-4</v>
      </c>
      <c r="E73" s="360">
        <v>99714</v>
      </c>
      <c r="F73" s="360">
        <v>498539</v>
      </c>
      <c r="G73" s="361">
        <v>73.7</v>
      </c>
      <c r="H73" s="359">
        <v>2.2000000000000001E-4</v>
      </c>
      <c r="I73" s="360">
        <v>99684</v>
      </c>
      <c r="J73" s="360">
        <v>498378</v>
      </c>
      <c r="K73" s="361">
        <v>72.7</v>
      </c>
      <c r="L73" s="359">
        <v>2.9E-4</v>
      </c>
      <c r="M73" s="360">
        <v>99649</v>
      </c>
      <c r="N73" s="360">
        <v>498188</v>
      </c>
      <c r="O73" s="361">
        <v>71.7</v>
      </c>
      <c r="P73" s="359">
        <v>4.0999999999999999E-4</v>
      </c>
      <c r="Q73" s="360">
        <v>99607</v>
      </c>
      <c r="R73" s="360">
        <v>497955</v>
      </c>
      <c r="S73" s="361">
        <v>70.5</v>
      </c>
      <c r="T73" s="359">
        <v>5.5999999999999995E-4</v>
      </c>
      <c r="U73" s="360">
        <v>99557</v>
      </c>
      <c r="V73" s="360">
        <v>497670</v>
      </c>
      <c r="W73" s="361">
        <v>69.3</v>
      </c>
      <c r="X73" s="359">
        <v>7.6000000000000004E-4</v>
      </c>
      <c r="Y73" s="360">
        <v>99495</v>
      </c>
      <c r="Z73" s="360">
        <v>497318</v>
      </c>
      <c r="AA73" s="361">
        <v>68</v>
      </c>
      <c r="AB73" s="359">
        <v>1E-3</v>
      </c>
      <c r="AC73" s="360">
        <v>99387</v>
      </c>
      <c r="AD73" s="360">
        <v>496715</v>
      </c>
      <c r="AE73" s="361">
        <v>67.3</v>
      </c>
      <c r="AF73" s="362"/>
      <c r="AG73" s="362"/>
      <c r="AH73" s="363" t="s">
        <v>605</v>
      </c>
      <c r="AI73" s="343" t="s">
        <v>623</v>
      </c>
    </row>
    <row r="74" spans="1:35" ht="16.5">
      <c r="A74" s="74" t="s">
        <v>124</v>
      </c>
      <c r="B74" s="74" t="s">
        <v>124</v>
      </c>
      <c r="C74" s="76" t="s">
        <v>285</v>
      </c>
      <c r="D74" s="359">
        <v>5.9000000000000003E-4</v>
      </c>
      <c r="E74" s="360">
        <v>99698</v>
      </c>
      <c r="F74" s="360">
        <v>498358</v>
      </c>
      <c r="G74" s="361">
        <v>68.7</v>
      </c>
      <c r="H74" s="359">
        <v>7.6999999999999996E-4</v>
      </c>
      <c r="I74" s="360">
        <v>99662</v>
      </c>
      <c r="J74" s="360">
        <v>498139</v>
      </c>
      <c r="K74" s="361">
        <v>67.7</v>
      </c>
      <c r="L74" s="359">
        <v>1E-3</v>
      </c>
      <c r="M74" s="360">
        <v>99620</v>
      </c>
      <c r="N74" s="360">
        <v>497875</v>
      </c>
      <c r="O74" s="361">
        <v>66.7</v>
      </c>
      <c r="P74" s="359">
        <v>1.31E-3</v>
      </c>
      <c r="Q74" s="360">
        <v>99567</v>
      </c>
      <c r="R74" s="360">
        <v>497540</v>
      </c>
      <c r="S74" s="361">
        <v>65.5</v>
      </c>
      <c r="T74" s="359">
        <v>1.72E-3</v>
      </c>
      <c r="U74" s="360">
        <v>99501</v>
      </c>
      <c r="V74" s="360">
        <v>497120</v>
      </c>
      <c r="W74" s="361">
        <v>64.3</v>
      </c>
      <c r="X74" s="359">
        <v>2.2399999999999998E-3</v>
      </c>
      <c r="Y74" s="360">
        <v>99419</v>
      </c>
      <c r="Z74" s="360">
        <v>496594</v>
      </c>
      <c r="AA74" s="361">
        <v>63</v>
      </c>
      <c r="AB74" s="359">
        <v>2.31E-3</v>
      </c>
      <c r="AC74" s="360">
        <v>99287</v>
      </c>
      <c r="AD74" s="360">
        <v>495930</v>
      </c>
      <c r="AE74" s="361">
        <v>62.4</v>
      </c>
      <c r="AF74" s="362"/>
      <c r="AG74" s="362"/>
      <c r="AH74" s="363" t="s">
        <v>124</v>
      </c>
      <c r="AI74" s="343" t="s">
        <v>607</v>
      </c>
    </row>
    <row r="75" spans="1:35" ht="16.5">
      <c r="A75" s="74" t="s">
        <v>124</v>
      </c>
      <c r="B75" s="74" t="s">
        <v>124</v>
      </c>
      <c r="C75" s="76" t="s">
        <v>286</v>
      </c>
      <c r="D75" s="359">
        <v>7.6999999999999996E-4</v>
      </c>
      <c r="E75" s="360">
        <v>99640</v>
      </c>
      <c r="F75" s="360">
        <v>498018</v>
      </c>
      <c r="G75" s="361">
        <v>63.7</v>
      </c>
      <c r="H75" s="359">
        <v>9.7999999999999997E-4</v>
      </c>
      <c r="I75" s="360">
        <v>99586</v>
      </c>
      <c r="J75" s="360">
        <v>497699</v>
      </c>
      <c r="K75" s="361">
        <v>62.8</v>
      </c>
      <c r="L75" s="359">
        <v>1.24E-3</v>
      </c>
      <c r="M75" s="360">
        <v>99521</v>
      </c>
      <c r="N75" s="360">
        <v>497308</v>
      </c>
      <c r="O75" s="361">
        <v>61.8</v>
      </c>
      <c r="P75" s="359">
        <v>1.58E-3</v>
      </c>
      <c r="Q75" s="360">
        <v>99436</v>
      </c>
      <c r="R75" s="360">
        <v>496800</v>
      </c>
      <c r="S75" s="361">
        <v>60.6</v>
      </c>
      <c r="T75" s="359">
        <v>2.0200000000000001E-3</v>
      </c>
      <c r="U75" s="360">
        <v>99330</v>
      </c>
      <c r="V75" s="360">
        <v>496160</v>
      </c>
      <c r="W75" s="361">
        <v>59.4</v>
      </c>
      <c r="X75" s="359">
        <v>2.5699999999999998E-3</v>
      </c>
      <c r="Y75" s="360">
        <v>99197</v>
      </c>
      <c r="Z75" s="360">
        <v>495353</v>
      </c>
      <c r="AA75" s="361">
        <v>58.2</v>
      </c>
      <c r="AB75" s="359">
        <v>3.7299999999999998E-3</v>
      </c>
      <c r="AC75" s="360">
        <v>99058</v>
      </c>
      <c r="AD75" s="360">
        <v>494416</v>
      </c>
      <c r="AE75" s="361">
        <v>57.5</v>
      </c>
      <c r="AF75" s="362"/>
      <c r="AG75" s="362"/>
      <c r="AH75" s="363" t="s">
        <v>608</v>
      </c>
      <c r="AI75" s="252"/>
    </row>
    <row r="76" spans="1:35" ht="16.5">
      <c r="A76" s="74" t="s">
        <v>124</v>
      </c>
      <c r="B76" s="74" t="s">
        <v>124</v>
      </c>
      <c r="C76" s="76" t="s">
        <v>287</v>
      </c>
      <c r="D76" s="359">
        <v>1.2600000000000001E-3</v>
      </c>
      <c r="E76" s="360">
        <v>99563</v>
      </c>
      <c r="F76" s="360">
        <v>497526</v>
      </c>
      <c r="G76" s="361">
        <v>58.8</v>
      </c>
      <c r="H76" s="359">
        <v>1.56E-3</v>
      </c>
      <c r="I76" s="360">
        <v>99489</v>
      </c>
      <c r="J76" s="360">
        <v>497085</v>
      </c>
      <c r="K76" s="361">
        <v>57.8</v>
      </c>
      <c r="L76" s="359">
        <v>1.92E-3</v>
      </c>
      <c r="M76" s="360">
        <v>99398</v>
      </c>
      <c r="N76" s="360">
        <v>496543</v>
      </c>
      <c r="O76" s="361">
        <v>56.8</v>
      </c>
      <c r="P76" s="359">
        <v>2.3900000000000002E-3</v>
      </c>
      <c r="Q76" s="360">
        <v>99279</v>
      </c>
      <c r="R76" s="360">
        <v>495840</v>
      </c>
      <c r="S76" s="361">
        <v>55.7</v>
      </c>
      <c r="T76" s="359">
        <v>2.97E-3</v>
      </c>
      <c r="U76" s="360">
        <v>99129</v>
      </c>
      <c r="V76" s="360">
        <v>494957</v>
      </c>
      <c r="W76" s="361">
        <v>54.5</v>
      </c>
      <c r="X76" s="359">
        <v>3.6700000000000001E-3</v>
      </c>
      <c r="Y76" s="360">
        <v>98941</v>
      </c>
      <c r="Z76" s="360">
        <v>493853</v>
      </c>
      <c r="AA76" s="361">
        <v>53.3</v>
      </c>
      <c r="AB76" s="359">
        <v>4.8399999999999997E-3</v>
      </c>
      <c r="AC76" s="360">
        <v>98688</v>
      </c>
      <c r="AD76" s="360">
        <v>492278</v>
      </c>
      <c r="AE76" s="361">
        <v>52.7</v>
      </c>
      <c r="AF76" s="362"/>
      <c r="AG76" s="362"/>
      <c r="AH76" s="363" t="s">
        <v>609</v>
      </c>
      <c r="AI76" s="343" t="s">
        <v>624</v>
      </c>
    </row>
    <row r="77" spans="1:35" ht="16.5">
      <c r="A77" s="74" t="s">
        <v>124</v>
      </c>
      <c r="B77" s="74" t="s">
        <v>124</v>
      </c>
      <c r="C77" s="76" t="s">
        <v>288</v>
      </c>
      <c r="D77" s="359">
        <v>1.6999999999999999E-3</v>
      </c>
      <c r="E77" s="360">
        <v>99438</v>
      </c>
      <c r="F77" s="360">
        <v>496783</v>
      </c>
      <c r="G77" s="361">
        <v>53.8</v>
      </c>
      <c r="H77" s="359">
        <v>2.0699999999999998E-3</v>
      </c>
      <c r="I77" s="360">
        <v>99334</v>
      </c>
      <c r="J77" s="360">
        <v>496173</v>
      </c>
      <c r="K77" s="361">
        <v>52.9</v>
      </c>
      <c r="L77" s="359">
        <v>2.5200000000000001E-3</v>
      </c>
      <c r="M77" s="360">
        <v>99207</v>
      </c>
      <c r="N77" s="360">
        <v>495428</v>
      </c>
      <c r="O77" s="361">
        <v>51.9</v>
      </c>
      <c r="P77" s="359">
        <v>3.0899999999999999E-3</v>
      </c>
      <c r="Q77" s="360">
        <v>99041</v>
      </c>
      <c r="R77" s="360">
        <v>494465</v>
      </c>
      <c r="S77" s="361">
        <v>50.8</v>
      </c>
      <c r="T77" s="359">
        <v>3.7799999999999999E-3</v>
      </c>
      <c r="U77" s="360">
        <v>98835</v>
      </c>
      <c r="V77" s="360">
        <v>493266</v>
      </c>
      <c r="W77" s="361">
        <v>49.7</v>
      </c>
      <c r="X77" s="359">
        <v>4.5999999999999999E-3</v>
      </c>
      <c r="Y77" s="360">
        <v>98578</v>
      </c>
      <c r="Z77" s="360">
        <v>491784</v>
      </c>
      <c r="AA77" s="361">
        <v>48.5</v>
      </c>
      <c r="AB77" s="359">
        <v>5.5399999999999998E-3</v>
      </c>
      <c r="AC77" s="360">
        <v>98211</v>
      </c>
      <c r="AD77" s="360">
        <v>489731</v>
      </c>
      <c r="AE77" s="361">
        <v>48</v>
      </c>
      <c r="AF77" s="362"/>
      <c r="AG77" s="362"/>
      <c r="AH77" s="363" t="s">
        <v>625</v>
      </c>
      <c r="AI77" s="343" t="s">
        <v>626</v>
      </c>
    </row>
    <row r="78" spans="1:35" ht="16.5">
      <c r="A78" s="74" t="s">
        <v>124</v>
      </c>
      <c r="B78" s="74" t="s">
        <v>124</v>
      </c>
      <c r="C78" s="76" t="s">
        <v>289</v>
      </c>
      <c r="D78" s="359">
        <v>2.4599999999999999E-3</v>
      </c>
      <c r="E78" s="360">
        <v>99269</v>
      </c>
      <c r="F78" s="360">
        <v>495783</v>
      </c>
      <c r="G78" s="361">
        <v>48.9</v>
      </c>
      <c r="H78" s="359">
        <v>2.9499999999999999E-3</v>
      </c>
      <c r="I78" s="360">
        <v>99128</v>
      </c>
      <c r="J78" s="360">
        <v>494963</v>
      </c>
      <c r="K78" s="361">
        <v>48</v>
      </c>
      <c r="L78" s="359">
        <v>3.5400000000000002E-3</v>
      </c>
      <c r="M78" s="360">
        <v>98957</v>
      </c>
      <c r="N78" s="360">
        <v>493970</v>
      </c>
      <c r="O78" s="361">
        <v>47.1</v>
      </c>
      <c r="P78" s="359">
        <v>4.2700000000000004E-3</v>
      </c>
      <c r="Q78" s="360">
        <v>98735</v>
      </c>
      <c r="R78" s="360">
        <v>492695</v>
      </c>
      <c r="S78" s="361">
        <v>46</v>
      </c>
      <c r="T78" s="359">
        <v>5.1500000000000001E-3</v>
      </c>
      <c r="U78" s="360">
        <v>98461</v>
      </c>
      <c r="V78" s="360">
        <v>491125</v>
      </c>
      <c r="W78" s="361">
        <v>44.9</v>
      </c>
      <c r="X78" s="359">
        <v>6.1799999999999997E-3</v>
      </c>
      <c r="Y78" s="360">
        <v>98124</v>
      </c>
      <c r="Z78" s="360">
        <v>489202</v>
      </c>
      <c r="AA78" s="361">
        <v>43.7</v>
      </c>
      <c r="AB78" s="359">
        <v>7.7999999999999996E-3</v>
      </c>
      <c r="AC78" s="360">
        <v>97666</v>
      </c>
      <c r="AD78" s="360">
        <v>486571</v>
      </c>
      <c r="AE78" s="361">
        <v>43.2</v>
      </c>
      <c r="AF78" s="362"/>
      <c r="AG78" s="362"/>
      <c r="AH78" s="363" t="s">
        <v>627</v>
      </c>
      <c r="AI78" s="343" t="s">
        <v>628</v>
      </c>
    </row>
    <row r="79" spans="1:35" ht="16.5">
      <c r="A79" s="74" t="s">
        <v>124</v>
      </c>
      <c r="B79" s="74" t="s">
        <v>124</v>
      </c>
      <c r="C79" s="76" t="s">
        <v>290</v>
      </c>
      <c r="D79" s="359">
        <v>4.2300000000000003E-3</v>
      </c>
      <c r="E79" s="360">
        <v>99025</v>
      </c>
      <c r="F79" s="360">
        <v>494180</v>
      </c>
      <c r="G79" s="361">
        <v>44</v>
      </c>
      <c r="H79" s="359">
        <v>5.0400000000000002E-3</v>
      </c>
      <c r="I79" s="360">
        <v>98835</v>
      </c>
      <c r="J79" s="360">
        <v>493050</v>
      </c>
      <c r="K79" s="361">
        <v>43.1</v>
      </c>
      <c r="L79" s="359">
        <v>5.9899999999999997E-3</v>
      </c>
      <c r="M79" s="360">
        <v>98606</v>
      </c>
      <c r="N79" s="360">
        <v>491694</v>
      </c>
      <c r="O79" s="361">
        <v>42.2</v>
      </c>
      <c r="P79" s="359">
        <v>7.1599999999999997E-3</v>
      </c>
      <c r="Q79" s="360">
        <v>98313</v>
      </c>
      <c r="R79" s="360">
        <v>489970</v>
      </c>
      <c r="S79" s="361">
        <v>41.2</v>
      </c>
      <c r="T79" s="359">
        <v>8.5400000000000007E-3</v>
      </c>
      <c r="U79" s="360">
        <v>97955</v>
      </c>
      <c r="V79" s="360">
        <v>487871</v>
      </c>
      <c r="W79" s="361">
        <v>40.1</v>
      </c>
      <c r="X79" s="359">
        <v>1.0149999999999999E-2</v>
      </c>
      <c r="Y79" s="360">
        <v>97518</v>
      </c>
      <c r="Z79" s="360">
        <v>485333</v>
      </c>
      <c r="AA79" s="361">
        <v>39</v>
      </c>
      <c r="AB79" s="359">
        <v>1.2970000000000001E-2</v>
      </c>
      <c r="AC79" s="360">
        <v>96904</v>
      </c>
      <c r="AD79" s="360">
        <v>481618</v>
      </c>
      <c r="AE79" s="361">
        <v>38.5</v>
      </c>
      <c r="AF79" s="362"/>
      <c r="AG79" s="362"/>
      <c r="AH79" s="363" t="s">
        <v>124</v>
      </c>
      <c r="AI79" s="343" t="s">
        <v>629</v>
      </c>
    </row>
    <row r="80" spans="1:35" ht="16.5">
      <c r="A80" s="74" t="s">
        <v>124</v>
      </c>
      <c r="B80" s="74" t="s">
        <v>124</v>
      </c>
      <c r="C80" s="76" t="s">
        <v>291</v>
      </c>
      <c r="D80" s="359">
        <v>7.3600000000000002E-3</v>
      </c>
      <c r="E80" s="360">
        <v>98606</v>
      </c>
      <c r="F80" s="360">
        <v>491339</v>
      </c>
      <c r="G80" s="361">
        <v>39.200000000000003</v>
      </c>
      <c r="H80" s="359">
        <v>8.6999999999999994E-3</v>
      </c>
      <c r="I80" s="360">
        <v>98337</v>
      </c>
      <c r="J80" s="360">
        <v>489692</v>
      </c>
      <c r="K80" s="361">
        <v>38.299999999999997</v>
      </c>
      <c r="L80" s="359">
        <v>1.0240000000000001E-2</v>
      </c>
      <c r="M80" s="360">
        <v>98016</v>
      </c>
      <c r="N80" s="360">
        <v>487738</v>
      </c>
      <c r="O80" s="361">
        <v>37.5</v>
      </c>
      <c r="P80" s="359">
        <v>1.2149999999999999E-2</v>
      </c>
      <c r="Q80" s="360">
        <v>97610</v>
      </c>
      <c r="R80" s="360">
        <v>485279</v>
      </c>
      <c r="S80" s="361">
        <v>36.5</v>
      </c>
      <c r="T80" s="359">
        <v>1.4370000000000001E-2</v>
      </c>
      <c r="U80" s="360">
        <v>97118</v>
      </c>
      <c r="V80" s="360">
        <v>482327</v>
      </c>
      <c r="W80" s="361">
        <v>35.4</v>
      </c>
      <c r="X80" s="359">
        <v>1.695E-2</v>
      </c>
      <c r="Y80" s="360">
        <v>96528</v>
      </c>
      <c r="Z80" s="360">
        <v>478808</v>
      </c>
      <c r="AA80" s="361">
        <v>34.299999999999997</v>
      </c>
      <c r="AB80" s="359">
        <v>2.009E-2</v>
      </c>
      <c r="AC80" s="360">
        <v>95647</v>
      </c>
      <c r="AD80" s="360">
        <v>473741</v>
      </c>
      <c r="AE80" s="361">
        <v>34</v>
      </c>
      <c r="AF80" s="362"/>
      <c r="AG80" s="362"/>
      <c r="AH80" s="363" t="s">
        <v>630</v>
      </c>
      <c r="AI80" s="343" t="s">
        <v>631</v>
      </c>
    </row>
    <row r="81" spans="1:35" ht="16.5">
      <c r="A81" s="74" t="s">
        <v>124</v>
      </c>
      <c r="B81" s="74" t="s">
        <v>124</v>
      </c>
      <c r="C81" s="76" t="s">
        <v>292</v>
      </c>
      <c r="D81" s="359">
        <v>1.0370000000000001E-2</v>
      </c>
      <c r="E81" s="360">
        <v>97880</v>
      </c>
      <c r="F81" s="360">
        <v>486990</v>
      </c>
      <c r="G81" s="361">
        <v>34.5</v>
      </c>
      <c r="H81" s="359">
        <v>1.2239999999999999E-2</v>
      </c>
      <c r="I81" s="360">
        <v>97482</v>
      </c>
      <c r="J81" s="360">
        <v>484578</v>
      </c>
      <c r="K81" s="361">
        <v>33.700000000000003</v>
      </c>
      <c r="L81" s="359">
        <v>1.4409999999999999E-2</v>
      </c>
      <c r="M81" s="360">
        <v>97012</v>
      </c>
      <c r="N81" s="360">
        <v>481744</v>
      </c>
      <c r="O81" s="361">
        <v>32.799999999999997</v>
      </c>
      <c r="P81" s="359">
        <v>1.7080000000000001E-2</v>
      </c>
      <c r="Q81" s="360">
        <v>96424</v>
      </c>
      <c r="R81" s="360">
        <v>478213</v>
      </c>
      <c r="S81" s="361">
        <v>31.9</v>
      </c>
      <c r="T81" s="359">
        <v>2.019E-2</v>
      </c>
      <c r="U81" s="360">
        <v>95722</v>
      </c>
      <c r="V81" s="360">
        <v>474027</v>
      </c>
      <c r="W81" s="361">
        <v>30.9</v>
      </c>
      <c r="X81" s="359">
        <v>2.3789999999999999E-2</v>
      </c>
      <c r="Y81" s="360">
        <v>94892</v>
      </c>
      <c r="Z81" s="360">
        <v>469102</v>
      </c>
      <c r="AA81" s="361">
        <v>29.9</v>
      </c>
      <c r="AB81" s="359">
        <v>3.0030000000000001E-2</v>
      </c>
      <c r="AC81" s="360">
        <v>93725</v>
      </c>
      <c r="AD81" s="360">
        <v>461971</v>
      </c>
      <c r="AE81" s="361">
        <v>29.6</v>
      </c>
      <c r="AF81" s="362"/>
      <c r="AG81" s="362"/>
      <c r="AH81" s="363" t="s">
        <v>124</v>
      </c>
      <c r="AI81" s="343" t="s">
        <v>632</v>
      </c>
    </row>
    <row r="82" spans="1:35" ht="16.5">
      <c r="A82" s="74" t="s">
        <v>124</v>
      </c>
      <c r="B82" s="74" t="s">
        <v>124</v>
      </c>
      <c r="C82" s="76" t="s">
        <v>293</v>
      </c>
      <c r="D82" s="359">
        <v>1.555E-2</v>
      </c>
      <c r="E82" s="360">
        <v>96865</v>
      </c>
      <c r="F82" s="360">
        <v>480816</v>
      </c>
      <c r="G82" s="361">
        <v>29.8</v>
      </c>
      <c r="H82" s="359">
        <v>1.8350000000000002E-2</v>
      </c>
      <c r="I82" s="360">
        <v>96289</v>
      </c>
      <c r="J82" s="360">
        <v>477324</v>
      </c>
      <c r="K82" s="361">
        <v>29</v>
      </c>
      <c r="L82" s="359">
        <v>2.1600000000000001E-2</v>
      </c>
      <c r="M82" s="360">
        <v>95615</v>
      </c>
      <c r="N82" s="360">
        <v>473255</v>
      </c>
      <c r="O82" s="361">
        <v>28.3</v>
      </c>
      <c r="P82" s="359">
        <v>2.5600000000000001E-2</v>
      </c>
      <c r="Q82" s="360">
        <v>94778</v>
      </c>
      <c r="R82" s="360">
        <v>468224</v>
      </c>
      <c r="S82" s="361">
        <v>27.4</v>
      </c>
      <c r="T82" s="359">
        <v>3.0269999999999998E-2</v>
      </c>
      <c r="U82" s="360">
        <v>93790</v>
      </c>
      <c r="V82" s="360">
        <v>462318</v>
      </c>
      <c r="W82" s="361">
        <v>26.5</v>
      </c>
      <c r="X82" s="359">
        <v>3.5650000000000001E-2</v>
      </c>
      <c r="Y82" s="360">
        <v>92634</v>
      </c>
      <c r="Z82" s="360">
        <v>455448</v>
      </c>
      <c r="AA82" s="361">
        <v>25.5</v>
      </c>
      <c r="AB82" s="359">
        <v>4.138E-2</v>
      </c>
      <c r="AC82" s="360">
        <v>90911</v>
      </c>
      <c r="AD82" s="360">
        <v>445552</v>
      </c>
      <c r="AE82" s="361">
        <v>25.5</v>
      </c>
      <c r="AF82" s="362"/>
      <c r="AG82" s="362"/>
      <c r="AH82" s="363" t="s">
        <v>633</v>
      </c>
      <c r="AI82" s="343" t="s">
        <v>634</v>
      </c>
    </row>
    <row r="83" spans="1:35" ht="16.5">
      <c r="A83" s="74" t="s">
        <v>124</v>
      </c>
      <c r="B83" s="74" t="s">
        <v>124</v>
      </c>
      <c r="C83" s="76" t="s">
        <v>294</v>
      </c>
      <c r="D83" s="359">
        <v>2.2749999999999999E-2</v>
      </c>
      <c r="E83" s="360">
        <v>95359</v>
      </c>
      <c r="F83" s="360">
        <v>471631</v>
      </c>
      <c r="G83" s="361">
        <v>25.2</v>
      </c>
      <c r="H83" s="359">
        <v>2.6790000000000001E-2</v>
      </c>
      <c r="I83" s="360">
        <v>94522</v>
      </c>
      <c r="J83" s="360">
        <v>466569</v>
      </c>
      <c r="K83" s="361">
        <v>24.5</v>
      </c>
      <c r="L83" s="359">
        <v>3.1449999999999999E-2</v>
      </c>
      <c r="M83" s="360">
        <v>93549</v>
      </c>
      <c r="N83" s="360">
        <v>460718</v>
      </c>
      <c r="O83" s="361">
        <v>23.8</v>
      </c>
      <c r="P83" s="359">
        <v>3.7179999999999998E-2</v>
      </c>
      <c r="Q83" s="360">
        <v>92351</v>
      </c>
      <c r="R83" s="360">
        <v>453536</v>
      </c>
      <c r="S83" s="361">
        <v>23</v>
      </c>
      <c r="T83" s="359">
        <v>4.3839999999999997E-2</v>
      </c>
      <c r="U83" s="360">
        <v>90951</v>
      </c>
      <c r="V83" s="360">
        <v>445191</v>
      </c>
      <c r="W83" s="361">
        <v>22.2</v>
      </c>
      <c r="X83" s="359">
        <v>5.1490000000000001E-2</v>
      </c>
      <c r="Y83" s="360">
        <v>89331</v>
      </c>
      <c r="Z83" s="360">
        <v>435598</v>
      </c>
      <c r="AA83" s="361">
        <v>21.4</v>
      </c>
      <c r="AB83" s="359">
        <v>5.917E-2</v>
      </c>
      <c r="AC83" s="360">
        <v>87149</v>
      </c>
      <c r="AD83" s="360">
        <v>423636</v>
      </c>
      <c r="AE83" s="361">
        <v>21.5</v>
      </c>
      <c r="AF83" s="362"/>
      <c r="AG83" s="362"/>
      <c r="AH83" s="362"/>
    </row>
    <row r="84" spans="1:35" ht="16.5">
      <c r="A84" s="74" t="s">
        <v>124</v>
      </c>
      <c r="B84" s="74" t="s">
        <v>124</v>
      </c>
      <c r="C84" s="76" t="s">
        <v>295</v>
      </c>
      <c r="D84" s="359">
        <v>3.4029999999999998E-2</v>
      </c>
      <c r="E84" s="360">
        <v>93190</v>
      </c>
      <c r="F84" s="360">
        <v>458713</v>
      </c>
      <c r="G84" s="361">
        <v>20.8</v>
      </c>
      <c r="H84" s="359">
        <v>3.9480000000000001E-2</v>
      </c>
      <c r="I84" s="360">
        <v>91989</v>
      </c>
      <c r="J84" s="360">
        <v>451621</v>
      </c>
      <c r="K84" s="361">
        <v>20.100000000000001</v>
      </c>
      <c r="L84" s="359">
        <v>4.5659999999999999E-2</v>
      </c>
      <c r="M84" s="360">
        <v>90607</v>
      </c>
      <c r="N84" s="360">
        <v>443507</v>
      </c>
      <c r="O84" s="361">
        <v>19.5</v>
      </c>
      <c r="P84" s="359">
        <v>5.3150000000000003E-2</v>
      </c>
      <c r="Q84" s="360">
        <v>88917</v>
      </c>
      <c r="R84" s="360">
        <v>433643</v>
      </c>
      <c r="S84" s="361">
        <v>18.8</v>
      </c>
      <c r="T84" s="359">
        <v>6.1710000000000001E-2</v>
      </c>
      <c r="U84" s="360">
        <v>86964</v>
      </c>
      <c r="V84" s="360">
        <v>422327</v>
      </c>
      <c r="W84" s="361">
        <v>18.100000000000001</v>
      </c>
      <c r="X84" s="359">
        <v>7.1389999999999995E-2</v>
      </c>
      <c r="Y84" s="360">
        <v>84732</v>
      </c>
      <c r="Z84" s="360">
        <v>409500</v>
      </c>
      <c r="AA84" s="361">
        <v>17.399999999999999</v>
      </c>
      <c r="AB84" s="359">
        <v>9.4E-2</v>
      </c>
      <c r="AC84" s="360">
        <v>81993</v>
      </c>
      <c r="AD84" s="360">
        <v>391870</v>
      </c>
      <c r="AE84" s="361">
        <v>17.600000000000001</v>
      </c>
      <c r="AF84" s="362"/>
      <c r="AG84" s="362"/>
      <c r="AH84" s="362"/>
    </row>
    <row r="85" spans="1:35" ht="16.5">
      <c r="A85" s="74" t="s">
        <v>124</v>
      </c>
      <c r="B85" s="74" t="s">
        <v>124</v>
      </c>
      <c r="C85" s="76" t="s">
        <v>296</v>
      </c>
      <c r="D85" s="359">
        <v>6.9919999999999996E-2</v>
      </c>
      <c r="E85" s="360">
        <v>90019</v>
      </c>
      <c r="F85" s="360">
        <v>436103</v>
      </c>
      <c r="G85" s="361">
        <v>16.399999999999999</v>
      </c>
      <c r="H85" s="359">
        <v>7.9140000000000002E-2</v>
      </c>
      <c r="I85" s="360">
        <v>88358</v>
      </c>
      <c r="J85" s="360">
        <v>426165</v>
      </c>
      <c r="K85" s="361">
        <v>15.9</v>
      </c>
      <c r="L85" s="359">
        <v>8.9330000000000007E-2</v>
      </c>
      <c r="M85" s="360">
        <v>86470</v>
      </c>
      <c r="N85" s="360">
        <v>414999</v>
      </c>
      <c r="O85" s="361">
        <v>15.3</v>
      </c>
      <c r="P85" s="359">
        <v>0.10135</v>
      </c>
      <c r="Q85" s="360">
        <v>84191</v>
      </c>
      <c r="R85" s="360">
        <v>401676</v>
      </c>
      <c r="S85" s="361">
        <v>14.7</v>
      </c>
      <c r="T85" s="359">
        <v>0.11471000000000001</v>
      </c>
      <c r="U85" s="360">
        <v>81598</v>
      </c>
      <c r="V85" s="360">
        <v>386710</v>
      </c>
      <c r="W85" s="361">
        <v>14.1</v>
      </c>
      <c r="X85" s="359">
        <v>0.12939999999999999</v>
      </c>
      <c r="Y85" s="360">
        <v>78683</v>
      </c>
      <c r="Z85" s="360">
        <v>370122</v>
      </c>
      <c r="AA85" s="361">
        <v>13.5</v>
      </c>
      <c r="AB85" s="359">
        <v>0.14419999999999999</v>
      </c>
      <c r="AC85" s="360">
        <v>74285</v>
      </c>
      <c r="AD85" s="360">
        <v>345923</v>
      </c>
      <c r="AE85" s="361">
        <v>14.2</v>
      </c>
      <c r="AF85" s="362"/>
      <c r="AG85" s="362"/>
      <c r="AH85" s="362"/>
    </row>
    <row r="86" spans="1:35" ht="16.5">
      <c r="A86" s="74" t="s">
        <v>124</v>
      </c>
      <c r="B86" s="74" t="s">
        <v>124</v>
      </c>
      <c r="C86" s="76" t="s">
        <v>297</v>
      </c>
      <c r="D86" s="359">
        <v>0.13655</v>
      </c>
      <c r="E86" s="360">
        <v>83725</v>
      </c>
      <c r="F86" s="360">
        <v>392608</v>
      </c>
      <c r="G86" s="361">
        <v>12.4</v>
      </c>
      <c r="H86" s="359">
        <v>0.15079000000000001</v>
      </c>
      <c r="I86" s="360">
        <v>81365</v>
      </c>
      <c r="J86" s="360">
        <v>378721</v>
      </c>
      <c r="K86" s="361">
        <v>12</v>
      </c>
      <c r="L86" s="359">
        <v>0.16611000000000001</v>
      </c>
      <c r="M86" s="360">
        <v>78746</v>
      </c>
      <c r="N86" s="360">
        <v>363558</v>
      </c>
      <c r="O86" s="361">
        <v>11.5</v>
      </c>
      <c r="P86" s="359">
        <v>0.18365000000000001</v>
      </c>
      <c r="Q86" s="360">
        <v>75658</v>
      </c>
      <c r="R86" s="360">
        <v>346002</v>
      </c>
      <c r="S86" s="361">
        <v>11.1</v>
      </c>
      <c r="T86" s="359">
        <v>0.20258999999999999</v>
      </c>
      <c r="U86" s="360">
        <v>72238</v>
      </c>
      <c r="V86" s="360">
        <v>326915</v>
      </c>
      <c r="W86" s="361">
        <v>10.6</v>
      </c>
      <c r="X86" s="359">
        <v>0.22284000000000001</v>
      </c>
      <c r="Y86" s="360">
        <v>68501</v>
      </c>
      <c r="Z86" s="360">
        <v>306467</v>
      </c>
      <c r="AA86" s="361">
        <v>10.199999999999999</v>
      </c>
      <c r="AB86" s="359">
        <v>0.21870999999999999</v>
      </c>
      <c r="AC86" s="360">
        <v>63574</v>
      </c>
      <c r="AD86" s="360">
        <v>284268</v>
      </c>
      <c r="AE86" s="361">
        <v>11.2</v>
      </c>
      <c r="AF86" s="362"/>
      <c r="AG86" s="362"/>
      <c r="AH86" s="362"/>
    </row>
    <row r="87" spans="1:35" ht="16.5">
      <c r="A87" s="74" t="s">
        <v>124</v>
      </c>
      <c r="B87" s="74" t="s">
        <v>124</v>
      </c>
      <c r="C87" s="76" t="s">
        <v>298</v>
      </c>
      <c r="D87" s="359">
        <v>0.25690000000000002</v>
      </c>
      <c r="E87" s="360">
        <v>72292</v>
      </c>
      <c r="F87" s="360">
        <v>318001</v>
      </c>
      <c r="G87" s="361">
        <v>8.9</v>
      </c>
      <c r="H87" s="359">
        <v>0.27631</v>
      </c>
      <c r="I87" s="360">
        <v>69097</v>
      </c>
      <c r="J87" s="360">
        <v>300441</v>
      </c>
      <c r="K87" s="361">
        <v>8.6</v>
      </c>
      <c r="L87" s="359">
        <v>0.29658000000000001</v>
      </c>
      <c r="M87" s="360">
        <v>65665</v>
      </c>
      <c r="N87" s="360">
        <v>281997</v>
      </c>
      <c r="O87" s="361">
        <v>8.3000000000000007</v>
      </c>
      <c r="P87" s="359">
        <v>0.31902999999999998</v>
      </c>
      <c r="Q87" s="360">
        <v>61764</v>
      </c>
      <c r="R87" s="360">
        <v>261516</v>
      </c>
      <c r="S87" s="361">
        <v>8</v>
      </c>
      <c r="T87" s="359">
        <v>0.34250999999999998</v>
      </c>
      <c r="U87" s="360">
        <v>57603</v>
      </c>
      <c r="V87" s="360">
        <v>240207</v>
      </c>
      <c r="W87" s="361">
        <v>7.6</v>
      </c>
      <c r="X87" s="359">
        <v>0.36684</v>
      </c>
      <c r="Y87" s="360">
        <v>53236</v>
      </c>
      <c r="Z87" s="360">
        <v>218399</v>
      </c>
      <c r="AA87" s="361">
        <v>7.3</v>
      </c>
      <c r="AB87" s="359">
        <v>0.32161000000000001</v>
      </c>
      <c r="AC87" s="360">
        <v>49669</v>
      </c>
      <c r="AD87" s="360">
        <v>208809</v>
      </c>
      <c r="AE87" s="361">
        <v>8.6</v>
      </c>
      <c r="AF87" s="362"/>
      <c r="AG87" s="362"/>
      <c r="AH87" s="362"/>
    </row>
    <row r="88" spans="1:35" ht="16.5">
      <c r="A88" s="74" t="s">
        <v>124</v>
      </c>
      <c r="B88" s="74" t="s">
        <v>124</v>
      </c>
      <c r="C88" s="76" t="s">
        <v>204</v>
      </c>
      <c r="D88" s="359">
        <v>0.44496000000000002</v>
      </c>
      <c r="E88" s="360">
        <v>53720</v>
      </c>
      <c r="F88" s="360">
        <v>209667</v>
      </c>
      <c r="G88" s="361">
        <v>6.1</v>
      </c>
      <c r="H88" s="359">
        <v>0.4662</v>
      </c>
      <c r="I88" s="360">
        <v>50005</v>
      </c>
      <c r="J88" s="360">
        <v>191997</v>
      </c>
      <c r="K88" s="361">
        <v>5.9</v>
      </c>
      <c r="L88" s="359">
        <v>0.48771999999999999</v>
      </c>
      <c r="M88" s="360">
        <v>46190</v>
      </c>
      <c r="N88" s="360">
        <v>174331</v>
      </c>
      <c r="O88" s="361">
        <v>5.7</v>
      </c>
      <c r="P88" s="359">
        <v>0.51071999999999995</v>
      </c>
      <c r="Q88" s="360">
        <v>42059</v>
      </c>
      <c r="R88" s="360">
        <v>155741</v>
      </c>
      <c r="S88" s="361">
        <v>5.5</v>
      </c>
      <c r="T88" s="359">
        <v>0.53398999999999996</v>
      </c>
      <c r="U88" s="360">
        <v>37874</v>
      </c>
      <c r="V88" s="360">
        <v>137450</v>
      </c>
      <c r="W88" s="361">
        <v>5.3</v>
      </c>
      <c r="X88" s="359">
        <v>0.55733999999999995</v>
      </c>
      <c r="Y88" s="360">
        <v>33707</v>
      </c>
      <c r="Z88" s="360">
        <v>119778</v>
      </c>
      <c r="AA88" s="361">
        <v>5.0999999999999996</v>
      </c>
      <c r="AB88" s="359">
        <v>0.45406000000000002</v>
      </c>
      <c r="AC88" s="360">
        <v>33695</v>
      </c>
      <c r="AD88" s="360">
        <v>129236</v>
      </c>
      <c r="AE88" s="361">
        <v>6.4</v>
      </c>
      <c r="AF88" s="362"/>
      <c r="AG88" s="362"/>
      <c r="AH88" s="362"/>
    </row>
    <row r="89" spans="1:35" ht="16.5">
      <c r="A89" s="74" t="s">
        <v>124</v>
      </c>
      <c r="B89" s="74" t="s">
        <v>124</v>
      </c>
      <c r="C89" s="76" t="s">
        <v>203</v>
      </c>
      <c r="D89" s="359">
        <v>0.67659999999999998</v>
      </c>
      <c r="E89" s="360">
        <v>29817</v>
      </c>
      <c r="F89" s="360">
        <v>94810</v>
      </c>
      <c r="G89" s="361">
        <v>4</v>
      </c>
      <c r="H89" s="359">
        <v>0.69279000000000002</v>
      </c>
      <c r="I89" s="360">
        <v>26692</v>
      </c>
      <c r="J89" s="360">
        <v>83209</v>
      </c>
      <c r="K89" s="361">
        <v>3.9</v>
      </c>
      <c r="L89" s="359">
        <v>0.70872999999999997</v>
      </c>
      <c r="M89" s="360">
        <v>23662</v>
      </c>
      <c r="N89" s="360">
        <v>72275</v>
      </c>
      <c r="O89" s="361">
        <v>3.8</v>
      </c>
      <c r="P89" s="359">
        <v>0.72516999999999998</v>
      </c>
      <c r="Q89" s="360">
        <v>20579</v>
      </c>
      <c r="R89" s="360">
        <v>61485</v>
      </c>
      <c r="S89" s="361">
        <v>3.6</v>
      </c>
      <c r="T89" s="359">
        <v>0.74131999999999998</v>
      </c>
      <c r="U89" s="360">
        <v>17650</v>
      </c>
      <c r="V89" s="360">
        <v>51544</v>
      </c>
      <c r="W89" s="361">
        <v>3.5</v>
      </c>
      <c r="X89" s="359">
        <v>0.75709000000000004</v>
      </c>
      <c r="Y89" s="360">
        <v>14921</v>
      </c>
      <c r="Z89" s="360">
        <v>42565</v>
      </c>
      <c r="AA89" s="361">
        <v>3.4</v>
      </c>
      <c r="AB89" s="359">
        <v>0.60665000000000002</v>
      </c>
      <c r="AC89" s="360">
        <v>18396</v>
      </c>
      <c r="AD89" s="360">
        <v>61867</v>
      </c>
      <c r="AE89" s="361">
        <v>4.7</v>
      </c>
      <c r="AF89" s="362"/>
      <c r="AG89" s="362"/>
      <c r="AH89" s="362"/>
    </row>
    <row r="90" spans="1:35" ht="16.5">
      <c r="A90" s="74" t="s">
        <v>124</v>
      </c>
      <c r="B90" s="74" t="s">
        <v>124</v>
      </c>
      <c r="C90" s="76" t="s">
        <v>299</v>
      </c>
      <c r="D90" s="359">
        <v>0.87338000000000005</v>
      </c>
      <c r="E90" s="360">
        <v>9643</v>
      </c>
      <c r="F90" s="360">
        <v>22537</v>
      </c>
      <c r="G90" s="361">
        <v>2.5</v>
      </c>
      <c r="H90" s="359">
        <v>0.88019000000000003</v>
      </c>
      <c r="I90" s="360">
        <v>8200</v>
      </c>
      <c r="J90" s="360">
        <v>18812</v>
      </c>
      <c r="K90" s="361">
        <v>2.5</v>
      </c>
      <c r="L90" s="359">
        <v>0.88676999999999995</v>
      </c>
      <c r="M90" s="360">
        <v>6892</v>
      </c>
      <c r="N90" s="360">
        <v>15516</v>
      </c>
      <c r="O90" s="361">
        <v>2.4</v>
      </c>
      <c r="P90" s="359">
        <v>0.89336000000000004</v>
      </c>
      <c r="Q90" s="360">
        <v>5656</v>
      </c>
      <c r="R90" s="360">
        <v>12481</v>
      </c>
      <c r="S90" s="361">
        <v>2.4</v>
      </c>
      <c r="T90" s="359">
        <v>0.89973000000000003</v>
      </c>
      <c r="U90" s="360">
        <v>4566</v>
      </c>
      <c r="V90" s="360">
        <v>9874</v>
      </c>
      <c r="W90" s="361">
        <v>2.2999999999999998</v>
      </c>
      <c r="X90" s="359">
        <v>0.90586</v>
      </c>
      <c r="Y90" s="360">
        <v>3624</v>
      </c>
      <c r="Z90" s="360">
        <v>7679</v>
      </c>
      <c r="AA90" s="361">
        <v>2.2999999999999998</v>
      </c>
      <c r="AB90" s="359">
        <v>0.75700999999999996</v>
      </c>
      <c r="AC90" s="360">
        <v>7236</v>
      </c>
      <c r="AD90" s="360">
        <v>20361</v>
      </c>
      <c r="AE90" s="361">
        <v>3.4</v>
      </c>
      <c r="AF90" s="362"/>
      <c r="AG90" s="362"/>
      <c r="AH90" s="362"/>
    </row>
    <row r="91" spans="1:35" ht="17.25" thickBot="1">
      <c r="A91" s="74" t="s">
        <v>124</v>
      </c>
      <c r="B91" s="344" t="s">
        <v>124</v>
      </c>
      <c r="C91" s="345" t="s">
        <v>300</v>
      </c>
      <c r="D91" s="364">
        <v>1</v>
      </c>
      <c r="E91" s="365">
        <v>1221</v>
      </c>
      <c r="F91" s="365">
        <v>1978</v>
      </c>
      <c r="G91" s="366">
        <v>1.6</v>
      </c>
      <c r="H91" s="364">
        <v>1</v>
      </c>
      <c r="I91" s="365">
        <v>982</v>
      </c>
      <c r="J91" s="365">
        <v>1574</v>
      </c>
      <c r="K91" s="366">
        <v>1.6</v>
      </c>
      <c r="L91" s="364">
        <v>1</v>
      </c>
      <c r="M91" s="365">
        <v>780</v>
      </c>
      <c r="N91" s="365">
        <v>1236</v>
      </c>
      <c r="O91" s="366">
        <v>1.6</v>
      </c>
      <c r="P91" s="364">
        <v>1</v>
      </c>
      <c r="Q91" s="365">
        <v>603</v>
      </c>
      <c r="R91" s="365">
        <v>944</v>
      </c>
      <c r="S91" s="366">
        <v>1.6</v>
      </c>
      <c r="T91" s="364">
        <v>1</v>
      </c>
      <c r="U91" s="365">
        <v>458</v>
      </c>
      <c r="V91" s="365">
        <v>708</v>
      </c>
      <c r="W91" s="366">
        <v>1.5</v>
      </c>
      <c r="X91" s="364">
        <v>1</v>
      </c>
      <c r="Y91" s="365">
        <v>341</v>
      </c>
      <c r="Z91" s="365">
        <v>522</v>
      </c>
      <c r="AA91" s="366">
        <v>1.5</v>
      </c>
      <c r="AB91" s="364">
        <v>1</v>
      </c>
      <c r="AC91" s="365">
        <v>1758</v>
      </c>
      <c r="AD91" s="365">
        <v>4339</v>
      </c>
      <c r="AE91" s="366">
        <v>2.5</v>
      </c>
      <c r="AF91" s="362"/>
      <c r="AG91" s="362"/>
      <c r="AH91" s="362"/>
    </row>
    <row r="92" spans="1:35" ht="17.25" thickTop="1">
      <c r="A92" s="74" t="s">
        <v>124</v>
      </c>
      <c r="B92" s="308" t="s">
        <v>301</v>
      </c>
      <c r="C92" s="308" t="s">
        <v>281</v>
      </c>
      <c r="D92" s="367">
        <v>2.1700000000000001E-3</v>
      </c>
      <c r="E92" s="368">
        <v>100000</v>
      </c>
      <c r="F92" s="368">
        <v>99796</v>
      </c>
      <c r="G92" s="369">
        <v>90.8</v>
      </c>
      <c r="H92" s="367">
        <v>2.3800000000000002E-3</v>
      </c>
      <c r="I92" s="368">
        <v>100000</v>
      </c>
      <c r="J92" s="368">
        <v>99776</v>
      </c>
      <c r="K92" s="369">
        <v>90.1</v>
      </c>
      <c r="L92" s="367">
        <v>2.6099999999999999E-3</v>
      </c>
      <c r="M92" s="368">
        <v>100000</v>
      </c>
      <c r="N92" s="368">
        <v>99755</v>
      </c>
      <c r="O92" s="369">
        <v>89.4</v>
      </c>
      <c r="P92" s="367">
        <v>2.8600000000000001E-3</v>
      </c>
      <c r="Q92" s="368">
        <v>100000</v>
      </c>
      <c r="R92" s="368">
        <v>99731</v>
      </c>
      <c r="S92" s="369">
        <v>88.6</v>
      </c>
      <c r="T92" s="367">
        <v>3.13E-3</v>
      </c>
      <c r="U92" s="368">
        <v>100000</v>
      </c>
      <c r="V92" s="368">
        <v>99706</v>
      </c>
      <c r="W92" s="369">
        <v>87.6</v>
      </c>
      <c r="X92" s="367">
        <v>3.4299999999999999E-3</v>
      </c>
      <c r="Y92" s="368">
        <v>100000</v>
      </c>
      <c r="Z92" s="368">
        <v>99678</v>
      </c>
      <c r="AA92" s="369">
        <v>86.7</v>
      </c>
      <c r="AB92" s="367">
        <v>3.7599999999999999E-3</v>
      </c>
      <c r="AC92" s="368">
        <v>100000</v>
      </c>
      <c r="AD92" s="368">
        <v>99648</v>
      </c>
      <c r="AE92" s="369">
        <v>84.6</v>
      </c>
      <c r="AF92" s="362"/>
      <c r="AG92" s="362"/>
      <c r="AH92" s="362"/>
    </row>
    <row r="93" spans="1:35" ht="16.5">
      <c r="A93" s="74" t="s">
        <v>124</v>
      </c>
      <c r="B93" s="74" t="s">
        <v>124</v>
      </c>
      <c r="C93" s="76" t="s">
        <v>282</v>
      </c>
      <c r="D93" s="359">
        <v>1.8000000000000001E-4</v>
      </c>
      <c r="E93" s="360">
        <v>99783</v>
      </c>
      <c r="F93" s="360">
        <v>399086</v>
      </c>
      <c r="G93" s="361">
        <v>90</v>
      </c>
      <c r="H93" s="359">
        <v>2.5000000000000001E-4</v>
      </c>
      <c r="I93" s="360">
        <v>99762</v>
      </c>
      <c r="J93" s="360">
        <v>398985</v>
      </c>
      <c r="K93" s="361">
        <v>89.3</v>
      </c>
      <c r="L93" s="359">
        <v>3.4000000000000002E-4</v>
      </c>
      <c r="M93" s="360">
        <v>99739</v>
      </c>
      <c r="N93" s="360">
        <v>398871</v>
      </c>
      <c r="O93" s="361">
        <v>88.7</v>
      </c>
      <c r="P93" s="359">
        <v>4.8999999999999998E-4</v>
      </c>
      <c r="Q93" s="360">
        <v>99714</v>
      </c>
      <c r="R93" s="360">
        <v>398734</v>
      </c>
      <c r="S93" s="361">
        <v>87.8</v>
      </c>
      <c r="T93" s="359">
        <v>6.9999999999999999E-4</v>
      </c>
      <c r="U93" s="360">
        <v>99687</v>
      </c>
      <c r="V93" s="360">
        <v>398574</v>
      </c>
      <c r="W93" s="361">
        <v>86.9</v>
      </c>
      <c r="X93" s="359">
        <v>9.7999999999999997E-4</v>
      </c>
      <c r="Y93" s="360">
        <v>99657</v>
      </c>
      <c r="Z93" s="360">
        <v>398387</v>
      </c>
      <c r="AA93" s="361">
        <v>86</v>
      </c>
      <c r="AB93" s="359">
        <v>1.32E-3</v>
      </c>
      <c r="AC93" s="360">
        <v>99624</v>
      </c>
      <c r="AD93" s="360">
        <v>398165</v>
      </c>
      <c r="AE93" s="361">
        <v>83.9</v>
      </c>
      <c r="AF93" s="362"/>
      <c r="AG93" s="362"/>
      <c r="AH93" s="362"/>
    </row>
    <row r="94" spans="1:35" ht="16.5">
      <c r="A94" s="74" t="s">
        <v>124</v>
      </c>
      <c r="B94" s="74" t="s">
        <v>124</v>
      </c>
      <c r="C94" s="76" t="s">
        <v>283</v>
      </c>
      <c r="D94" s="359">
        <v>5.0000000000000002E-5</v>
      </c>
      <c r="E94" s="360">
        <v>99765</v>
      </c>
      <c r="F94" s="360">
        <v>498810</v>
      </c>
      <c r="G94" s="361">
        <v>86</v>
      </c>
      <c r="H94" s="359">
        <v>6.9999999999999994E-5</v>
      </c>
      <c r="I94" s="360">
        <v>99737</v>
      </c>
      <c r="J94" s="360">
        <v>498664</v>
      </c>
      <c r="K94" s="361">
        <v>85.4</v>
      </c>
      <c r="L94" s="359">
        <v>1E-4</v>
      </c>
      <c r="M94" s="360">
        <v>99705</v>
      </c>
      <c r="N94" s="360">
        <v>498495</v>
      </c>
      <c r="O94" s="361">
        <v>84.7</v>
      </c>
      <c r="P94" s="359">
        <v>1.4999999999999999E-4</v>
      </c>
      <c r="Q94" s="360">
        <v>99665</v>
      </c>
      <c r="R94" s="360">
        <v>498280</v>
      </c>
      <c r="S94" s="361">
        <v>83.9</v>
      </c>
      <c r="T94" s="359">
        <v>2.1000000000000001E-4</v>
      </c>
      <c r="U94" s="360">
        <v>99617</v>
      </c>
      <c r="V94" s="360">
        <v>498018</v>
      </c>
      <c r="W94" s="361">
        <v>83</v>
      </c>
      <c r="X94" s="359">
        <v>2.9999999999999997E-4</v>
      </c>
      <c r="Y94" s="360">
        <v>99559</v>
      </c>
      <c r="Z94" s="360">
        <v>497704</v>
      </c>
      <c r="AA94" s="361">
        <v>82.1</v>
      </c>
      <c r="AB94" s="359">
        <v>6.8999999999999997E-4</v>
      </c>
      <c r="AC94" s="360">
        <v>99492</v>
      </c>
      <c r="AD94" s="360">
        <v>497290</v>
      </c>
      <c r="AE94" s="361">
        <v>80.099999999999994</v>
      </c>
      <c r="AF94" s="362"/>
      <c r="AG94" s="362"/>
      <c r="AH94" s="362"/>
    </row>
    <row r="95" spans="1:35" ht="16.5">
      <c r="A95" s="74" t="s">
        <v>124</v>
      </c>
      <c r="B95" s="74" t="s">
        <v>124</v>
      </c>
      <c r="C95" s="76" t="s">
        <v>284</v>
      </c>
      <c r="D95" s="359">
        <v>4.0000000000000003E-5</v>
      </c>
      <c r="E95" s="360">
        <v>99760</v>
      </c>
      <c r="F95" s="360">
        <v>498793</v>
      </c>
      <c r="G95" s="361">
        <v>81</v>
      </c>
      <c r="H95" s="359">
        <v>6.0000000000000002E-5</v>
      </c>
      <c r="I95" s="360">
        <v>99730</v>
      </c>
      <c r="J95" s="360">
        <v>498639</v>
      </c>
      <c r="K95" s="361">
        <v>80.400000000000006</v>
      </c>
      <c r="L95" s="359">
        <v>8.0000000000000007E-5</v>
      </c>
      <c r="M95" s="360">
        <v>99695</v>
      </c>
      <c r="N95" s="360">
        <v>498461</v>
      </c>
      <c r="O95" s="361">
        <v>79.7</v>
      </c>
      <c r="P95" s="359">
        <v>1.1E-4</v>
      </c>
      <c r="Q95" s="360">
        <v>99650</v>
      </c>
      <c r="R95" s="360">
        <v>498231</v>
      </c>
      <c r="S95" s="361">
        <v>78.900000000000006</v>
      </c>
      <c r="T95" s="359">
        <v>1.4999999999999999E-4</v>
      </c>
      <c r="U95" s="360">
        <v>99595</v>
      </c>
      <c r="V95" s="360">
        <v>497948</v>
      </c>
      <c r="W95" s="361">
        <v>78</v>
      </c>
      <c r="X95" s="359">
        <v>2.1000000000000001E-4</v>
      </c>
      <c r="Y95" s="360">
        <v>99529</v>
      </c>
      <c r="Z95" s="360">
        <v>497606</v>
      </c>
      <c r="AA95" s="361">
        <v>77.099999999999994</v>
      </c>
      <c r="AB95" s="359">
        <v>8.4000000000000003E-4</v>
      </c>
      <c r="AC95" s="360">
        <v>99423</v>
      </c>
      <c r="AD95" s="360">
        <v>496915</v>
      </c>
      <c r="AE95" s="361">
        <v>75.099999999999994</v>
      </c>
      <c r="AF95" s="362"/>
      <c r="AG95" s="362"/>
      <c r="AH95" s="362"/>
    </row>
    <row r="96" spans="1:35" ht="16.5">
      <c r="A96" s="74" t="s">
        <v>124</v>
      </c>
      <c r="B96" s="74" t="s">
        <v>124</v>
      </c>
      <c r="C96" s="76" t="s">
        <v>285</v>
      </c>
      <c r="D96" s="359">
        <v>3.2000000000000003E-4</v>
      </c>
      <c r="E96" s="360">
        <v>99756</v>
      </c>
      <c r="F96" s="360">
        <v>498711</v>
      </c>
      <c r="G96" s="361">
        <v>76</v>
      </c>
      <c r="H96" s="359">
        <v>4.2000000000000002E-4</v>
      </c>
      <c r="I96" s="360">
        <v>99724</v>
      </c>
      <c r="J96" s="360">
        <v>498532</v>
      </c>
      <c r="K96" s="361">
        <v>75.400000000000006</v>
      </c>
      <c r="L96" s="359">
        <v>5.4000000000000001E-4</v>
      </c>
      <c r="M96" s="360">
        <v>99687</v>
      </c>
      <c r="N96" s="360">
        <v>498322</v>
      </c>
      <c r="O96" s="361">
        <v>74.7</v>
      </c>
      <c r="P96" s="359">
        <v>7.2999999999999996E-4</v>
      </c>
      <c r="Q96" s="360">
        <v>99639</v>
      </c>
      <c r="R96" s="360">
        <v>498044</v>
      </c>
      <c r="S96" s="361">
        <v>73.900000000000006</v>
      </c>
      <c r="T96" s="359">
        <v>9.6000000000000002E-4</v>
      </c>
      <c r="U96" s="360">
        <v>99580</v>
      </c>
      <c r="V96" s="360">
        <v>497701</v>
      </c>
      <c r="W96" s="361">
        <v>73</v>
      </c>
      <c r="X96" s="359">
        <v>1.24E-3</v>
      </c>
      <c r="Y96" s="360">
        <v>99509</v>
      </c>
      <c r="Z96" s="360">
        <v>497284</v>
      </c>
      <c r="AA96" s="361">
        <v>72.099999999999994</v>
      </c>
      <c r="AB96" s="359">
        <v>1.0200000000000001E-3</v>
      </c>
      <c r="AC96" s="360">
        <v>99340</v>
      </c>
      <c r="AD96" s="360">
        <v>496461</v>
      </c>
      <c r="AE96" s="361">
        <v>70.2</v>
      </c>
      <c r="AF96" s="362"/>
      <c r="AG96" s="362"/>
      <c r="AH96" s="362"/>
    </row>
    <row r="97" spans="1:34" ht="16.5">
      <c r="A97" s="74" t="s">
        <v>124</v>
      </c>
      <c r="B97" s="74" t="s">
        <v>124</v>
      </c>
      <c r="C97" s="76" t="s">
        <v>286</v>
      </c>
      <c r="D97" s="359">
        <v>4.2999999999999999E-4</v>
      </c>
      <c r="E97" s="360">
        <v>99723</v>
      </c>
      <c r="F97" s="360">
        <v>498511</v>
      </c>
      <c r="G97" s="361">
        <v>71.099999999999994</v>
      </c>
      <c r="H97" s="359">
        <v>5.5000000000000003E-4</v>
      </c>
      <c r="I97" s="360">
        <v>99682</v>
      </c>
      <c r="J97" s="360">
        <v>498274</v>
      </c>
      <c r="K97" s="361">
        <v>70.400000000000006</v>
      </c>
      <c r="L97" s="359">
        <v>6.8999999999999997E-4</v>
      </c>
      <c r="M97" s="360">
        <v>99633</v>
      </c>
      <c r="N97" s="360">
        <v>497994</v>
      </c>
      <c r="O97" s="361">
        <v>69.8</v>
      </c>
      <c r="P97" s="359">
        <v>8.9999999999999998E-4</v>
      </c>
      <c r="Q97" s="360">
        <v>99567</v>
      </c>
      <c r="R97" s="360">
        <v>497610</v>
      </c>
      <c r="S97" s="361">
        <v>68.900000000000006</v>
      </c>
      <c r="T97" s="359">
        <v>1.15E-3</v>
      </c>
      <c r="U97" s="360">
        <v>99485</v>
      </c>
      <c r="V97" s="360">
        <v>497133</v>
      </c>
      <c r="W97" s="361">
        <v>68.099999999999994</v>
      </c>
      <c r="X97" s="359">
        <v>1.4599999999999999E-3</v>
      </c>
      <c r="Y97" s="360">
        <v>99385</v>
      </c>
      <c r="Z97" s="360">
        <v>496554</v>
      </c>
      <c r="AA97" s="361">
        <v>67.2</v>
      </c>
      <c r="AB97" s="359">
        <v>1.6299999999999999E-3</v>
      </c>
      <c r="AC97" s="360">
        <v>99239</v>
      </c>
      <c r="AD97" s="360">
        <v>495821</v>
      </c>
      <c r="AE97" s="361">
        <v>65.2</v>
      </c>
      <c r="AF97" s="362"/>
      <c r="AG97" s="362"/>
      <c r="AH97" s="362"/>
    </row>
    <row r="98" spans="1:34" ht="16.5">
      <c r="A98" s="74" t="s">
        <v>124</v>
      </c>
      <c r="B98" s="74" t="s">
        <v>124</v>
      </c>
      <c r="C98" s="76" t="s">
        <v>287</v>
      </c>
      <c r="D98" s="359">
        <v>6.7000000000000002E-4</v>
      </c>
      <c r="E98" s="360">
        <v>99680</v>
      </c>
      <c r="F98" s="360">
        <v>498247</v>
      </c>
      <c r="G98" s="361">
        <v>66.099999999999994</v>
      </c>
      <c r="H98" s="359">
        <v>8.3000000000000001E-4</v>
      </c>
      <c r="I98" s="360">
        <v>99627</v>
      </c>
      <c r="J98" s="360">
        <v>497945</v>
      </c>
      <c r="K98" s="361">
        <v>65.400000000000006</v>
      </c>
      <c r="L98" s="359">
        <v>1.01E-3</v>
      </c>
      <c r="M98" s="360">
        <v>99564</v>
      </c>
      <c r="N98" s="360">
        <v>497589</v>
      </c>
      <c r="O98" s="361">
        <v>64.8</v>
      </c>
      <c r="P98" s="359">
        <v>1.2800000000000001E-3</v>
      </c>
      <c r="Q98" s="360">
        <v>99477</v>
      </c>
      <c r="R98" s="360">
        <v>497094</v>
      </c>
      <c r="S98" s="361">
        <v>64</v>
      </c>
      <c r="T98" s="359">
        <v>1.5900000000000001E-3</v>
      </c>
      <c r="U98" s="360">
        <v>99370</v>
      </c>
      <c r="V98" s="360">
        <v>496483</v>
      </c>
      <c r="W98" s="361">
        <v>63.1</v>
      </c>
      <c r="X98" s="359">
        <v>1.9599999999999999E-3</v>
      </c>
      <c r="Y98" s="360">
        <v>99240</v>
      </c>
      <c r="Z98" s="360">
        <v>495746</v>
      </c>
      <c r="AA98" s="361">
        <v>62.3</v>
      </c>
      <c r="AB98" s="359">
        <v>2.3600000000000001E-3</v>
      </c>
      <c r="AC98" s="360">
        <v>99077</v>
      </c>
      <c r="AD98" s="360">
        <v>494830</v>
      </c>
      <c r="AE98" s="361">
        <v>60.3</v>
      </c>
      <c r="AF98" s="362"/>
      <c r="AG98" s="362"/>
      <c r="AH98" s="362"/>
    </row>
    <row r="99" spans="1:34" ht="16.5">
      <c r="A99" s="74" t="s">
        <v>124</v>
      </c>
      <c r="B99" s="74" t="s">
        <v>124</v>
      </c>
      <c r="C99" s="76" t="s">
        <v>288</v>
      </c>
      <c r="D99" s="359">
        <v>9.5E-4</v>
      </c>
      <c r="E99" s="360">
        <v>99613</v>
      </c>
      <c r="F99" s="360">
        <v>497841</v>
      </c>
      <c r="G99" s="361">
        <v>61.1</v>
      </c>
      <c r="H99" s="359">
        <v>1.15E-3</v>
      </c>
      <c r="I99" s="360">
        <v>99544</v>
      </c>
      <c r="J99" s="360">
        <v>497447</v>
      </c>
      <c r="K99" s="361">
        <v>60.5</v>
      </c>
      <c r="L99" s="359">
        <v>1.39E-3</v>
      </c>
      <c r="M99" s="360">
        <v>99464</v>
      </c>
      <c r="N99" s="360">
        <v>496985</v>
      </c>
      <c r="O99" s="361">
        <v>59.9</v>
      </c>
      <c r="P99" s="359">
        <v>1.72E-3</v>
      </c>
      <c r="Q99" s="360">
        <v>99351</v>
      </c>
      <c r="R99" s="360">
        <v>496340</v>
      </c>
      <c r="S99" s="361">
        <v>59.1</v>
      </c>
      <c r="T99" s="359">
        <v>2.1199999999999999E-3</v>
      </c>
      <c r="U99" s="360">
        <v>99212</v>
      </c>
      <c r="V99" s="360">
        <v>495551</v>
      </c>
      <c r="W99" s="361">
        <v>58.2</v>
      </c>
      <c r="X99" s="359">
        <v>2.5699999999999998E-3</v>
      </c>
      <c r="Y99" s="360">
        <v>99045</v>
      </c>
      <c r="Z99" s="360">
        <v>494611</v>
      </c>
      <c r="AA99" s="361">
        <v>57.4</v>
      </c>
      <c r="AB99" s="359">
        <v>3.2699999999999999E-3</v>
      </c>
      <c r="AC99" s="360">
        <v>98844</v>
      </c>
      <c r="AD99" s="360">
        <v>493458</v>
      </c>
      <c r="AE99" s="361">
        <v>55.5</v>
      </c>
      <c r="AF99" s="362"/>
      <c r="AG99" s="362"/>
      <c r="AH99" s="362"/>
    </row>
    <row r="100" spans="1:34" ht="16.5">
      <c r="A100" s="74" t="s">
        <v>124</v>
      </c>
      <c r="B100" s="74" t="s">
        <v>124</v>
      </c>
      <c r="C100" s="76" t="s">
        <v>289</v>
      </c>
      <c r="D100" s="359">
        <v>1.3500000000000001E-3</v>
      </c>
      <c r="E100" s="360">
        <v>99519</v>
      </c>
      <c r="F100" s="360">
        <v>497283</v>
      </c>
      <c r="G100" s="361">
        <v>56.2</v>
      </c>
      <c r="H100" s="359">
        <v>1.6199999999999999E-3</v>
      </c>
      <c r="I100" s="360">
        <v>99430</v>
      </c>
      <c r="J100" s="360">
        <v>496773</v>
      </c>
      <c r="K100" s="361">
        <v>55.6</v>
      </c>
      <c r="L100" s="359">
        <v>1.92E-3</v>
      </c>
      <c r="M100" s="360">
        <v>99325</v>
      </c>
      <c r="N100" s="360">
        <v>496181</v>
      </c>
      <c r="O100" s="361">
        <v>54.9</v>
      </c>
      <c r="P100" s="359">
        <v>2.3500000000000001E-3</v>
      </c>
      <c r="Q100" s="360">
        <v>99180</v>
      </c>
      <c r="R100" s="360">
        <v>495352</v>
      </c>
      <c r="S100" s="361">
        <v>54.2</v>
      </c>
      <c r="T100" s="359">
        <v>2.8400000000000001E-3</v>
      </c>
      <c r="U100" s="360">
        <v>99002</v>
      </c>
      <c r="V100" s="360">
        <v>494349</v>
      </c>
      <c r="W100" s="361">
        <v>53.3</v>
      </c>
      <c r="X100" s="359">
        <v>3.3999999999999998E-3</v>
      </c>
      <c r="Y100" s="360">
        <v>98791</v>
      </c>
      <c r="Z100" s="360">
        <v>493166</v>
      </c>
      <c r="AA100" s="361">
        <v>52.5</v>
      </c>
      <c r="AB100" s="359">
        <v>4.4000000000000003E-3</v>
      </c>
      <c r="AC100" s="360">
        <v>98520</v>
      </c>
      <c r="AD100" s="360">
        <v>491546</v>
      </c>
      <c r="AE100" s="361">
        <v>50.6</v>
      </c>
      <c r="AF100" s="362"/>
      <c r="AG100" s="362"/>
      <c r="AH100" s="362"/>
    </row>
    <row r="101" spans="1:34" ht="16.5">
      <c r="A101" s="74" t="s">
        <v>124</v>
      </c>
      <c r="B101" s="74" t="s">
        <v>124</v>
      </c>
      <c r="C101" s="76" t="s">
        <v>290</v>
      </c>
      <c r="D101" s="359">
        <v>1.98E-3</v>
      </c>
      <c r="E101" s="360">
        <v>99385</v>
      </c>
      <c r="F101" s="360">
        <v>496456</v>
      </c>
      <c r="G101" s="361">
        <v>51.3</v>
      </c>
      <c r="H101" s="359">
        <v>2.3600000000000001E-3</v>
      </c>
      <c r="I101" s="360">
        <v>99269</v>
      </c>
      <c r="J101" s="360">
        <v>495786</v>
      </c>
      <c r="K101" s="361">
        <v>50.7</v>
      </c>
      <c r="L101" s="359">
        <v>2.7799999999999999E-3</v>
      </c>
      <c r="M101" s="360">
        <v>99134</v>
      </c>
      <c r="N101" s="360">
        <v>495016</v>
      </c>
      <c r="O101" s="361">
        <v>50</v>
      </c>
      <c r="P101" s="359">
        <v>3.3600000000000001E-3</v>
      </c>
      <c r="Q101" s="360">
        <v>98947</v>
      </c>
      <c r="R101" s="360">
        <v>493941</v>
      </c>
      <c r="S101" s="361">
        <v>49.3</v>
      </c>
      <c r="T101" s="359">
        <v>4.0200000000000001E-3</v>
      </c>
      <c r="U101" s="360">
        <v>98721</v>
      </c>
      <c r="V101" s="360">
        <v>492654</v>
      </c>
      <c r="W101" s="361">
        <v>48.5</v>
      </c>
      <c r="X101" s="359">
        <v>4.7699999999999999E-3</v>
      </c>
      <c r="Y101" s="360">
        <v>98456</v>
      </c>
      <c r="Z101" s="360">
        <v>491154</v>
      </c>
      <c r="AA101" s="361">
        <v>47.7</v>
      </c>
      <c r="AB101" s="359">
        <v>5.0600000000000003E-3</v>
      </c>
      <c r="AC101" s="360">
        <v>98087</v>
      </c>
      <c r="AD101" s="360">
        <v>489239</v>
      </c>
      <c r="AE101" s="361">
        <v>45.9</v>
      </c>
      <c r="AF101" s="362"/>
      <c r="AG101" s="362"/>
      <c r="AH101" s="362"/>
    </row>
    <row r="102" spans="1:34" ht="16.5">
      <c r="A102" s="74" t="s">
        <v>124</v>
      </c>
      <c r="B102" s="74" t="s">
        <v>124</v>
      </c>
      <c r="C102" s="76" t="s">
        <v>291</v>
      </c>
      <c r="D102" s="359">
        <v>2.7100000000000002E-3</v>
      </c>
      <c r="E102" s="360">
        <v>99188</v>
      </c>
      <c r="F102" s="360">
        <v>495309</v>
      </c>
      <c r="G102" s="361">
        <v>46.4</v>
      </c>
      <c r="H102" s="359">
        <v>3.2000000000000002E-3</v>
      </c>
      <c r="I102" s="360">
        <v>99035</v>
      </c>
      <c r="J102" s="360">
        <v>494431</v>
      </c>
      <c r="K102" s="361">
        <v>45.8</v>
      </c>
      <c r="L102" s="359">
        <v>3.7399999999999998E-3</v>
      </c>
      <c r="M102" s="360">
        <v>98859</v>
      </c>
      <c r="N102" s="360">
        <v>493429</v>
      </c>
      <c r="O102" s="361">
        <v>45.2</v>
      </c>
      <c r="P102" s="359">
        <v>4.4799999999999996E-3</v>
      </c>
      <c r="Q102" s="360">
        <v>98615</v>
      </c>
      <c r="R102" s="360">
        <v>492037</v>
      </c>
      <c r="S102" s="361">
        <v>44.4</v>
      </c>
      <c r="T102" s="359">
        <v>5.3200000000000001E-3</v>
      </c>
      <c r="U102" s="360">
        <v>98324</v>
      </c>
      <c r="V102" s="360">
        <v>490389</v>
      </c>
      <c r="W102" s="361">
        <v>43.7</v>
      </c>
      <c r="X102" s="359">
        <v>6.2599999999999999E-3</v>
      </c>
      <c r="Y102" s="360">
        <v>97987</v>
      </c>
      <c r="Z102" s="360">
        <v>488491</v>
      </c>
      <c r="AA102" s="361">
        <v>42.9</v>
      </c>
      <c r="AB102" s="359">
        <v>7.5199999999999998E-3</v>
      </c>
      <c r="AC102" s="360">
        <v>97590</v>
      </c>
      <c r="AD102" s="360">
        <v>486247</v>
      </c>
      <c r="AE102" s="361">
        <v>41.1</v>
      </c>
      <c r="AF102" s="362"/>
      <c r="AG102" s="362"/>
      <c r="AH102" s="362"/>
    </row>
    <row r="103" spans="1:34" ht="16.5">
      <c r="A103" s="74" t="s">
        <v>124</v>
      </c>
      <c r="B103" s="74" t="s">
        <v>124</v>
      </c>
      <c r="C103" s="76" t="s">
        <v>292</v>
      </c>
      <c r="D103" s="359">
        <v>4.1000000000000003E-3</v>
      </c>
      <c r="E103" s="360">
        <v>98919</v>
      </c>
      <c r="F103" s="360">
        <v>493631</v>
      </c>
      <c r="G103" s="361">
        <v>41.5</v>
      </c>
      <c r="H103" s="359">
        <v>4.8300000000000001E-3</v>
      </c>
      <c r="I103" s="360">
        <v>98718</v>
      </c>
      <c r="J103" s="360">
        <v>492455</v>
      </c>
      <c r="K103" s="361">
        <v>40.9</v>
      </c>
      <c r="L103" s="359">
        <v>5.64E-3</v>
      </c>
      <c r="M103" s="360">
        <v>98490</v>
      </c>
      <c r="N103" s="360">
        <v>491126</v>
      </c>
      <c r="O103" s="361">
        <v>40.299999999999997</v>
      </c>
      <c r="P103" s="359">
        <v>6.7600000000000004E-3</v>
      </c>
      <c r="Q103" s="360">
        <v>98173</v>
      </c>
      <c r="R103" s="360">
        <v>489289</v>
      </c>
      <c r="S103" s="361">
        <v>39.6</v>
      </c>
      <c r="T103" s="359">
        <v>8.0300000000000007E-3</v>
      </c>
      <c r="U103" s="360">
        <v>97800</v>
      </c>
      <c r="V103" s="360">
        <v>487137</v>
      </c>
      <c r="W103" s="361">
        <v>38.9</v>
      </c>
      <c r="X103" s="359">
        <v>9.4299999999999991E-3</v>
      </c>
      <c r="Y103" s="360">
        <v>97374</v>
      </c>
      <c r="Z103" s="360">
        <v>484686</v>
      </c>
      <c r="AA103" s="361">
        <v>38.200000000000003</v>
      </c>
      <c r="AB103" s="359">
        <v>1.068E-2</v>
      </c>
      <c r="AC103" s="360">
        <v>96857</v>
      </c>
      <c r="AD103" s="360">
        <v>481800</v>
      </c>
      <c r="AE103" s="361">
        <v>36.4</v>
      </c>
      <c r="AF103" s="362"/>
      <c r="AG103" s="362"/>
      <c r="AH103" s="362"/>
    </row>
    <row r="104" spans="1:34" ht="16.5">
      <c r="A104" s="74" t="s">
        <v>124</v>
      </c>
      <c r="B104" s="74" t="s">
        <v>124</v>
      </c>
      <c r="C104" s="76" t="s">
        <v>293</v>
      </c>
      <c r="D104" s="359">
        <v>5.1000000000000004E-3</v>
      </c>
      <c r="E104" s="360">
        <v>98514</v>
      </c>
      <c r="F104" s="360">
        <v>491360</v>
      </c>
      <c r="G104" s="361">
        <v>36.6</v>
      </c>
      <c r="H104" s="359">
        <v>6.0099999999999997E-3</v>
      </c>
      <c r="I104" s="360">
        <v>98241</v>
      </c>
      <c r="J104" s="360">
        <v>489781</v>
      </c>
      <c r="K104" s="361">
        <v>36.1</v>
      </c>
      <c r="L104" s="359">
        <v>7.0299999999999998E-3</v>
      </c>
      <c r="M104" s="360">
        <v>97934</v>
      </c>
      <c r="N104" s="360">
        <v>488010</v>
      </c>
      <c r="O104" s="361">
        <v>35.6</v>
      </c>
      <c r="P104" s="359">
        <v>8.4200000000000004E-3</v>
      </c>
      <c r="Q104" s="360">
        <v>97510</v>
      </c>
      <c r="R104" s="360">
        <v>485571</v>
      </c>
      <c r="S104" s="361">
        <v>34.9</v>
      </c>
      <c r="T104" s="359">
        <v>0.01</v>
      </c>
      <c r="U104" s="360">
        <v>97015</v>
      </c>
      <c r="V104" s="360">
        <v>482738</v>
      </c>
      <c r="W104" s="361">
        <v>34.200000000000003</v>
      </c>
      <c r="X104" s="359">
        <v>1.176E-2</v>
      </c>
      <c r="Y104" s="360">
        <v>96455</v>
      </c>
      <c r="Z104" s="360">
        <v>479543</v>
      </c>
      <c r="AA104" s="361">
        <v>33.5</v>
      </c>
      <c r="AB104" s="359">
        <v>1.387E-2</v>
      </c>
      <c r="AC104" s="360">
        <v>95822</v>
      </c>
      <c r="AD104" s="360">
        <v>475948</v>
      </c>
      <c r="AE104" s="361">
        <v>31.7</v>
      </c>
      <c r="AF104" s="362"/>
      <c r="AG104" s="362"/>
      <c r="AH104" s="362"/>
    </row>
    <row r="105" spans="1:34" ht="16.5">
      <c r="A105" s="74" t="s">
        <v>124</v>
      </c>
      <c r="B105" s="74" t="s">
        <v>124</v>
      </c>
      <c r="C105" s="76" t="s">
        <v>294</v>
      </c>
      <c r="D105" s="359">
        <v>7.4400000000000004E-3</v>
      </c>
      <c r="E105" s="360">
        <v>98012</v>
      </c>
      <c r="F105" s="360">
        <v>488371</v>
      </c>
      <c r="G105" s="361">
        <v>31.8</v>
      </c>
      <c r="H105" s="359">
        <v>8.77E-3</v>
      </c>
      <c r="I105" s="360">
        <v>97650</v>
      </c>
      <c r="J105" s="360">
        <v>486268</v>
      </c>
      <c r="K105" s="361">
        <v>31.3</v>
      </c>
      <c r="L105" s="359">
        <v>1.022E-2</v>
      </c>
      <c r="M105" s="360">
        <v>97245</v>
      </c>
      <c r="N105" s="360">
        <v>483923</v>
      </c>
      <c r="O105" s="361">
        <v>30.8</v>
      </c>
      <c r="P105" s="359">
        <v>1.221E-2</v>
      </c>
      <c r="Q105" s="360">
        <v>96689</v>
      </c>
      <c r="R105" s="360">
        <v>480704</v>
      </c>
      <c r="S105" s="361">
        <v>30.2</v>
      </c>
      <c r="T105" s="359">
        <v>1.448E-2</v>
      </c>
      <c r="U105" s="360">
        <v>96045</v>
      </c>
      <c r="V105" s="360">
        <v>476992</v>
      </c>
      <c r="W105" s="361">
        <v>29.5</v>
      </c>
      <c r="X105" s="359">
        <v>1.6979999999999999E-2</v>
      </c>
      <c r="Y105" s="360">
        <v>95321</v>
      </c>
      <c r="Z105" s="360">
        <v>472839</v>
      </c>
      <c r="AA105" s="361">
        <v>28.9</v>
      </c>
      <c r="AB105" s="359">
        <v>2.1170000000000001E-2</v>
      </c>
      <c r="AC105" s="360">
        <v>94493</v>
      </c>
      <c r="AD105" s="360">
        <v>467853</v>
      </c>
      <c r="AE105" s="361">
        <v>27.1</v>
      </c>
      <c r="AF105" s="362"/>
      <c r="AG105" s="362"/>
      <c r="AH105" s="362"/>
    </row>
    <row r="106" spans="1:34" ht="16.5">
      <c r="A106" s="74" t="s">
        <v>124</v>
      </c>
      <c r="B106" s="74" t="s">
        <v>124</v>
      </c>
      <c r="C106" s="76" t="s">
        <v>295</v>
      </c>
      <c r="D106" s="359">
        <v>1.2970000000000001E-2</v>
      </c>
      <c r="E106" s="360">
        <v>97282</v>
      </c>
      <c r="F106" s="360">
        <v>483571</v>
      </c>
      <c r="G106" s="361">
        <v>27</v>
      </c>
      <c r="H106" s="359">
        <v>1.504E-2</v>
      </c>
      <c r="I106" s="360">
        <v>96794</v>
      </c>
      <c r="J106" s="360">
        <v>480679</v>
      </c>
      <c r="K106" s="361">
        <v>26.5</v>
      </c>
      <c r="L106" s="359">
        <v>1.7299999999999999E-2</v>
      </c>
      <c r="M106" s="360">
        <v>96251</v>
      </c>
      <c r="N106" s="360">
        <v>477479</v>
      </c>
      <c r="O106" s="361">
        <v>26.1</v>
      </c>
      <c r="P106" s="359">
        <v>2.035E-2</v>
      </c>
      <c r="Q106" s="360">
        <v>95508</v>
      </c>
      <c r="R106" s="360">
        <v>473110</v>
      </c>
      <c r="S106" s="361">
        <v>25.5</v>
      </c>
      <c r="T106" s="359">
        <v>2.375E-2</v>
      </c>
      <c r="U106" s="360">
        <v>94654</v>
      </c>
      <c r="V106" s="360">
        <v>468122</v>
      </c>
      <c r="W106" s="361">
        <v>24.9</v>
      </c>
      <c r="X106" s="359">
        <v>2.7449999999999999E-2</v>
      </c>
      <c r="Y106" s="360">
        <v>93702</v>
      </c>
      <c r="Z106" s="360">
        <v>462597</v>
      </c>
      <c r="AA106" s="361">
        <v>24.3</v>
      </c>
      <c r="AB106" s="359">
        <v>3.6290000000000003E-2</v>
      </c>
      <c r="AC106" s="360">
        <v>92493</v>
      </c>
      <c r="AD106" s="360">
        <v>454791</v>
      </c>
      <c r="AE106" s="361">
        <v>22.7</v>
      </c>
      <c r="AF106" s="362"/>
      <c r="AG106" s="362"/>
      <c r="AH106" s="362"/>
    </row>
    <row r="107" spans="1:34" ht="16.5">
      <c r="A107" s="74" t="s">
        <v>124</v>
      </c>
      <c r="B107" s="74" t="s">
        <v>124</v>
      </c>
      <c r="C107" s="76" t="s">
        <v>296</v>
      </c>
      <c r="D107" s="359">
        <v>2.648E-2</v>
      </c>
      <c r="E107" s="360">
        <v>96021</v>
      </c>
      <c r="F107" s="360">
        <v>474500</v>
      </c>
      <c r="G107" s="361">
        <v>22.3</v>
      </c>
      <c r="H107" s="359">
        <v>3.0020000000000002E-2</v>
      </c>
      <c r="I107" s="360">
        <v>95338</v>
      </c>
      <c r="J107" s="360">
        <v>470356</v>
      </c>
      <c r="K107" s="361">
        <v>21.9</v>
      </c>
      <c r="L107" s="359">
        <v>3.3759999999999998E-2</v>
      </c>
      <c r="M107" s="360">
        <v>94586</v>
      </c>
      <c r="N107" s="360">
        <v>465836</v>
      </c>
      <c r="O107" s="361">
        <v>21.5</v>
      </c>
      <c r="P107" s="359">
        <v>3.8710000000000001E-2</v>
      </c>
      <c r="Q107" s="360">
        <v>93565</v>
      </c>
      <c r="R107" s="360">
        <v>459737</v>
      </c>
      <c r="S107" s="361">
        <v>21</v>
      </c>
      <c r="T107" s="359">
        <v>4.4110000000000003E-2</v>
      </c>
      <c r="U107" s="360">
        <v>92405</v>
      </c>
      <c r="V107" s="360">
        <v>452885</v>
      </c>
      <c r="W107" s="361">
        <v>20.399999999999999</v>
      </c>
      <c r="X107" s="359">
        <v>4.981E-2</v>
      </c>
      <c r="Y107" s="360">
        <v>91130</v>
      </c>
      <c r="Z107" s="360">
        <v>445422</v>
      </c>
      <c r="AA107" s="361">
        <v>19.899999999999999</v>
      </c>
      <c r="AB107" s="359">
        <v>6.4659999999999995E-2</v>
      </c>
      <c r="AC107" s="360">
        <v>89137</v>
      </c>
      <c r="AD107" s="360">
        <v>432523</v>
      </c>
      <c r="AE107" s="361">
        <v>18.399999999999999</v>
      </c>
      <c r="AF107" s="362"/>
      <c r="AG107" s="362"/>
      <c r="AH107" s="362"/>
    </row>
    <row r="108" spans="1:34" ht="16.5">
      <c r="A108" s="74" t="s">
        <v>124</v>
      </c>
      <c r="B108" s="74" t="s">
        <v>124</v>
      </c>
      <c r="C108" s="76" t="s">
        <v>297</v>
      </c>
      <c r="D108" s="359">
        <v>5.4210000000000001E-2</v>
      </c>
      <c r="E108" s="360">
        <v>93478</v>
      </c>
      <c r="F108" s="360">
        <v>456066</v>
      </c>
      <c r="G108" s="361">
        <v>17.899999999999999</v>
      </c>
      <c r="H108" s="359">
        <v>6.0049999999999999E-2</v>
      </c>
      <c r="I108" s="360">
        <v>92476</v>
      </c>
      <c r="J108" s="360">
        <v>449910</v>
      </c>
      <c r="K108" s="361">
        <v>17.5</v>
      </c>
      <c r="L108" s="359">
        <v>6.608E-2</v>
      </c>
      <c r="M108" s="360">
        <v>91393</v>
      </c>
      <c r="N108" s="360">
        <v>443337</v>
      </c>
      <c r="O108" s="361">
        <v>17.100000000000001</v>
      </c>
      <c r="P108" s="359">
        <v>7.3889999999999997E-2</v>
      </c>
      <c r="Q108" s="360">
        <v>89943</v>
      </c>
      <c r="R108" s="360">
        <v>434631</v>
      </c>
      <c r="S108" s="361">
        <v>16.7</v>
      </c>
      <c r="T108" s="359">
        <v>8.2170000000000007E-2</v>
      </c>
      <c r="U108" s="360">
        <v>88330</v>
      </c>
      <c r="V108" s="360">
        <v>425084</v>
      </c>
      <c r="W108" s="361">
        <v>16.3</v>
      </c>
      <c r="X108" s="359">
        <v>9.0700000000000003E-2</v>
      </c>
      <c r="Y108" s="360">
        <v>86591</v>
      </c>
      <c r="Z108" s="360">
        <v>414933</v>
      </c>
      <c r="AA108" s="361">
        <v>15.8</v>
      </c>
      <c r="AB108" s="359">
        <v>0.11414000000000001</v>
      </c>
      <c r="AC108" s="360">
        <v>83374</v>
      </c>
      <c r="AD108" s="360">
        <v>394856</v>
      </c>
      <c r="AE108" s="361">
        <v>14.5</v>
      </c>
      <c r="AF108" s="362"/>
      <c r="AG108" s="362"/>
      <c r="AH108" s="362"/>
    </row>
    <row r="109" spans="1:34" ht="16.5">
      <c r="A109" s="74" t="s">
        <v>124</v>
      </c>
      <c r="B109" s="74" t="s">
        <v>124</v>
      </c>
      <c r="C109" s="76" t="s">
        <v>298</v>
      </c>
      <c r="D109" s="359">
        <v>0.10838</v>
      </c>
      <c r="E109" s="360">
        <v>88410</v>
      </c>
      <c r="F109" s="360">
        <v>420398</v>
      </c>
      <c r="G109" s="361">
        <v>13.7</v>
      </c>
      <c r="H109" s="359">
        <v>0.11718000000000001</v>
      </c>
      <c r="I109" s="360">
        <v>86923</v>
      </c>
      <c r="J109" s="360">
        <v>411467</v>
      </c>
      <c r="K109" s="361">
        <v>13.4</v>
      </c>
      <c r="L109" s="359">
        <v>0.12601999999999999</v>
      </c>
      <c r="M109" s="360">
        <v>85354</v>
      </c>
      <c r="N109" s="360">
        <v>402192</v>
      </c>
      <c r="O109" s="361">
        <v>13.2</v>
      </c>
      <c r="P109" s="359">
        <v>0.13725000000000001</v>
      </c>
      <c r="Q109" s="360">
        <v>83297</v>
      </c>
      <c r="R109" s="360">
        <v>390197</v>
      </c>
      <c r="S109" s="361">
        <v>12.8</v>
      </c>
      <c r="T109" s="359">
        <v>0.14881</v>
      </c>
      <c r="U109" s="360">
        <v>81072</v>
      </c>
      <c r="V109" s="360">
        <v>377443</v>
      </c>
      <c r="W109" s="361">
        <v>12.5</v>
      </c>
      <c r="X109" s="359">
        <v>0.16037000000000001</v>
      </c>
      <c r="Y109" s="360">
        <v>78737</v>
      </c>
      <c r="Z109" s="360">
        <v>364291</v>
      </c>
      <c r="AA109" s="361">
        <v>12.2</v>
      </c>
      <c r="AB109" s="359">
        <v>0.19603999999999999</v>
      </c>
      <c r="AC109" s="360">
        <v>73857</v>
      </c>
      <c r="AD109" s="360">
        <v>335206</v>
      </c>
      <c r="AE109" s="361">
        <v>11</v>
      </c>
      <c r="AF109" s="362"/>
      <c r="AG109" s="362"/>
      <c r="AH109" s="362"/>
    </row>
    <row r="110" spans="1:34" ht="16.5">
      <c r="A110" s="74" t="s">
        <v>124</v>
      </c>
      <c r="B110" s="74" t="s">
        <v>124</v>
      </c>
      <c r="C110" s="76" t="s">
        <v>204</v>
      </c>
      <c r="D110" s="359">
        <v>0.20846999999999999</v>
      </c>
      <c r="E110" s="360">
        <v>78829</v>
      </c>
      <c r="F110" s="360">
        <v>356139</v>
      </c>
      <c r="G110" s="361">
        <v>10.1</v>
      </c>
      <c r="H110" s="359">
        <v>0.22005</v>
      </c>
      <c r="I110" s="360">
        <v>76737</v>
      </c>
      <c r="J110" s="360">
        <v>344395</v>
      </c>
      <c r="K110" s="361">
        <v>9.9</v>
      </c>
      <c r="L110" s="359">
        <v>0.23136000000000001</v>
      </c>
      <c r="M110" s="360">
        <v>74597</v>
      </c>
      <c r="N110" s="360">
        <v>332593</v>
      </c>
      <c r="O110" s="361">
        <v>9.6999999999999993</v>
      </c>
      <c r="P110" s="359">
        <v>0.24546000000000001</v>
      </c>
      <c r="Q110" s="360">
        <v>71865</v>
      </c>
      <c r="R110" s="360">
        <v>317748</v>
      </c>
      <c r="S110" s="361">
        <v>9.4</v>
      </c>
      <c r="T110" s="359">
        <v>0.25955</v>
      </c>
      <c r="U110" s="360">
        <v>69008</v>
      </c>
      <c r="V110" s="360">
        <v>302534</v>
      </c>
      <c r="W110" s="361">
        <v>9.1999999999999993</v>
      </c>
      <c r="X110" s="359">
        <v>0.27321000000000001</v>
      </c>
      <c r="Y110" s="360">
        <v>66110</v>
      </c>
      <c r="Z110" s="360">
        <v>287406</v>
      </c>
      <c r="AA110" s="361">
        <v>9</v>
      </c>
      <c r="AB110" s="359">
        <v>0.32283000000000001</v>
      </c>
      <c r="AC110" s="360">
        <v>59378</v>
      </c>
      <c r="AD110" s="360">
        <v>250395</v>
      </c>
      <c r="AE110" s="361">
        <v>8.1</v>
      </c>
      <c r="AF110" s="362"/>
      <c r="AG110" s="362"/>
      <c r="AH110" s="362"/>
    </row>
    <row r="111" spans="1:34" ht="16.5">
      <c r="A111" s="74" t="s">
        <v>124</v>
      </c>
      <c r="B111" s="74" t="s">
        <v>124</v>
      </c>
      <c r="C111" s="76" t="s">
        <v>203</v>
      </c>
      <c r="D111" s="359">
        <v>0.37314999999999998</v>
      </c>
      <c r="E111" s="360">
        <v>62395</v>
      </c>
      <c r="F111" s="360">
        <v>255767</v>
      </c>
      <c r="G111" s="361">
        <v>7</v>
      </c>
      <c r="H111" s="359">
        <v>0.38527</v>
      </c>
      <c r="I111" s="360">
        <v>59851</v>
      </c>
      <c r="J111" s="360">
        <v>243231</v>
      </c>
      <c r="K111" s="361">
        <v>6.9</v>
      </c>
      <c r="L111" s="359">
        <v>0.39673999999999998</v>
      </c>
      <c r="M111" s="360">
        <v>57339</v>
      </c>
      <c r="N111" s="360">
        <v>231090</v>
      </c>
      <c r="O111" s="361">
        <v>6.8</v>
      </c>
      <c r="P111" s="359">
        <v>0.41092000000000001</v>
      </c>
      <c r="Q111" s="360">
        <v>54225</v>
      </c>
      <c r="R111" s="360">
        <v>216263</v>
      </c>
      <c r="S111" s="361">
        <v>6.6</v>
      </c>
      <c r="T111" s="359">
        <v>0.42466999999999999</v>
      </c>
      <c r="U111" s="360">
        <v>51097</v>
      </c>
      <c r="V111" s="360">
        <v>201681</v>
      </c>
      <c r="W111" s="361">
        <v>6.5</v>
      </c>
      <c r="X111" s="359">
        <v>0.43758000000000002</v>
      </c>
      <c r="Y111" s="360">
        <v>48048</v>
      </c>
      <c r="Z111" s="360">
        <v>187761</v>
      </c>
      <c r="AA111" s="361">
        <v>6.3</v>
      </c>
      <c r="AB111" s="359">
        <v>0.49704999999999999</v>
      </c>
      <c r="AC111" s="360">
        <v>40209</v>
      </c>
      <c r="AD111" s="360">
        <v>150095</v>
      </c>
      <c r="AE111" s="361">
        <v>5.7</v>
      </c>
      <c r="AF111" s="362"/>
      <c r="AG111" s="362"/>
      <c r="AH111" s="362"/>
    </row>
    <row r="112" spans="1:34" ht="16.5">
      <c r="A112" s="74" t="s">
        <v>124</v>
      </c>
      <c r="B112" s="74" t="s">
        <v>124</v>
      </c>
      <c r="C112" s="76" t="s">
        <v>299</v>
      </c>
      <c r="D112" s="359">
        <v>0.59526000000000001</v>
      </c>
      <c r="E112" s="360">
        <v>39112</v>
      </c>
      <c r="F112" s="360">
        <v>135026</v>
      </c>
      <c r="G112" s="361">
        <v>4.7</v>
      </c>
      <c r="H112" s="359">
        <v>0.60365999999999997</v>
      </c>
      <c r="I112" s="360">
        <v>36792</v>
      </c>
      <c r="J112" s="360">
        <v>125883</v>
      </c>
      <c r="K112" s="361">
        <v>4.5999999999999996</v>
      </c>
      <c r="L112" s="359">
        <v>0.61133000000000004</v>
      </c>
      <c r="M112" s="360">
        <v>34590</v>
      </c>
      <c r="N112" s="360">
        <v>117360</v>
      </c>
      <c r="O112" s="361">
        <v>4.5</v>
      </c>
      <c r="P112" s="359">
        <v>0.62097999999999998</v>
      </c>
      <c r="Q112" s="360">
        <v>31943</v>
      </c>
      <c r="R112" s="360">
        <v>107227</v>
      </c>
      <c r="S112" s="361">
        <v>4.5</v>
      </c>
      <c r="T112" s="359">
        <v>0.63005999999999995</v>
      </c>
      <c r="U112" s="360">
        <v>29398</v>
      </c>
      <c r="V112" s="360">
        <v>97672</v>
      </c>
      <c r="W112" s="361">
        <v>4.4000000000000004</v>
      </c>
      <c r="X112" s="359">
        <v>0.63831000000000004</v>
      </c>
      <c r="Y112" s="360">
        <v>27023</v>
      </c>
      <c r="Z112" s="360">
        <v>88924</v>
      </c>
      <c r="AA112" s="361">
        <v>4.3</v>
      </c>
      <c r="AB112" s="359">
        <v>0.69450000000000001</v>
      </c>
      <c r="AC112" s="360">
        <v>20223</v>
      </c>
      <c r="AD112" s="360">
        <v>62462</v>
      </c>
      <c r="AE112" s="361">
        <v>3.9</v>
      </c>
      <c r="AF112" s="362"/>
      <c r="AG112" s="362"/>
      <c r="AH112" s="362"/>
    </row>
    <row r="113" spans="1:34" ht="16.5">
      <c r="A113" s="73" t="s">
        <v>124</v>
      </c>
      <c r="B113" s="73" t="s">
        <v>124</v>
      </c>
      <c r="C113" s="75" t="s">
        <v>300</v>
      </c>
      <c r="D113" s="359">
        <v>1</v>
      </c>
      <c r="E113" s="360">
        <v>15830</v>
      </c>
      <c r="F113" s="360">
        <v>47583</v>
      </c>
      <c r="G113" s="361">
        <v>3</v>
      </c>
      <c r="H113" s="359">
        <v>1</v>
      </c>
      <c r="I113" s="360">
        <v>14582</v>
      </c>
      <c r="J113" s="360">
        <v>43547</v>
      </c>
      <c r="K113" s="361">
        <v>3</v>
      </c>
      <c r="L113" s="359">
        <v>1</v>
      </c>
      <c r="M113" s="360">
        <v>13444</v>
      </c>
      <c r="N113" s="360">
        <v>39921</v>
      </c>
      <c r="O113" s="361">
        <v>3</v>
      </c>
      <c r="P113" s="359">
        <v>1</v>
      </c>
      <c r="Q113" s="360">
        <v>12107</v>
      </c>
      <c r="R113" s="360">
        <v>35657</v>
      </c>
      <c r="S113" s="361">
        <v>2.9</v>
      </c>
      <c r="T113" s="359">
        <v>1</v>
      </c>
      <c r="U113" s="360">
        <v>10875</v>
      </c>
      <c r="V113" s="360">
        <v>31790</v>
      </c>
      <c r="W113" s="361">
        <v>2.9</v>
      </c>
      <c r="X113" s="359">
        <v>1</v>
      </c>
      <c r="Y113" s="360">
        <v>9774</v>
      </c>
      <c r="Z113" s="360">
        <v>28386</v>
      </c>
      <c r="AA113" s="361">
        <v>2.9</v>
      </c>
      <c r="AB113" s="359">
        <v>1</v>
      </c>
      <c r="AC113" s="360">
        <v>6178</v>
      </c>
      <c r="AD113" s="360">
        <v>16147</v>
      </c>
      <c r="AE113" s="361">
        <v>2.6</v>
      </c>
      <c r="AF113" s="362"/>
      <c r="AG113" s="362"/>
      <c r="AH113" s="362"/>
    </row>
  </sheetData>
  <mergeCells count="16">
    <mergeCell ref="A1:K1"/>
    <mergeCell ref="L1:V1"/>
    <mergeCell ref="W1:AG1"/>
    <mergeCell ref="A2:K2"/>
    <mergeCell ref="L2:V2"/>
    <mergeCell ref="W2:AG2"/>
    <mergeCell ref="L68:O68"/>
    <mergeCell ref="P68:S68"/>
    <mergeCell ref="T68:W68"/>
    <mergeCell ref="X68:AA68"/>
    <mergeCell ref="AB68:AE68"/>
    <mergeCell ref="A68:A69"/>
    <mergeCell ref="B68:B69"/>
    <mergeCell ref="C68:C69"/>
    <mergeCell ref="D68:G68"/>
    <mergeCell ref="H68:K68"/>
  </mergeCells>
  <phoneticPr fontId="10" type="noConversion"/>
  <printOptions horizontalCentered="1"/>
  <pageMargins left="0.98425196850393704" right="0.94488188976377963" top="0.98425196850393704" bottom="0.98425196850393704" header="0.31496062992125984" footer="0.9055118110236221"/>
  <pageSetup paperSize="9" scale="97" pageOrder="overThenDown" orientation="portrait" horizontalDpi="360" verticalDpi="360" r:id="rId1"/>
  <headerFooter alignWithMargins="0"/>
  <colBreaks count="1" manualBreakCount="1">
    <brk id="2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1"/>
  </sheetPr>
  <dimension ref="A1:K177"/>
  <sheetViews>
    <sheetView topLeftCell="A4" workbookViewId="0">
      <selection activeCell="M40" sqref="M40"/>
    </sheetView>
  </sheetViews>
  <sheetFormatPr defaultRowHeight="13.5"/>
  <cols>
    <col min="5" max="5" width="9" customWidth="1"/>
    <col min="6" max="6" width="14.77734375" bestFit="1" customWidth="1"/>
  </cols>
  <sheetData>
    <row r="1" spans="1:11" ht="24">
      <c r="A1" s="1148" t="s">
        <v>767</v>
      </c>
      <c r="B1" s="1148"/>
      <c r="C1" s="1148"/>
      <c r="D1" s="1148"/>
      <c r="E1" s="1148"/>
      <c r="F1" s="403"/>
      <c r="G1" s="403"/>
      <c r="H1" s="403"/>
      <c r="I1" s="403"/>
      <c r="J1" s="403"/>
      <c r="K1" s="403"/>
    </row>
    <row r="2" spans="1:11" ht="16.5">
      <c r="A2" s="391" t="s">
        <v>768</v>
      </c>
      <c r="B2" s="391" t="s">
        <v>769</v>
      </c>
      <c r="C2" s="391" t="s">
        <v>770</v>
      </c>
      <c r="D2" s="391" t="s">
        <v>771</v>
      </c>
      <c r="E2" s="391" t="s">
        <v>772</v>
      </c>
      <c r="F2" s="391" t="s">
        <v>923</v>
      </c>
      <c r="G2" s="391" t="s">
        <v>924</v>
      </c>
      <c r="H2" s="405"/>
      <c r="I2" s="405"/>
      <c r="J2" s="405"/>
      <c r="K2" s="405"/>
    </row>
    <row r="3" spans="1:11" s="419" customFormat="1" ht="16.5">
      <c r="A3" s="408" t="s">
        <v>19</v>
      </c>
      <c r="B3" s="408"/>
      <c r="C3" s="408"/>
      <c r="D3" s="408">
        <f>SUM(D4,D17,D31,D45,D59,D74,D91,D103,D113,D126,D143)</f>
        <v>41008</v>
      </c>
      <c r="E3" s="408">
        <f>SUM(E4,E17,E31,E45,E59,E74,E91,E103,E113,E126,E143)</f>
        <v>94553</v>
      </c>
      <c r="F3" s="408">
        <f>SUM(F4,F17,F31,F45,F59,F74,F91,F103,F113,F126,F143)</f>
        <v>83739</v>
      </c>
      <c r="G3" s="418">
        <f>F3/E3</f>
        <v>0.88563028142946287</v>
      </c>
      <c r="H3" s="405"/>
      <c r="I3" s="405"/>
      <c r="J3" s="405"/>
      <c r="K3" s="405"/>
    </row>
    <row r="4" spans="1:11" ht="16.5">
      <c r="A4" s="402"/>
      <c r="B4" s="402"/>
      <c r="C4" s="402" t="s">
        <v>672</v>
      </c>
      <c r="D4" s="401">
        <f>SUM(D5:D16)</f>
        <v>17257</v>
      </c>
      <c r="E4" s="401">
        <f>SUM(E5:E16)</f>
        <v>42299</v>
      </c>
      <c r="F4" s="401">
        <f>SUM(F5:F16)</f>
        <v>42299</v>
      </c>
      <c r="G4" s="400"/>
      <c r="H4" s="405"/>
      <c r="I4" s="405"/>
      <c r="J4" s="405"/>
      <c r="K4" s="405"/>
    </row>
    <row r="5" spans="1:11" ht="16.5">
      <c r="A5" s="414" t="s">
        <v>766</v>
      </c>
      <c r="B5" s="414" t="s">
        <v>773</v>
      </c>
      <c r="C5" s="414" t="s">
        <v>774</v>
      </c>
      <c r="D5" s="415">
        <v>5402</v>
      </c>
      <c r="E5" s="415">
        <v>13193</v>
      </c>
      <c r="F5" s="415">
        <v>13193</v>
      </c>
      <c r="G5" s="389"/>
      <c r="H5" s="403"/>
      <c r="I5" s="403"/>
      <c r="J5" s="403"/>
      <c r="K5" s="403"/>
    </row>
    <row r="6" spans="1:11" ht="16.5">
      <c r="A6" s="414" t="s">
        <v>766</v>
      </c>
      <c r="B6" s="414" t="s">
        <v>773</v>
      </c>
      <c r="C6" s="414" t="s">
        <v>775</v>
      </c>
      <c r="D6" s="415">
        <v>1513</v>
      </c>
      <c r="E6" s="415">
        <v>3149</v>
      </c>
      <c r="F6" s="415">
        <v>3149</v>
      </c>
      <c r="G6" s="389"/>
      <c r="H6" s="403"/>
      <c r="I6" s="403"/>
      <c r="J6" s="403"/>
      <c r="K6" s="403"/>
    </row>
    <row r="7" spans="1:11" ht="16.5">
      <c r="A7" s="414" t="s">
        <v>766</v>
      </c>
      <c r="B7" s="414" t="s">
        <v>773</v>
      </c>
      <c r="C7" s="414" t="s">
        <v>776</v>
      </c>
      <c r="D7" s="415">
        <v>363</v>
      </c>
      <c r="E7" s="415">
        <v>889</v>
      </c>
      <c r="F7" s="415">
        <v>889</v>
      </c>
      <c r="G7" s="399"/>
      <c r="H7" s="413"/>
      <c r="I7" s="413"/>
      <c r="J7" s="413"/>
      <c r="K7" s="413"/>
    </row>
    <row r="8" spans="1:11" ht="16.5">
      <c r="A8" s="414" t="s">
        <v>766</v>
      </c>
      <c r="B8" s="414" t="s">
        <v>773</v>
      </c>
      <c r="C8" s="414" t="s">
        <v>777</v>
      </c>
      <c r="D8" s="415">
        <v>2040</v>
      </c>
      <c r="E8" s="415">
        <v>5285</v>
      </c>
      <c r="F8" s="415">
        <v>5285</v>
      </c>
      <c r="G8" s="399"/>
      <c r="H8" s="413"/>
      <c r="I8" s="413"/>
      <c r="J8" s="413"/>
      <c r="K8" s="413"/>
    </row>
    <row r="9" spans="1:11" ht="16.5">
      <c r="A9" s="414" t="s">
        <v>766</v>
      </c>
      <c r="B9" s="414" t="s">
        <v>773</v>
      </c>
      <c r="C9" s="414" t="s">
        <v>778</v>
      </c>
      <c r="D9" s="415">
        <v>1519</v>
      </c>
      <c r="E9" s="415">
        <v>3858</v>
      </c>
      <c r="F9" s="415">
        <v>3858</v>
      </c>
      <c r="G9" s="399"/>
      <c r="H9" s="413"/>
      <c r="I9" s="413"/>
      <c r="J9" s="413"/>
      <c r="K9" s="413"/>
    </row>
    <row r="10" spans="1:11" ht="16.5">
      <c r="A10" s="414" t="s">
        <v>766</v>
      </c>
      <c r="B10" s="414" t="s">
        <v>773</v>
      </c>
      <c r="C10" s="414" t="s">
        <v>779</v>
      </c>
      <c r="D10" s="415">
        <v>3456</v>
      </c>
      <c r="E10" s="415">
        <v>8800</v>
      </c>
      <c r="F10" s="415">
        <v>8800</v>
      </c>
      <c r="G10" s="399"/>
      <c r="H10" s="413"/>
      <c r="I10" s="413"/>
      <c r="J10" s="413"/>
      <c r="K10" s="413"/>
    </row>
    <row r="11" spans="1:11" ht="16.5">
      <c r="A11" s="414" t="s">
        <v>766</v>
      </c>
      <c r="B11" s="414" t="s">
        <v>773</v>
      </c>
      <c r="C11" s="414" t="s">
        <v>780</v>
      </c>
      <c r="D11" s="415">
        <v>312</v>
      </c>
      <c r="E11" s="415">
        <v>579</v>
      </c>
      <c r="F11" s="415">
        <v>579</v>
      </c>
      <c r="G11" s="399"/>
      <c r="H11" s="413"/>
      <c r="I11" s="413"/>
      <c r="J11" s="413"/>
      <c r="K11" s="413"/>
    </row>
    <row r="12" spans="1:11" ht="16.5">
      <c r="A12" s="414" t="s">
        <v>766</v>
      </c>
      <c r="B12" s="414" t="s">
        <v>773</v>
      </c>
      <c r="C12" s="414" t="s">
        <v>781</v>
      </c>
      <c r="D12" s="415">
        <v>50</v>
      </c>
      <c r="E12" s="415">
        <v>94</v>
      </c>
      <c r="F12" s="415">
        <v>94</v>
      </c>
      <c r="G12" s="399"/>
      <c r="H12" s="413"/>
      <c r="I12" s="413"/>
      <c r="J12" s="413"/>
      <c r="K12" s="413"/>
    </row>
    <row r="13" spans="1:11" ht="16.5">
      <c r="A13" s="414" t="s">
        <v>766</v>
      </c>
      <c r="B13" s="414" t="s">
        <v>773</v>
      </c>
      <c r="C13" s="414" t="s">
        <v>782</v>
      </c>
      <c r="D13" s="415">
        <v>72</v>
      </c>
      <c r="E13" s="415">
        <v>170</v>
      </c>
      <c r="F13" s="415">
        <v>170</v>
      </c>
      <c r="G13" s="399"/>
      <c r="H13" s="413"/>
      <c r="I13" s="413"/>
      <c r="J13" s="413"/>
      <c r="K13" s="413"/>
    </row>
    <row r="14" spans="1:11" ht="16.5">
      <c r="A14" s="414" t="s">
        <v>766</v>
      </c>
      <c r="B14" s="414" t="s">
        <v>773</v>
      </c>
      <c r="C14" s="414" t="s">
        <v>783</v>
      </c>
      <c r="D14" s="415">
        <v>1715</v>
      </c>
      <c r="E14" s="415">
        <v>4494</v>
      </c>
      <c r="F14" s="415">
        <v>4494</v>
      </c>
      <c r="G14" s="399"/>
      <c r="H14" s="413"/>
      <c r="I14" s="413"/>
      <c r="J14" s="413"/>
      <c r="K14" s="413"/>
    </row>
    <row r="15" spans="1:11" ht="16.5">
      <c r="A15" s="414" t="s">
        <v>766</v>
      </c>
      <c r="B15" s="414" t="s">
        <v>773</v>
      </c>
      <c r="C15" s="414" t="s">
        <v>784</v>
      </c>
      <c r="D15" s="415">
        <v>686</v>
      </c>
      <c r="E15" s="415">
        <v>1482</v>
      </c>
      <c r="F15" s="415">
        <v>1482</v>
      </c>
      <c r="G15" s="399"/>
      <c r="H15" s="413"/>
      <c r="I15" s="413"/>
      <c r="J15" s="413"/>
      <c r="K15" s="413"/>
    </row>
    <row r="16" spans="1:11" ht="16.5">
      <c r="A16" s="414" t="s">
        <v>766</v>
      </c>
      <c r="B16" s="414" t="s">
        <v>773</v>
      </c>
      <c r="C16" s="414" t="s">
        <v>785</v>
      </c>
      <c r="D16" s="415">
        <v>129</v>
      </c>
      <c r="E16" s="415">
        <v>306</v>
      </c>
      <c r="F16" s="415">
        <v>306</v>
      </c>
      <c r="G16" s="399"/>
      <c r="H16" s="413"/>
      <c r="I16" s="413"/>
      <c r="J16" s="413"/>
      <c r="K16" s="413"/>
    </row>
    <row r="17" spans="1:11" ht="16.5">
      <c r="A17" s="402"/>
      <c r="B17" s="402"/>
      <c r="C17" s="402" t="s">
        <v>672</v>
      </c>
      <c r="D17" s="401">
        <f>SUM(D18:D30)</f>
        <v>4976</v>
      </c>
      <c r="E17" s="401">
        <f>SUM(E18:E30)</f>
        <v>10258</v>
      </c>
      <c r="F17" s="401">
        <f>SUM(F18:F30)</f>
        <v>10258</v>
      </c>
      <c r="G17" s="399"/>
      <c r="H17" s="413"/>
      <c r="I17" s="413"/>
      <c r="J17" s="413"/>
      <c r="K17" s="413"/>
    </row>
    <row r="18" spans="1:11" ht="16.5">
      <c r="A18" s="414" t="s">
        <v>766</v>
      </c>
      <c r="B18" s="414" t="s">
        <v>786</v>
      </c>
      <c r="C18" s="414" t="s">
        <v>787</v>
      </c>
      <c r="D18" s="415">
        <v>1848</v>
      </c>
      <c r="E18" s="415">
        <v>3847</v>
      </c>
      <c r="F18" s="415">
        <v>3847</v>
      </c>
      <c r="G18" s="399"/>
      <c r="H18" s="413"/>
      <c r="I18" s="413"/>
      <c r="J18" s="413"/>
      <c r="K18" s="413"/>
    </row>
    <row r="19" spans="1:11" ht="16.5">
      <c r="A19" s="414" t="s">
        <v>766</v>
      </c>
      <c r="B19" s="414" t="s">
        <v>786</v>
      </c>
      <c r="C19" s="414" t="s">
        <v>788</v>
      </c>
      <c r="D19" s="415">
        <v>1397</v>
      </c>
      <c r="E19" s="415">
        <v>2807</v>
      </c>
      <c r="F19" s="415">
        <v>2807</v>
      </c>
      <c r="G19" s="399"/>
      <c r="H19" s="413"/>
      <c r="I19" s="413"/>
      <c r="J19" s="413"/>
      <c r="K19" s="413"/>
    </row>
    <row r="20" spans="1:11" ht="16.5">
      <c r="A20" s="414" t="s">
        <v>766</v>
      </c>
      <c r="B20" s="414" t="s">
        <v>786</v>
      </c>
      <c r="C20" s="414" t="s">
        <v>789</v>
      </c>
      <c r="D20" s="415">
        <v>209</v>
      </c>
      <c r="E20" s="415">
        <v>431</v>
      </c>
      <c r="F20" s="415">
        <v>431</v>
      </c>
      <c r="G20" s="399"/>
      <c r="H20" s="413"/>
      <c r="I20" s="413"/>
      <c r="J20" s="413"/>
      <c r="K20" s="413"/>
    </row>
    <row r="21" spans="1:11" ht="16.5">
      <c r="A21" s="414" t="s">
        <v>766</v>
      </c>
      <c r="B21" s="414" t="s">
        <v>786</v>
      </c>
      <c r="C21" s="414" t="s">
        <v>790</v>
      </c>
      <c r="D21" s="415">
        <v>112</v>
      </c>
      <c r="E21" s="415">
        <v>243</v>
      </c>
      <c r="F21" s="415">
        <v>243</v>
      </c>
      <c r="G21" s="399"/>
      <c r="H21" s="413"/>
      <c r="I21" s="413"/>
      <c r="J21" s="413"/>
      <c r="K21" s="413"/>
    </row>
    <row r="22" spans="1:11" ht="16.5">
      <c r="A22" s="414" t="s">
        <v>766</v>
      </c>
      <c r="B22" s="414" t="s">
        <v>786</v>
      </c>
      <c r="C22" s="414" t="s">
        <v>791</v>
      </c>
      <c r="D22" s="415">
        <v>126</v>
      </c>
      <c r="E22" s="415">
        <v>275</v>
      </c>
      <c r="F22" s="415">
        <v>275</v>
      </c>
      <c r="G22" s="399"/>
      <c r="H22" s="413"/>
      <c r="I22" s="413"/>
      <c r="J22" s="413"/>
      <c r="K22" s="413"/>
    </row>
    <row r="23" spans="1:11" ht="16.5">
      <c r="A23" s="414" t="s">
        <v>766</v>
      </c>
      <c r="B23" s="414" t="s">
        <v>786</v>
      </c>
      <c r="C23" s="414" t="s">
        <v>792</v>
      </c>
      <c r="D23" s="415">
        <v>142</v>
      </c>
      <c r="E23" s="415">
        <v>294</v>
      </c>
      <c r="F23" s="415">
        <v>294</v>
      </c>
      <c r="G23" s="399"/>
      <c r="H23" s="413"/>
      <c r="I23" s="413"/>
      <c r="J23" s="413"/>
      <c r="K23" s="413"/>
    </row>
    <row r="24" spans="1:11" ht="16.5">
      <c r="A24" s="414" t="s">
        <v>766</v>
      </c>
      <c r="B24" s="414" t="s">
        <v>786</v>
      </c>
      <c r="C24" s="414" t="s">
        <v>793</v>
      </c>
      <c r="D24" s="415">
        <v>94</v>
      </c>
      <c r="E24" s="415">
        <v>156</v>
      </c>
      <c r="F24" s="415">
        <v>156</v>
      </c>
      <c r="G24" s="399"/>
      <c r="H24" s="413"/>
      <c r="I24" s="413"/>
      <c r="J24" s="413"/>
      <c r="K24" s="413"/>
    </row>
    <row r="25" spans="1:11" ht="16.5">
      <c r="A25" s="414" t="s">
        <v>766</v>
      </c>
      <c r="B25" s="414" t="s">
        <v>786</v>
      </c>
      <c r="C25" s="414" t="s">
        <v>794</v>
      </c>
      <c r="D25" s="415">
        <v>151</v>
      </c>
      <c r="E25" s="415">
        <v>317</v>
      </c>
      <c r="F25" s="415">
        <v>317</v>
      </c>
      <c r="G25" s="399"/>
      <c r="H25" s="413"/>
      <c r="I25" s="413"/>
      <c r="J25" s="413"/>
      <c r="K25" s="413"/>
    </row>
    <row r="26" spans="1:11" ht="16.5">
      <c r="A26" s="414" t="s">
        <v>766</v>
      </c>
      <c r="B26" s="414" t="s">
        <v>786</v>
      </c>
      <c r="C26" s="414" t="s">
        <v>795</v>
      </c>
      <c r="D26" s="415">
        <v>230</v>
      </c>
      <c r="E26" s="415">
        <v>525</v>
      </c>
      <c r="F26" s="415">
        <v>525</v>
      </c>
      <c r="G26" s="399"/>
      <c r="H26" s="413"/>
      <c r="I26" s="413"/>
      <c r="J26" s="413"/>
      <c r="K26" s="413"/>
    </row>
    <row r="27" spans="1:11" ht="16.5">
      <c r="A27" s="414" t="s">
        <v>766</v>
      </c>
      <c r="B27" s="414" t="s">
        <v>786</v>
      </c>
      <c r="C27" s="414" t="s">
        <v>796</v>
      </c>
      <c r="D27" s="415">
        <v>322</v>
      </c>
      <c r="E27" s="415">
        <v>657</v>
      </c>
      <c r="F27" s="415">
        <v>657</v>
      </c>
      <c r="G27" s="399"/>
      <c r="H27" s="413"/>
      <c r="I27" s="413"/>
      <c r="J27" s="413"/>
      <c r="K27" s="413"/>
    </row>
    <row r="28" spans="1:11" ht="16.5">
      <c r="A28" s="414" t="s">
        <v>766</v>
      </c>
      <c r="B28" s="414" t="s">
        <v>786</v>
      </c>
      <c r="C28" s="414" t="s">
        <v>797</v>
      </c>
      <c r="D28" s="415">
        <v>88</v>
      </c>
      <c r="E28" s="415">
        <v>181</v>
      </c>
      <c r="F28" s="415">
        <v>181</v>
      </c>
      <c r="G28" s="399"/>
      <c r="H28" s="413"/>
      <c r="I28" s="413"/>
      <c r="J28" s="413"/>
      <c r="K28" s="413"/>
    </row>
    <row r="29" spans="1:11" ht="16.5">
      <c r="A29" s="414" t="s">
        <v>766</v>
      </c>
      <c r="B29" s="414" t="s">
        <v>786</v>
      </c>
      <c r="C29" s="414" t="s">
        <v>798</v>
      </c>
      <c r="D29" s="415">
        <v>76</v>
      </c>
      <c r="E29" s="415">
        <v>158</v>
      </c>
      <c r="F29" s="415">
        <v>158</v>
      </c>
      <c r="G29" s="399"/>
      <c r="H29" s="413"/>
      <c r="I29" s="413"/>
      <c r="J29" s="413"/>
      <c r="K29" s="413"/>
    </row>
    <row r="30" spans="1:11" ht="16.5">
      <c r="A30" s="414" t="s">
        <v>766</v>
      </c>
      <c r="B30" s="414" t="s">
        <v>786</v>
      </c>
      <c r="C30" s="414" t="s">
        <v>799</v>
      </c>
      <c r="D30" s="415">
        <v>181</v>
      </c>
      <c r="E30" s="415">
        <v>367</v>
      </c>
      <c r="F30" s="415">
        <v>367</v>
      </c>
      <c r="G30" s="399"/>
      <c r="H30" s="413"/>
      <c r="I30" s="413"/>
      <c r="J30" s="413"/>
      <c r="K30" s="413"/>
    </row>
    <row r="31" spans="1:11" ht="16.5">
      <c r="A31" s="406"/>
      <c r="B31" s="406"/>
      <c r="C31" s="402" t="s">
        <v>672</v>
      </c>
      <c r="D31" s="401">
        <f>SUM(D32:D44)</f>
        <v>5750</v>
      </c>
      <c r="E31" s="401">
        <f>SUM(E32:E44)</f>
        <v>14989</v>
      </c>
      <c r="F31" s="401">
        <f>SUM(F32:F44)</f>
        <v>4175</v>
      </c>
      <c r="G31" s="399"/>
      <c r="H31" s="413"/>
      <c r="I31" s="413"/>
      <c r="J31" s="413"/>
      <c r="K31" s="413"/>
    </row>
    <row r="32" spans="1:11" ht="16.5">
      <c r="A32" s="414" t="s">
        <v>766</v>
      </c>
      <c r="B32" s="414" t="s">
        <v>800</v>
      </c>
      <c r="C32" s="414" t="s">
        <v>801</v>
      </c>
      <c r="D32" s="415">
        <v>257</v>
      </c>
      <c r="E32" s="415">
        <v>617</v>
      </c>
      <c r="F32" s="415">
        <v>617</v>
      </c>
      <c r="G32" s="389"/>
      <c r="H32" s="403"/>
      <c r="I32" s="403"/>
      <c r="J32" s="403"/>
      <c r="K32" s="403"/>
    </row>
    <row r="33" spans="1:11" ht="16.5">
      <c r="A33" s="414" t="s">
        <v>766</v>
      </c>
      <c r="B33" s="414" t="s">
        <v>800</v>
      </c>
      <c r="C33" s="407" t="s">
        <v>802</v>
      </c>
      <c r="D33" s="415">
        <v>197</v>
      </c>
      <c r="E33" s="415">
        <v>445</v>
      </c>
      <c r="F33" s="415">
        <v>445</v>
      </c>
      <c r="G33" s="389"/>
      <c r="H33" s="403"/>
      <c r="I33" s="403"/>
      <c r="J33" s="403"/>
      <c r="K33" s="403"/>
    </row>
    <row r="34" spans="1:11" ht="16.5">
      <c r="A34" s="414" t="s">
        <v>766</v>
      </c>
      <c r="B34" s="414" t="s">
        <v>800</v>
      </c>
      <c r="C34" s="407" t="s">
        <v>803</v>
      </c>
      <c r="D34" s="415">
        <v>378</v>
      </c>
      <c r="E34" s="415">
        <v>874</v>
      </c>
      <c r="F34" s="415">
        <v>874</v>
      </c>
      <c r="G34" s="389"/>
    </row>
    <row r="35" spans="1:11" ht="16.5">
      <c r="A35" s="414" t="s">
        <v>766</v>
      </c>
      <c r="B35" s="414" t="s">
        <v>800</v>
      </c>
      <c r="C35" s="407" t="s">
        <v>804</v>
      </c>
      <c r="D35" s="415">
        <v>163</v>
      </c>
      <c r="E35" s="415">
        <v>389</v>
      </c>
      <c r="F35" s="415">
        <v>389</v>
      </c>
      <c r="G35" s="389"/>
    </row>
    <row r="36" spans="1:11" ht="16.5">
      <c r="A36" s="414" t="s">
        <v>766</v>
      </c>
      <c r="B36" s="414" t="s">
        <v>800</v>
      </c>
      <c r="C36" s="407" t="s">
        <v>805</v>
      </c>
      <c r="D36" s="415">
        <v>3895</v>
      </c>
      <c r="E36" s="415">
        <v>10814</v>
      </c>
      <c r="F36" s="415"/>
      <c r="G36" s="389"/>
    </row>
    <row r="37" spans="1:11" ht="16.5">
      <c r="A37" s="414" t="s">
        <v>766</v>
      </c>
      <c r="B37" s="414" t="s">
        <v>800</v>
      </c>
      <c r="C37" s="407" t="s">
        <v>806</v>
      </c>
      <c r="D37" s="415">
        <v>175</v>
      </c>
      <c r="E37" s="415">
        <v>375</v>
      </c>
      <c r="F37" s="415">
        <v>375</v>
      </c>
      <c r="G37" s="389"/>
    </row>
    <row r="38" spans="1:11" ht="16.5">
      <c r="A38" s="414" t="s">
        <v>766</v>
      </c>
      <c r="B38" s="414" t="s">
        <v>800</v>
      </c>
      <c r="C38" s="407" t="s">
        <v>807</v>
      </c>
      <c r="D38" s="415">
        <v>123</v>
      </c>
      <c r="E38" s="415">
        <v>268</v>
      </c>
      <c r="F38" s="415">
        <v>268</v>
      </c>
      <c r="G38" s="389"/>
    </row>
    <row r="39" spans="1:11" ht="16.5">
      <c r="A39" s="414" t="s">
        <v>766</v>
      </c>
      <c r="B39" s="414" t="s">
        <v>800</v>
      </c>
      <c r="C39" s="407" t="s">
        <v>808</v>
      </c>
      <c r="D39" s="415">
        <v>77</v>
      </c>
      <c r="E39" s="415">
        <v>172</v>
      </c>
      <c r="F39" s="415">
        <v>172</v>
      </c>
      <c r="G39" s="389"/>
    </row>
    <row r="40" spans="1:11" ht="16.5">
      <c r="A40" s="414" t="s">
        <v>766</v>
      </c>
      <c r="B40" s="414" t="s">
        <v>800</v>
      </c>
      <c r="C40" s="414" t="s">
        <v>809</v>
      </c>
      <c r="D40" s="415">
        <v>80</v>
      </c>
      <c r="E40" s="415">
        <v>168</v>
      </c>
      <c r="F40" s="415">
        <v>168</v>
      </c>
      <c r="G40" s="398"/>
    </row>
    <row r="41" spans="1:11" ht="16.5">
      <c r="A41" s="414" t="s">
        <v>766</v>
      </c>
      <c r="B41" s="414" t="s">
        <v>800</v>
      </c>
      <c r="C41" s="414" t="s">
        <v>810</v>
      </c>
      <c r="D41" s="415">
        <v>108</v>
      </c>
      <c r="E41" s="415">
        <v>220</v>
      </c>
      <c r="F41" s="415">
        <v>220</v>
      </c>
      <c r="G41" s="398"/>
    </row>
    <row r="42" spans="1:11" ht="16.5">
      <c r="A42" s="414" t="s">
        <v>766</v>
      </c>
      <c r="B42" s="414" t="s">
        <v>800</v>
      </c>
      <c r="C42" s="414" t="s">
        <v>811</v>
      </c>
      <c r="D42" s="415">
        <v>98</v>
      </c>
      <c r="E42" s="415">
        <v>223</v>
      </c>
      <c r="F42" s="415">
        <v>223</v>
      </c>
      <c r="G42" s="398"/>
    </row>
    <row r="43" spans="1:11" ht="16.5">
      <c r="A43" s="414" t="s">
        <v>766</v>
      </c>
      <c r="B43" s="414" t="s">
        <v>800</v>
      </c>
      <c r="C43" s="414" t="s">
        <v>812</v>
      </c>
      <c r="D43" s="415">
        <v>76</v>
      </c>
      <c r="E43" s="415">
        <v>164</v>
      </c>
      <c r="F43" s="415">
        <v>164</v>
      </c>
      <c r="G43" s="398"/>
    </row>
    <row r="44" spans="1:11" ht="16.5">
      <c r="A44" s="414" t="s">
        <v>766</v>
      </c>
      <c r="B44" s="414" t="s">
        <v>800</v>
      </c>
      <c r="C44" s="414" t="s">
        <v>813</v>
      </c>
      <c r="D44" s="415">
        <v>123</v>
      </c>
      <c r="E44" s="415">
        <v>260</v>
      </c>
      <c r="F44" s="415">
        <v>260</v>
      </c>
      <c r="G44" s="398"/>
    </row>
    <row r="45" spans="1:11" ht="16.5">
      <c r="A45" s="402"/>
      <c r="B45" s="402"/>
      <c r="C45" s="402" t="s">
        <v>672</v>
      </c>
      <c r="D45" s="401">
        <f>SUM(D46:D58)</f>
        <v>1773</v>
      </c>
      <c r="E45" s="401">
        <f>SUM(E46:E58)</f>
        <v>3705</v>
      </c>
      <c r="F45" s="401">
        <f>SUM(F46:F58)</f>
        <v>3705</v>
      </c>
      <c r="G45" s="398"/>
    </row>
    <row r="46" spans="1:11" ht="16.5">
      <c r="A46" s="414" t="s">
        <v>766</v>
      </c>
      <c r="B46" s="414" t="s">
        <v>814</v>
      </c>
      <c r="C46" s="414" t="s">
        <v>815</v>
      </c>
      <c r="D46" s="415">
        <v>140</v>
      </c>
      <c r="E46" s="415">
        <v>277</v>
      </c>
      <c r="F46" s="415">
        <v>277</v>
      </c>
      <c r="G46" s="398"/>
    </row>
    <row r="47" spans="1:11" ht="16.5">
      <c r="A47" s="414" t="s">
        <v>766</v>
      </c>
      <c r="B47" s="414" t="s">
        <v>814</v>
      </c>
      <c r="C47" s="414" t="s">
        <v>816</v>
      </c>
      <c r="D47" s="415">
        <v>110</v>
      </c>
      <c r="E47" s="415">
        <v>223</v>
      </c>
      <c r="F47" s="415">
        <v>223</v>
      </c>
      <c r="G47" s="398"/>
    </row>
    <row r="48" spans="1:11" ht="16.5">
      <c r="A48" s="414" t="s">
        <v>766</v>
      </c>
      <c r="B48" s="414" t="s">
        <v>814</v>
      </c>
      <c r="C48" s="414" t="s">
        <v>817</v>
      </c>
      <c r="D48" s="415">
        <v>116</v>
      </c>
      <c r="E48" s="415">
        <v>244</v>
      </c>
      <c r="F48" s="415">
        <v>244</v>
      </c>
      <c r="G48" s="398"/>
    </row>
    <row r="49" spans="1:7" ht="16.5">
      <c r="A49" s="414" t="s">
        <v>766</v>
      </c>
      <c r="B49" s="414" t="s">
        <v>814</v>
      </c>
      <c r="C49" s="414" t="s">
        <v>818</v>
      </c>
      <c r="D49" s="415">
        <v>91</v>
      </c>
      <c r="E49" s="415">
        <v>187</v>
      </c>
      <c r="F49" s="415">
        <v>187</v>
      </c>
      <c r="G49" s="398"/>
    </row>
    <row r="50" spans="1:7" ht="16.5">
      <c r="A50" s="414" t="s">
        <v>766</v>
      </c>
      <c r="B50" s="414" t="s">
        <v>814</v>
      </c>
      <c r="C50" s="414" t="s">
        <v>819</v>
      </c>
      <c r="D50" s="415">
        <v>177</v>
      </c>
      <c r="E50" s="415">
        <v>349</v>
      </c>
      <c r="F50" s="415">
        <v>349</v>
      </c>
      <c r="G50" s="398"/>
    </row>
    <row r="51" spans="1:7" ht="16.5">
      <c r="A51" s="414" t="s">
        <v>766</v>
      </c>
      <c r="B51" s="414" t="s">
        <v>814</v>
      </c>
      <c r="C51" s="414" t="s">
        <v>820</v>
      </c>
      <c r="D51" s="415">
        <v>145</v>
      </c>
      <c r="E51" s="415">
        <v>277</v>
      </c>
      <c r="F51" s="415">
        <v>277</v>
      </c>
      <c r="G51" s="398"/>
    </row>
    <row r="52" spans="1:7" ht="16.5">
      <c r="A52" s="414" t="s">
        <v>766</v>
      </c>
      <c r="B52" s="414" t="s">
        <v>814</v>
      </c>
      <c r="C52" s="414" t="s">
        <v>821</v>
      </c>
      <c r="D52" s="415">
        <v>69</v>
      </c>
      <c r="E52" s="415">
        <v>144</v>
      </c>
      <c r="F52" s="415">
        <v>144</v>
      </c>
      <c r="G52" s="398"/>
    </row>
    <row r="53" spans="1:7" ht="16.5">
      <c r="A53" s="414" t="s">
        <v>766</v>
      </c>
      <c r="B53" s="414" t="s">
        <v>814</v>
      </c>
      <c r="C53" s="414" t="s">
        <v>822</v>
      </c>
      <c r="D53" s="415">
        <v>109</v>
      </c>
      <c r="E53" s="415">
        <v>241</v>
      </c>
      <c r="F53" s="415">
        <v>241</v>
      </c>
      <c r="G53" s="398"/>
    </row>
    <row r="54" spans="1:7" ht="16.5">
      <c r="A54" s="414" t="s">
        <v>766</v>
      </c>
      <c r="B54" s="414" t="s">
        <v>814</v>
      </c>
      <c r="C54" s="414" t="s">
        <v>823</v>
      </c>
      <c r="D54" s="415">
        <v>121</v>
      </c>
      <c r="E54" s="415">
        <v>257</v>
      </c>
      <c r="F54" s="415">
        <v>257</v>
      </c>
      <c r="G54" s="398"/>
    </row>
    <row r="55" spans="1:7" ht="16.5">
      <c r="A55" s="414" t="s">
        <v>766</v>
      </c>
      <c r="B55" s="414" t="s">
        <v>814</v>
      </c>
      <c r="C55" s="414" t="s">
        <v>824</v>
      </c>
      <c r="D55" s="415">
        <v>148</v>
      </c>
      <c r="E55" s="415">
        <v>341</v>
      </c>
      <c r="F55" s="415">
        <v>341</v>
      </c>
      <c r="G55" s="398"/>
    </row>
    <row r="56" spans="1:7" ht="16.5">
      <c r="A56" s="414" t="s">
        <v>766</v>
      </c>
      <c r="B56" s="414" t="s">
        <v>814</v>
      </c>
      <c r="C56" s="414" t="s">
        <v>825</v>
      </c>
      <c r="D56" s="415">
        <v>299</v>
      </c>
      <c r="E56" s="415">
        <v>629</v>
      </c>
      <c r="F56" s="415">
        <v>629</v>
      </c>
      <c r="G56" s="398"/>
    </row>
    <row r="57" spans="1:7" ht="16.5">
      <c r="A57" s="414" t="s">
        <v>766</v>
      </c>
      <c r="B57" s="414" t="s">
        <v>814</v>
      </c>
      <c r="C57" s="414" t="s">
        <v>826</v>
      </c>
      <c r="D57" s="415">
        <v>199</v>
      </c>
      <c r="E57" s="415">
        <v>446</v>
      </c>
      <c r="F57" s="415">
        <v>446</v>
      </c>
      <c r="G57" s="398"/>
    </row>
    <row r="58" spans="1:7" ht="16.5">
      <c r="A58" s="414" t="s">
        <v>766</v>
      </c>
      <c r="B58" s="414" t="s">
        <v>814</v>
      </c>
      <c r="C58" s="414" t="s">
        <v>827</v>
      </c>
      <c r="D58" s="415">
        <v>49</v>
      </c>
      <c r="E58" s="415">
        <v>90</v>
      </c>
      <c r="F58" s="415">
        <v>90</v>
      </c>
      <c r="G58" s="398"/>
    </row>
    <row r="59" spans="1:7" ht="16.5">
      <c r="A59" s="406"/>
      <c r="B59" s="406"/>
      <c r="C59" s="402" t="s">
        <v>672</v>
      </c>
      <c r="D59" s="401">
        <f>SUM(D60:D73)</f>
        <v>1578</v>
      </c>
      <c r="E59" s="401">
        <f>SUM(E60:E73)</f>
        <v>3527</v>
      </c>
      <c r="F59" s="401">
        <f>SUM(F60:F73)</f>
        <v>3527</v>
      </c>
      <c r="G59" s="398"/>
    </row>
    <row r="60" spans="1:7" ht="16.5">
      <c r="A60" s="414" t="s">
        <v>766</v>
      </c>
      <c r="B60" s="414" t="s">
        <v>828</v>
      </c>
      <c r="C60" s="417" t="s">
        <v>829</v>
      </c>
      <c r="D60" s="404">
        <v>196</v>
      </c>
      <c r="E60" s="404">
        <v>465</v>
      </c>
      <c r="F60" s="404">
        <v>465</v>
      </c>
      <c r="G60" s="398"/>
    </row>
    <row r="61" spans="1:7" ht="16.5">
      <c r="A61" s="414" t="s">
        <v>766</v>
      </c>
      <c r="B61" s="414" t="s">
        <v>828</v>
      </c>
      <c r="C61" s="417" t="s">
        <v>830</v>
      </c>
      <c r="D61" s="404">
        <v>114</v>
      </c>
      <c r="E61" s="404">
        <v>251</v>
      </c>
      <c r="F61" s="404">
        <v>251</v>
      </c>
      <c r="G61" s="398"/>
    </row>
    <row r="62" spans="1:7" ht="16.5">
      <c r="A62" s="414" t="s">
        <v>766</v>
      </c>
      <c r="B62" s="414" t="s">
        <v>828</v>
      </c>
      <c r="C62" s="417" t="s">
        <v>831</v>
      </c>
      <c r="D62" s="404">
        <v>92</v>
      </c>
      <c r="E62" s="404">
        <v>169</v>
      </c>
      <c r="F62" s="404">
        <v>169</v>
      </c>
      <c r="G62" s="398"/>
    </row>
    <row r="63" spans="1:7" ht="16.5">
      <c r="A63" s="414" t="s">
        <v>766</v>
      </c>
      <c r="B63" s="414" t="s">
        <v>828</v>
      </c>
      <c r="C63" s="417" t="s">
        <v>832</v>
      </c>
      <c r="D63" s="404">
        <v>164</v>
      </c>
      <c r="E63" s="404">
        <v>381</v>
      </c>
      <c r="F63" s="404">
        <v>381</v>
      </c>
      <c r="G63" s="398"/>
    </row>
    <row r="64" spans="1:7" ht="16.5">
      <c r="A64" s="414" t="s">
        <v>766</v>
      </c>
      <c r="B64" s="414" t="s">
        <v>828</v>
      </c>
      <c r="C64" s="417" t="s">
        <v>833</v>
      </c>
      <c r="D64" s="404">
        <v>61</v>
      </c>
      <c r="E64" s="404">
        <v>132</v>
      </c>
      <c r="F64" s="404">
        <v>132</v>
      </c>
      <c r="G64" s="398"/>
    </row>
    <row r="65" spans="1:7" ht="16.5">
      <c r="A65" s="414" t="s">
        <v>766</v>
      </c>
      <c r="B65" s="414" t="s">
        <v>828</v>
      </c>
      <c r="C65" s="417" t="s">
        <v>834</v>
      </c>
      <c r="D65" s="404">
        <v>101</v>
      </c>
      <c r="E65" s="404">
        <v>225</v>
      </c>
      <c r="F65" s="404">
        <v>225</v>
      </c>
      <c r="G65" s="398"/>
    </row>
    <row r="66" spans="1:7" ht="16.5">
      <c r="A66" s="414" t="s">
        <v>766</v>
      </c>
      <c r="B66" s="414" t="s">
        <v>828</v>
      </c>
      <c r="C66" s="417" t="s">
        <v>835</v>
      </c>
      <c r="D66" s="404">
        <v>98</v>
      </c>
      <c r="E66" s="404">
        <v>238</v>
      </c>
      <c r="F66" s="404">
        <v>238</v>
      </c>
      <c r="G66" s="398"/>
    </row>
    <row r="67" spans="1:7" ht="16.5">
      <c r="A67" s="414" t="s">
        <v>766</v>
      </c>
      <c r="B67" s="414" t="s">
        <v>828</v>
      </c>
      <c r="C67" s="417" t="s">
        <v>836</v>
      </c>
      <c r="D67" s="404">
        <v>115</v>
      </c>
      <c r="E67" s="404">
        <v>257</v>
      </c>
      <c r="F67" s="404">
        <v>257</v>
      </c>
      <c r="G67" s="398"/>
    </row>
    <row r="68" spans="1:7" ht="16.5">
      <c r="A68" s="414" t="s">
        <v>766</v>
      </c>
      <c r="B68" s="414" t="s">
        <v>828</v>
      </c>
      <c r="C68" s="417" t="s">
        <v>837</v>
      </c>
      <c r="D68" s="404">
        <v>161</v>
      </c>
      <c r="E68" s="404">
        <v>352</v>
      </c>
      <c r="F68" s="404">
        <v>352</v>
      </c>
      <c r="G68" s="398"/>
    </row>
    <row r="69" spans="1:7" ht="16.5">
      <c r="A69" s="414" t="s">
        <v>766</v>
      </c>
      <c r="B69" s="414" t="s">
        <v>828</v>
      </c>
      <c r="C69" s="417" t="s">
        <v>838</v>
      </c>
      <c r="D69" s="404">
        <v>109</v>
      </c>
      <c r="E69" s="404">
        <v>233</v>
      </c>
      <c r="F69" s="404">
        <v>233</v>
      </c>
      <c r="G69" s="398"/>
    </row>
    <row r="70" spans="1:7" ht="16.5">
      <c r="A70" s="414" t="s">
        <v>766</v>
      </c>
      <c r="B70" s="414" t="s">
        <v>828</v>
      </c>
      <c r="C70" s="417" t="s">
        <v>839</v>
      </c>
      <c r="D70" s="404">
        <v>144</v>
      </c>
      <c r="E70" s="404">
        <v>338</v>
      </c>
      <c r="F70" s="404">
        <v>338</v>
      </c>
      <c r="G70" s="398"/>
    </row>
    <row r="71" spans="1:7" ht="16.5">
      <c r="A71" s="414" t="s">
        <v>766</v>
      </c>
      <c r="B71" s="414" t="s">
        <v>828</v>
      </c>
      <c r="C71" s="417" t="s">
        <v>840</v>
      </c>
      <c r="D71" s="404">
        <v>65</v>
      </c>
      <c r="E71" s="404">
        <v>130</v>
      </c>
      <c r="F71" s="404">
        <v>130</v>
      </c>
      <c r="G71" s="398"/>
    </row>
    <row r="72" spans="1:7" ht="16.5">
      <c r="A72" s="414" t="s">
        <v>766</v>
      </c>
      <c r="B72" s="414" t="s">
        <v>828</v>
      </c>
      <c r="C72" s="417" t="s">
        <v>841</v>
      </c>
      <c r="D72" s="404">
        <v>60</v>
      </c>
      <c r="E72" s="404">
        <v>121</v>
      </c>
      <c r="F72" s="404">
        <v>121</v>
      </c>
      <c r="G72" s="398"/>
    </row>
    <row r="73" spans="1:7" ht="16.5">
      <c r="A73" s="414" t="s">
        <v>766</v>
      </c>
      <c r="B73" s="414" t="s">
        <v>828</v>
      </c>
      <c r="C73" s="417" t="s">
        <v>842</v>
      </c>
      <c r="D73" s="404">
        <v>98</v>
      </c>
      <c r="E73" s="404">
        <v>235</v>
      </c>
      <c r="F73" s="404">
        <v>235</v>
      </c>
      <c r="G73" s="398"/>
    </row>
    <row r="74" spans="1:7" ht="16.5">
      <c r="A74" s="402"/>
      <c r="B74" s="402"/>
      <c r="C74" s="402" t="s">
        <v>672</v>
      </c>
      <c r="D74" s="401">
        <f>SUM(D75:D90)</f>
        <v>1634</v>
      </c>
      <c r="E74" s="401">
        <f>SUM(E75:E90)</f>
        <v>3238</v>
      </c>
      <c r="F74" s="401">
        <f>SUM(F75:F90)</f>
        <v>3238</v>
      </c>
      <c r="G74" s="398"/>
    </row>
    <row r="75" spans="1:7" ht="16.5">
      <c r="A75" s="414" t="s">
        <v>766</v>
      </c>
      <c r="B75" s="414" t="s">
        <v>843</v>
      </c>
      <c r="C75" s="414" t="s">
        <v>844</v>
      </c>
      <c r="D75" s="415">
        <v>169</v>
      </c>
      <c r="E75" s="415">
        <v>335</v>
      </c>
      <c r="F75" s="415">
        <v>335</v>
      </c>
      <c r="G75" s="398"/>
    </row>
    <row r="76" spans="1:7" ht="16.5">
      <c r="A76" s="414" t="s">
        <v>766</v>
      </c>
      <c r="B76" s="414" t="s">
        <v>843</v>
      </c>
      <c r="C76" s="414" t="s">
        <v>845</v>
      </c>
      <c r="D76" s="415">
        <v>119</v>
      </c>
      <c r="E76" s="415">
        <v>216</v>
      </c>
      <c r="F76" s="415">
        <v>216</v>
      </c>
      <c r="G76" s="398"/>
    </row>
    <row r="77" spans="1:7" ht="16.5">
      <c r="A77" s="414" t="s">
        <v>766</v>
      </c>
      <c r="B77" s="414" t="s">
        <v>843</v>
      </c>
      <c r="C77" s="414" t="s">
        <v>846</v>
      </c>
      <c r="D77" s="415">
        <v>72</v>
      </c>
      <c r="E77" s="415">
        <v>147</v>
      </c>
      <c r="F77" s="415">
        <v>147</v>
      </c>
      <c r="G77" s="398"/>
    </row>
    <row r="78" spans="1:7" ht="16.5">
      <c r="A78" s="414" t="s">
        <v>766</v>
      </c>
      <c r="B78" s="414" t="s">
        <v>843</v>
      </c>
      <c r="C78" s="414" t="s">
        <v>847</v>
      </c>
      <c r="D78" s="415">
        <v>146</v>
      </c>
      <c r="E78" s="415">
        <v>284</v>
      </c>
      <c r="F78" s="415">
        <v>284</v>
      </c>
      <c r="G78" s="398"/>
    </row>
    <row r="79" spans="1:7" ht="16.5">
      <c r="A79" s="414" t="s">
        <v>766</v>
      </c>
      <c r="B79" s="414" t="s">
        <v>843</v>
      </c>
      <c r="C79" s="414" t="s">
        <v>848</v>
      </c>
      <c r="D79" s="415">
        <v>75</v>
      </c>
      <c r="E79" s="415">
        <v>140</v>
      </c>
      <c r="F79" s="415">
        <v>140</v>
      </c>
      <c r="G79" s="398"/>
    </row>
    <row r="80" spans="1:7" ht="16.5">
      <c r="A80" s="414" t="s">
        <v>766</v>
      </c>
      <c r="B80" s="414" t="s">
        <v>843</v>
      </c>
      <c r="C80" s="414" t="s">
        <v>849</v>
      </c>
      <c r="D80" s="415">
        <v>56</v>
      </c>
      <c r="E80" s="415">
        <v>105</v>
      </c>
      <c r="F80" s="415">
        <v>105</v>
      </c>
      <c r="G80" s="398"/>
    </row>
    <row r="81" spans="1:7" ht="16.5">
      <c r="A81" s="414" t="s">
        <v>766</v>
      </c>
      <c r="B81" s="414" t="s">
        <v>843</v>
      </c>
      <c r="C81" s="414" t="s">
        <v>850</v>
      </c>
      <c r="D81" s="415">
        <v>98</v>
      </c>
      <c r="E81" s="415">
        <v>212</v>
      </c>
      <c r="F81" s="415">
        <v>212</v>
      </c>
      <c r="G81" s="398"/>
    </row>
    <row r="82" spans="1:7" ht="16.5">
      <c r="A82" s="414" t="s">
        <v>766</v>
      </c>
      <c r="B82" s="414" t="s">
        <v>843</v>
      </c>
      <c r="C82" s="414" t="s">
        <v>851</v>
      </c>
      <c r="D82" s="415">
        <v>69</v>
      </c>
      <c r="E82" s="415">
        <v>141</v>
      </c>
      <c r="F82" s="415">
        <v>141</v>
      </c>
      <c r="G82" s="398"/>
    </row>
    <row r="83" spans="1:7" ht="16.5">
      <c r="A83" s="414" t="s">
        <v>766</v>
      </c>
      <c r="B83" s="414" t="s">
        <v>843</v>
      </c>
      <c r="C83" s="414" t="s">
        <v>852</v>
      </c>
      <c r="D83" s="415">
        <v>148</v>
      </c>
      <c r="E83" s="415">
        <v>318</v>
      </c>
      <c r="F83" s="415">
        <v>318</v>
      </c>
      <c r="G83" s="398"/>
    </row>
    <row r="84" spans="1:7" ht="16.5">
      <c r="A84" s="414" t="s">
        <v>766</v>
      </c>
      <c r="B84" s="414" t="s">
        <v>843</v>
      </c>
      <c r="C84" s="414" t="s">
        <v>853</v>
      </c>
      <c r="D84" s="415">
        <v>92</v>
      </c>
      <c r="E84" s="415">
        <v>204</v>
      </c>
      <c r="F84" s="415">
        <v>204</v>
      </c>
      <c r="G84" s="398"/>
    </row>
    <row r="85" spans="1:7" ht="16.5">
      <c r="A85" s="414" t="s">
        <v>766</v>
      </c>
      <c r="B85" s="414" t="s">
        <v>843</v>
      </c>
      <c r="C85" s="414" t="s">
        <v>854</v>
      </c>
      <c r="D85" s="415">
        <v>85</v>
      </c>
      <c r="E85" s="415">
        <v>167</v>
      </c>
      <c r="F85" s="415">
        <v>167</v>
      </c>
      <c r="G85" s="398"/>
    </row>
    <row r="86" spans="1:7" ht="16.5">
      <c r="A86" s="414" t="s">
        <v>766</v>
      </c>
      <c r="B86" s="414" t="s">
        <v>843</v>
      </c>
      <c r="C86" s="414" t="s">
        <v>855</v>
      </c>
      <c r="D86" s="415">
        <v>112</v>
      </c>
      <c r="E86" s="415">
        <v>224</v>
      </c>
      <c r="F86" s="415">
        <v>224</v>
      </c>
      <c r="G86" s="398"/>
    </row>
    <row r="87" spans="1:7" ht="16.5">
      <c r="A87" s="414" t="s">
        <v>766</v>
      </c>
      <c r="B87" s="414" t="s">
        <v>843</v>
      </c>
      <c r="C87" s="414" t="s">
        <v>856</v>
      </c>
      <c r="D87" s="415">
        <v>90</v>
      </c>
      <c r="E87" s="415">
        <v>156</v>
      </c>
      <c r="F87" s="415">
        <v>156</v>
      </c>
      <c r="G87" s="398"/>
    </row>
    <row r="88" spans="1:7" ht="16.5">
      <c r="A88" s="414" t="s">
        <v>766</v>
      </c>
      <c r="B88" s="414" t="s">
        <v>843</v>
      </c>
      <c r="C88" s="414" t="s">
        <v>857</v>
      </c>
      <c r="D88" s="415">
        <v>84</v>
      </c>
      <c r="E88" s="415">
        <v>160</v>
      </c>
      <c r="F88" s="415">
        <v>160</v>
      </c>
      <c r="G88" s="398"/>
    </row>
    <row r="89" spans="1:7" ht="16.5">
      <c r="A89" s="414" t="s">
        <v>766</v>
      </c>
      <c r="B89" s="414" t="s">
        <v>843</v>
      </c>
      <c r="C89" s="414" t="s">
        <v>858</v>
      </c>
      <c r="D89" s="415">
        <v>80</v>
      </c>
      <c r="E89" s="415">
        <v>148</v>
      </c>
      <c r="F89" s="415">
        <v>148</v>
      </c>
      <c r="G89" s="398"/>
    </row>
    <row r="90" spans="1:7" ht="16.5">
      <c r="A90" s="414" t="s">
        <v>766</v>
      </c>
      <c r="B90" s="414" t="s">
        <v>843</v>
      </c>
      <c r="C90" s="414" t="s">
        <v>859</v>
      </c>
      <c r="D90" s="415">
        <v>139</v>
      </c>
      <c r="E90" s="415">
        <v>281</v>
      </c>
      <c r="F90" s="415">
        <v>281</v>
      </c>
      <c r="G90" s="398"/>
    </row>
    <row r="91" spans="1:7" ht="16.5">
      <c r="A91" s="402"/>
      <c r="B91" s="402"/>
      <c r="C91" s="402" t="s">
        <v>672</v>
      </c>
      <c r="D91" s="401">
        <f>SUM(D92:D102)</f>
        <v>1312</v>
      </c>
      <c r="E91" s="401">
        <f>SUM(E92:E102)</f>
        <v>2628</v>
      </c>
      <c r="F91" s="401">
        <f>SUM(F92:F102)</f>
        <v>2628</v>
      </c>
      <c r="G91" s="398"/>
    </row>
    <row r="92" spans="1:7" ht="16.5">
      <c r="A92" s="414" t="s">
        <v>766</v>
      </c>
      <c r="B92" s="414" t="s">
        <v>860</v>
      </c>
      <c r="C92" s="414" t="s">
        <v>861</v>
      </c>
      <c r="D92" s="415">
        <v>132</v>
      </c>
      <c r="E92" s="415">
        <v>258</v>
      </c>
      <c r="F92" s="415">
        <v>258</v>
      </c>
      <c r="G92" s="398"/>
    </row>
    <row r="93" spans="1:7" ht="16.5">
      <c r="A93" s="414" t="s">
        <v>766</v>
      </c>
      <c r="B93" s="414" t="s">
        <v>860</v>
      </c>
      <c r="C93" s="414" t="s">
        <v>862</v>
      </c>
      <c r="D93" s="415">
        <v>72</v>
      </c>
      <c r="E93" s="415">
        <v>132</v>
      </c>
      <c r="F93" s="415">
        <v>132</v>
      </c>
      <c r="G93" s="398"/>
    </row>
    <row r="94" spans="1:7" ht="16.5">
      <c r="A94" s="414" t="s">
        <v>766</v>
      </c>
      <c r="B94" s="414" t="s">
        <v>860</v>
      </c>
      <c r="C94" s="414" t="s">
        <v>863</v>
      </c>
      <c r="D94" s="415">
        <v>111</v>
      </c>
      <c r="E94" s="415">
        <v>229</v>
      </c>
      <c r="F94" s="415">
        <v>229</v>
      </c>
      <c r="G94" s="398"/>
    </row>
    <row r="95" spans="1:7" ht="16.5">
      <c r="A95" s="414" t="s">
        <v>766</v>
      </c>
      <c r="B95" s="414" t="s">
        <v>860</v>
      </c>
      <c r="C95" s="414" t="s">
        <v>864</v>
      </c>
      <c r="D95" s="415">
        <v>93</v>
      </c>
      <c r="E95" s="415">
        <v>202</v>
      </c>
      <c r="F95" s="415">
        <v>202</v>
      </c>
      <c r="G95" s="398"/>
    </row>
    <row r="96" spans="1:7" ht="16.5">
      <c r="A96" s="414" t="s">
        <v>766</v>
      </c>
      <c r="B96" s="414" t="s">
        <v>860</v>
      </c>
      <c r="C96" s="414" t="s">
        <v>865</v>
      </c>
      <c r="D96" s="415">
        <v>214</v>
      </c>
      <c r="E96" s="415">
        <v>342</v>
      </c>
      <c r="F96" s="415">
        <v>342</v>
      </c>
      <c r="G96" s="398"/>
    </row>
    <row r="97" spans="1:7" ht="16.5">
      <c r="A97" s="414" t="s">
        <v>766</v>
      </c>
      <c r="B97" s="414" t="s">
        <v>860</v>
      </c>
      <c r="C97" s="414" t="s">
        <v>866</v>
      </c>
      <c r="D97" s="415">
        <v>134</v>
      </c>
      <c r="E97" s="415">
        <v>262</v>
      </c>
      <c r="F97" s="415">
        <v>262</v>
      </c>
      <c r="G97" s="398"/>
    </row>
    <row r="98" spans="1:7" ht="16.5">
      <c r="A98" s="414" t="s">
        <v>766</v>
      </c>
      <c r="B98" s="414" t="s">
        <v>860</v>
      </c>
      <c r="C98" s="414" t="s">
        <v>867</v>
      </c>
      <c r="D98" s="415">
        <v>81</v>
      </c>
      <c r="E98" s="415">
        <v>182</v>
      </c>
      <c r="F98" s="415">
        <v>182</v>
      </c>
      <c r="G98" s="398"/>
    </row>
    <row r="99" spans="1:7" ht="16.5">
      <c r="A99" s="414" t="s">
        <v>766</v>
      </c>
      <c r="B99" s="414" t="s">
        <v>860</v>
      </c>
      <c r="C99" s="414" t="s">
        <v>868</v>
      </c>
      <c r="D99" s="415">
        <v>69</v>
      </c>
      <c r="E99" s="415">
        <v>166</v>
      </c>
      <c r="F99" s="415">
        <v>166</v>
      </c>
      <c r="G99" s="398"/>
    </row>
    <row r="100" spans="1:7" ht="16.5">
      <c r="A100" s="414" t="s">
        <v>766</v>
      </c>
      <c r="B100" s="414" t="s">
        <v>860</v>
      </c>
      <c r="C100" s="414" t="s">
        <v>869</v>
      </c>
      <c r="D100" s="415">
        <v>79</v>
      </c>
      <c r="E100" s="415">
        <v>168</v>
      </c>
      <c r="F100" s="415">
        <v>168</v>
      </c>
      <c r="G100" s="398"/>
    </row>
    <row r="101" spans="1:7" ht="16.5">
      <c r="A101" s="414" t="s">
        <v>766</v>
      </c>
      <c r="B101" s="414" t="s">
        <v>860</v>
      </c>
      <c r="C101" s="414" t="s">
        <v>870</v>
      </c>
      <c r="D101" s="415">
        <v>137</v>
      </c>
      <c r="E101" s="415">
        <v>289</v>
      </c>
      <c r="F101" s="415">
        <v>289</v>
      </c>
      <c r="G101" s="398"/>
    </row>
    <row r="102" spans="1:7" ht="16.5">
      <c r="A102" s="414" t="s">
        <v>766</v>
      </c>
      <c r="B102" s="414" t="s">
        <v>860</v>
      </c>
      <c r="C102" s="414" t="s">
        <v>871</v>
      </c>
      <c r="D102" s="415">
        <v>190</v>
      </c>
      <c r="E102" s="415">
        <v>398</v>
      </c>
      <c r="F102" s="415">
        <v>398</v>
      </c>
      <c r="G102" s="398"/>
    </row>
    <row r="103" spans="1:7" ht="16.5">
      <c r="A103" s="406"/>
      <c r="B103" s="406"/>
      <c r="C103" s="406" t="s">
        <v>672</v>
      </c>
      <c r="D103" s="401">
        <f>SUM(D104:D112)</f>
        <v>1171</v>
      </c>
      <c r="E103" s="401">
        <f>SUM(E104:E112)</f>
        <v>2338</v>
      </c>
      <c r="F103" s="401">
        <f>SUM(F104:F112)</f>
        <v>2338</v>
      </c>
      <c r="G103" s="398"/>
    </row>
    <row r="104" spans="1:7" ht="16.5">
      <c r="A104" s="414" t="s">
        <v>766</v>
      </c>
      <c r="B104" s="414" t="s">
        <v>872</v>
      </c>
      <c r="C104" s="414" t="s">
        <v>873</v>
      </c>
      <c r="D104" s="415">
        <v>213</v>
      </c>
      <c r="E104" s="415">
        <v>425</v>
      </c>
      <c r="F104" s="415">
        <v>425</v>
      </c>
      <c r="G104" s="398"/>
    </row>
    <row r="105" spans="1:7" ht="16.5">
      <c r="A105" s="414" t="s">
        <v>766</v>
      </c>
      <c r="B105" s="414" t="s">
        <v>872</v>
      </c>
      <c r="C105" s="414" t="s">
        <v>874</v>
      </c>
      <c r="D105" s="415">
        <v>124</v>
      </c>
      <c r="E105" s="415">
        <v>260</v>
      </c>
      <c r="F105" s="415">
        <v>260</v>
      </c>
      <c r="G105" s="398"/>
    </row>
    <row r="106" spans="1:7" ht="16.5">
      <c r="A106" s="414" t="s">
        <v>766</v>
      </c>
      <c r="B106" s="414" t="s">
        <v>872</v>
      </c>
      <c r="C106" s="414" t="s">
        <v>875</v>
      </c>
      <c r="D106" s="415">
        <v>116</v>
      </c>
      <c r="E106" s="415">
        <v>217</v>
      </c>
      <c r="F106" s="415">
        <v>217</v>
      </c>
      <c r="G106" s="398"/>
    </row>
    <row r="107" spans="1:7" ht="16.5">
      <c r="A107" s="414" t="s">
        <v>766</v>
      </c>
      <c r="B107" s="414" t="s">
        <v>872</v>
      </c>
      <c r="C107" s="414" t="s">
        <v>876</v>
      </c>
      <c r="D107" s="415">
        <v>121</v>
      </c>
      <c r="E107" s="415">
        <v>243</v>
      </c>
      <c r="F107" s="415">
        <v>243</v>
      </c>
      <c r="G107" s="398"/>
    </row>
    <row r="108" spans="1:7" ht="16.5">
      <c r="A108" s="414" t="s">
        <v>766</v>
      </c>
      <c r="B108" s="414" t="s">
        <v>872</v>
      </c>
      <c r="C108" s="414" t="s">
        <v>877</v>
      </c>
      <c r="D108" s="415">
        <v>151</v>
      </c>
      <c r="E108" s="415">
        <v>254</v>
      </c>
      <c r="F108" s="415">
        <v>254</v>
      </c>
      <c r="G108" s="398"/>
    </row>
    <row r="109" spans="1:7" ht="16.5">
      <c r="A109" s="414" t="s">
        <v>766</v>
      </c>
      <c r="B109" s="414" t="s">
        <v>872</v>
      </c>
      <c r="C109" s="414" t="s">
        <v>878</v>
      </c>
      <c r="D109" s="415">
        <v>80</v>
      </c>
      <c r="E109" s="415">
        <v>171</v>
      </c>
      <c r="F109" s="415">
        <v>171</v>
      </c>
      <c r="G109" s="398"/>
    </row>
    <row r="110" spans="1:7" ht="16.5">
      <c r="A110" s="414" t="s">
        <v>766</v>
      </c>
      <c r="B110" s="414" t="s">
        <v>872</v>
      </c>
      <c r="C110" s="414" t="s">
        <v>879</v>
      </c>
      <c r="D110" s="415">
        <v>124</v>
      </c>
      <c r="E110" s="415">
        <v>229</v>
      </c>
      <c r="F110" s="415">
        <v>229</v>
      </c>
      <c r="G110" s="398"/>
    </row>
    <row r="111" spans="1:7" ht="16.5">
      <c r="A111" s="414" t="s">
        <v>766</v>
      </c>
      <c r="B111" s="414" t="s">
        <v>872</v>
      </c>
      <c r="C111" s="414" t="s">
        <v>880</v>
      </c>
      <c r="D111" s="415">
        <v>101</v>
      </c>
      <c r="E111" s="415">
        <v>240</v>
      </c>
      <c r="F111" s="415">
        <v>240</v>
      </c>
      <c r="G111" s="398"/>
    </row>
    <row r="112" spans="1:7" ht="16.5">
      <c r="A112" s="414" t="s">
        <v>766</v>
      </c>
      <c r="B112" s="414" t="s">
        <v>872</v>
      </c>
      <c r="C112" s="414" t="s">
        <v>881</v>
      </c>
      <c r="D112" s="415">
        <v>141</v>
      </c>
      <c r="E112" s="415">
        <v>299</v>
      </c>
      <c r="F112" s="415">
        <v>299</v>
      </c>
      <c r="G112" s="398"/>
    </row>
    <row r="113" spans="1:7" ht="16.5">
      <c r="A113" s="406"/>
      <c r="B113" s="406"/>
      <c r="C113" s="402" t="s">
        <v>672</v>
      </c>
      <c r="D113" s="401">
        <f>SUM(D114:D125)</f>
        <v>1690</v>
      </c>
      <c r="E113" s="401">
        <f>SUM(E114:E125)</f>
        <v>3583</v>
      </c>
      <c r="F113" s="401">
        <f>SUM(F114:F125)</f>
        <v>3583</v>
      </c>
      <c r="G113" s="398"/>
    </row>
    <row r="114" spans="1:7" ht="16.5">
      <c r="A114" s="414" t="s">
        <v>766</v>
      </c>
      <c r="B114" s="414" t="s">
        <v>882</v>
      </c>
      <c r="C114" s="414" t="s">
        <v>883</v>
      </c>
      <c r="D114" s="415">
        <v>228</v>
      </c>
      <c r="E114" s="415">
        <v>509</v>
      </c>
      <c r="F114" s="415">
        <v>509</v>
      </c>
      <c r="G114" s="398"/>
    </row>
    <row r="115" spans="1:7" ht="16.5">
      <c r="A115" s="414" t="s">
        <v>766</v>
      </c>
      <c r="B115" s="414" t="s">
        <v>882</v>
      </c>
      <c r="C115" s="414" t="s">
        <v>884</v>
      </c>
      <c r="D115" s="415">
        <v>95</v>
      </c>
      <c r="E115" s="415">
        <v>190</v>
      </c>
      <c r="F115" s="415">
        <v>190</v>
      </c>
      <c r="G115" s="398"/>
    </row>
    <row r="116" spans="1:7" ht="16.5">
      <c r="A116" s="414" t="s">
        <v>766</v>
      </c>
      <c r="B116" s="414" t="s">
        <v>882</v>
      </c>
      <c r="C116" s="414" t="s">
        <v>885</v>
      </c>
      <c r="D116" s="415">
        <v>236</v>
      </c>
      <c r="E116" s="415">
        <v>499</v>
      </c>
      <c r="F116" s="415">
        <v>499</v>
      </c>
      <c r="G116" s="398"/>
    </row>
    <row r="117" spans="1:7" ht="16.5">
      <c r="A117" s="414" t="s">
        <v>766</v>
      </c>
      <c r="B117" s="414" t="s">
        <v>882</v>
      </c>
      <c r="C117" s="414" t="s">
        <v>886</v>
      </c>
      <c r="D117" s="415">
        <v>125</v>
      </c>
      <c r="E117" s="415">
        <v>286</v>
      </c>
      <c r="F117" s="415">
        <v>286</v>
      </c>
      <c r="G117" s="398"/>
    </row>
    <row r="118" spans="1:7" ht="16.5">
      <c r="A118" s="414" t="s">
        <v>766</v>
      </c>
      <c r="B118" s="414" t="s">
        <v>882</v>
      </c>
      <c r="C118" s="414" t="s">
        <v>887</v>
      </c>
      <c r="D118" s="415">
        <v>86</v>
      </c>
      <c r="E118" s="415">
        <v>179</v>
      </c>
      <c r="F118" s="415">
        <v>179</v>
      </c>
      <c r="G118" s="398"/>
    </row>
    <row r="119" spans="1:7" ht="16.5">
      <c r="A119" s="414" t="s">
        <v>766</v>
      </c>
      <c r="B119" s="414" t="s">
        <v>882</v>
      </c>
      <c r="C119" s="414" t="s">
        <v>888</v>
      </c>
      <c r="D119" s="415">
        <v>190</v>
      </c>
      <c r="E119" s="415">
        <v>412</v>
      </c>
      <c r="F119" s="415">
        <v>412</v>
      </c>
      <c r="G119" s="398"/>
    </row>
    <row r="120" spans="1:7" ht="16.5">
      <c r="A120" s="414" t="s">
        <v>766</v>
      </c>
      <c r="B120" s="414" t="s">
        <v>882</v>
      </c>
      <c r="C120" s="414" t="s">
        <v>889</v>
      </c>
      <c r="D120" s="415">
        <v>329</v>
      </c>
      <c r="E120" s="415">
        <v>664</v>
      </c>
      <c r="F120" s="415">
        <v>664</v>
      </c>
      <c r="G120" s="398"/>
    </row>
    <row r="121" spans="1:7" ht="16.5">
      <c r="A121" s="414" t="s">
        <v>766</v>
      </c>
      <c r="B121" s="414" t="s">
        <v>882</v>
      </c>
      <c r="C121" s="414" t="s">
        <v>890</v>
      </c>
      <c r="D121" s="415">
        <v>93</v>
      </c>
      <c r="E121" s="415">
        <v>183</v>
      </c>
      <c r="F121" s="415">
        <v>183</v>
      </c>
      <c r="G121" s="398"/>
    </row>
    <row r="122" spans="1:7" ht="16.5">
      <c r="A122" s="414" t="s">
        <v>766</v>
      </c>
      <c r="B122" s="414" t="s">
        <v>882</v>
      </c>
      <c r="C122" s="414" t="s">
        <v>891</v>
      </c>
      <c r="D122" s="415">
        <v>53</v>
      </c>
      <c r="E122" s="415">
        <v>106</v>
      </c>
      <c r="F122" s="415">
        <v>106</v>
      </c>
      <c r="G122" s="398"/>
    </row>
    <row r="123" spans="1:7" ht="16.5">
      <c r="A123" s="414" t="s">
        <v>766</v>
      </c>
      <c r="B123" s="414" t="s">
        <v>882</v>
      </c>
      <c r="C123" s="414" t="s">
        <v>892</v>
      </c>
      <c r="D123" s="415">
        <v>132</v>
      </c>
      <c r="E123" s="415">
        <v>278</v>
      </c>
      <c r="F123" s="415">
        <v>278</v>
      </c>
      <c r="G123" s="398"/>
    </row>
    <row r="124" spans="1:7" ht="16.5">
      <c r="A124" s="414" t="s">
        <v>766</v>
      </c>
      <c r="B124" s="414" t="s">
        <v>882</v>
      </c>
      <c r="C124" s="414" t="s">
        <v>893</v>
      </c>
      <c r="D124" s="415">
        <v>92</v>
      </c>
      <c r="E124" s="415">
        <v>207</v>
      </c>
      <c r="F124" s="415">
        <v>207</v>
      </c>
      <c r="G124" s="398"/>
    </row>
    <row r="125" spans="1:7" ht="16.5">
      <c r="A125" s="414" t="s">
        <v>766</v>
      </c>
      <c r="B125" s="414" t="s">
        <v>882</v>
      </c>
      <c r="C125" s="414" t="s">
        <v>894</v>
      </c>
      <c r="D125" s="415">
        <v>31</v>
      </c>
      <c r="E125" s="415">
        <v>70</v>
      </c>
      <c r="F125" s="415">
        <v>70</v>
      </c>
      <c r="G125" s="398"/>
    </row>
    <row r="126" spans="1:7" ht="16.5">
      <c r="A126" s="406"/>
      <c r="B126" s="406"/>
      <c r="C126" s="402" t="s">
        <v>672</v>
      </c>
      <c r="D126" s="401">
        <f>SUM(D127:D142)</f>
        <v>1874</v>
      </c>
      <c r="E126" s="401">
        <f>SUM(E127:E142)</f>
        <v>3872</v>
      </c>
      <c r="F126" s="401">
        <f>SUM(F127:F142)</f>
        <v>3872</v>
      </c>
      <c r="G126" s="398"/>
    </row>
    <row r="127" spans="1:7" ht="16.5">
      <c r="A127" s="414" t="s">
        <v>766</v>
      </c>
      <c r="B127" s="414" t="s">
        <v>895</v>
      </c>
      <c r="C127" s="414" t="s">
        <v>896</v>
      </c>
      <c r="D127" s="415">
        <v>433</v>
      </c>
      <c r="E127" s="415">
        <v>853</v>
      </c>
      <c r="F127" s="415">
        <v>853</v>
      </c>
      <c r="G127" s="398"/>
    </row>
    <row r="128" spans="1:7" ht="16.5">
      <c r="A128" s="414" t="s">
        <v>766</v>
      </c>
      <c r="B128" s="414" t="s">
        <v>895</v>
      </c>
      <c r="C128" s="414" t="s">
        <v>897</v>
      </c>
      <c r="D128" s="415">
        <v>167</v>
      </c>
      <c r="E128" s="415">
        <v>356</v>
      </c>
      <c r="F128" s="415">
        <v>356</v>
      </c>
      <c r="G128" s="398"/>
    </row>
    <row r="129" spans="1:7" ht="16.5">
      <c r="A129" s="414" t="s">
        <v>766</v>
      </c>
      <c r="B129" s="414" t="s">
        <v>895</v>
      </c>
      <c r="C129" s="414" t="s">
        <v>898</v>
      </c>
      <c r="D129" s="415">
        <v>115</v>
      </c>
      <c r="E129" s="415">
        <v>292</v>
      </c>
      <c r="F129" s="415">
        <v>292</v>
      </c>
      <c r="G129" s="398"/>
    </row>
    <row r="130" spans="1:7" ht="16.5">
      <c r="A130" s="414" t="s">
        <v>766</v>
      </c>
      <c r="B130" s="414" t="s">
        <v>895</v>
      </c>
      <c r="C130" s="414" t="s">
        <v>899</v>
      </c>
      <c r="D130" s="415">
        <v>88</v>
      </c>
      <c r="E130" s="415">
        <v>184</v>
      </c>
      <c r="F130" s="415">
        <v>184</v>
      </c>
      <c r="G130" s="398"/>
    </row>
    <row r="131" spans="1:7" ht="16.5">
      <c r="A131" s="414" t="s">
        <v>766</v>
      </c>
      <c r="B131" s="414" t="s">
        <v>895</v>
      </c>
      <c r="C131" s="414" t="s">
        <v>900</v>
      </c>
      <c r="D131" s="415">
        <v>23</v>
      </c>
      <c r="E131" s="415">
        <v>42</v>
      </c>
      <c r="F131" s="415">
        <v>42</v>
      </c>
      <c r="G131" s="398"/>
    </row>
    <row r="132" spans="1:7" ht="16.5">
      <c r="A132" s="414" t="s">
        <v>766</v>
      </c>
      <c r="B132" s="414" t="s">
        <v>895</v>
      </c>
      <c r="C132" s="414" t="s">
        <v>901</v>
      </c>
      <c r="D132" s="415">
        <v>85</v>
      </c>
      <c r="E132" s="415">
        <v>173</v>
      </c>
      <c r="F132" s="415">
        <v>173</v>
      </c>
      <c r="G132" s="398"/>
    </row>
    <row r="133" spans="1:7" ht="16.5">
      <c r="A133" s="414" t="s">
        <v>766</v>
      </c>
      <c r="B133" s="414" t="s">
        <v>895</v>
      </c>
      <c r="C133" s="414" t="s">
        <v>902</v>
      </c>
      <c r="D133" s="415">
        <v>59</v>
      </c>
      <c r="E133" s="415">
        <v>133</v>
      </c>
      <c r="F133" s="415">
        <v>133</v>
      </c>
      <c r="G133" s="398"/>
    </row>
    <row r="134" spans="1:7" ht="16.5">
      <c r="A134" s="414" t="s">
        <v>766</v>
      </c>
      <c r="B134" s="414" t="s">
        <v>895</v>
      </c>
      <c r="C134" s="414" t="s">
        <v>903</v>
      </c>
      <c r="D134" s="415">
        <v>86</v>
      </c>
      <c r="E134" s="415">
        <v>202</v>
      </c>
      <c r="F134" s="415">
        <v>202</v>
      </c>
      <c r="G134" s="398"/>
    </row>
    <row r="135" spans="1:7" ht="16.5">
      <c r="A135" s="414" t="s">
        <v>766</v>
      </c>
      <c r="B135" s="414" t="s">
        <v>895</v>
      </c>
      <c r="C135" s="414" t="s">
        <v>904</v>
      </c>
      <c r="D135" s="415">
        <v>103</v>
      </c>
      <c r="E135" s="415">
        <v>230</v>
      </c>
      <c r="F135" s="415">
        <v>230</v>
      </c>
      <c r="G135" s="398"/>
    </row>
    <row r="136" spans="1:7" ht="16.5">
      <c r="A136" s="414" t="s">
        <v>766</v>
      </c>
      <c r="B136" s="414" t="s">
        <v>895</v>
      </c>
      <c r="C136" s="414" t="s">
        <v>905</v>
      </c>
      <c r="D136" s="415">
        <v>102</v>
      </c>
      <c r="E136" s="415">
        <v>195</v>
      </c>
      <c r="F136" s="415">
        <v>195</v>
      </c>
      <c r="G136" s="398"/>
    </row>
    <row r="137" spans="1:7" ht="16.5">
      <c r="A137" s="414" t="s">
        <v>766</v>
      </c>
      <c r="B137" s="414" t="s">
        <v>895</v>
      </c>
      <c r="C137" s="414" t="s">
        <v>906</v>
      </c>
      <c r="D137" s="415">
        <v>111</v>
      </c>
      <c r="E137" s="415">
        <v>203</v>
      </c>
      <c r="F137" s="415">
        <v>203</v>
      </c>
      <c r="G137" s="398"/>
    </row>
    <row r="138" spans="1:7" ht="16.5">
      <c r="A138" s="414" t="s">
        <v>766</v>
      </c>
      <c r="B138" s="414" t="s">
        <v>895</v>
      </c>
      <c r="C138" s="414" t="s">
        <v>907</v>
      </c>
      <c r="D138" s="415">
        <v>111</v>
      </c>
      <c r="E138" s="415">
        <v>241</v>
      </c>
      <c r="F138" s="415">
        <v>241</v>
      </c>
      <c r="G138" s="398"/>
    </row>
    <row r="139" spans="1:7" ht="16.5">
      <c r="A139" s="414" t="s">
        <v>766</v>
      </c>
      <c r="B139" s="414" t="s">
        <v>895</v>
      </c>
      <c r="C139" s="414" t="s">
        <v>908</v>
      </c>
      <c r="D139" s="415">
        <v>109</v>
      </c>
      <c r="E139" s="415">
        <v>221</v>
      </c>
      <c r="F139" s="415">
        <v>221</v>
      </c>
      <c r="G139" s="398"/>
    </row>
    <row r="140" spans="1:7" ht="16.5">
      <c r="A140" s="414" t="s">
        <v>766</v>
      </c>
      <c r="B140" s="414" t="s">
        <v>895</v>
      </c>
      <c r="C140" s="414" t="s">
        <v>909</v>
      </c>
      <c r="D140" s="415">
        <v>101</v>
      </c>
      <c r="E140" s="415">
        <v>191</v>
      </c>
      <c r="F140" s="415">
        <v>191</v>
      </c>
      <c r="G140" s="398"/>
    </row>
    <row r="141" spans="1:7" ht="16.5">
      <c r="A141" s="414" t="s">
        <v>766</v>
      </c>
      <c r="B141" s="414" t="s">
        <v>895</v>
      </c>
      <c r="C141" s="414" t="s">
        <v>910</v>
      </c>
      <c r="D141" s="415">
        <v>128</v>
      </c>
      <c r="E141" s="415">
        <v>261</v>
      </c>
      <c r="F141" s="415">
        <v>261</v>
      </c>
      <c r="G141" s="398"/>
    </row>
    <row r="142" spans="1:7" ht="16.5">
      <c r="A142" s="414" t="s">
        <v>766</v>
      </c>
      <c r="B142" s="414" t="s">
        <v>895</v>
      </c>
      <c r="C142" s="414" t="s">
        <v>911</v>
      </c>
      <c r="D142" s="415">
        <v>53</v>
      </c>
      <c r="E142" s="415">
        <v>95</v>
      </c>
      <c r="F142" s="415">
        <v>95</v>
      </c>
      <c r="G142" s="398"/>
    </row>
    <row r="143" spans="1:7" ht="16.5">
      <c r="A143" s="402"/>
      <c r="B143" s="402"/>
      <c r="C143" s="402" t="s">
        <v>672</v>
      </c>
      <c r="D143" s="401">
        <f>SUM(D144:D155)</f>
        <v>1993</v>
      </c>
      <c r="E143" s="401">
        <f>SUM(E144:E155)</f>
        <v>4116</v>
      </c>
      <c r="F143" s="401">
        <f>SUM(F144:F155)</f>
        <v>4116</v>
      </c>
      <c r="G143" s="398"/>
    </row>
    <row r="144" spans="1:7" ht="16.5">
      <c r="A144" s="414" t="s">
        <v>766</v>
      </c>
      <c r="B144" s="414" t="s">
        <v>912</v>
      </c>
      <c r="C144" s="414" t="s">
        <v>913</v>
      </c>
      <c r="D144" s="415">
        <v>131</v>
      </c>
      <c r="E144" s="415">
        <v>294</v>
      </c>
      <c r="F144" s="415">
        <v>294</v>
      </c>
      <c r="G144" s="398"/>
    </row>
    <row r="145" spans="1:7" ht="16.5">
      <c r="A145" s="414" t="s">
        <v>766</v>
      </c>
      <c r="B145" s="414" t="s">
        <v>912</v>
      </c>
      <c r="C145" s="414" t="s">
        <v>914</v>
      </c>
      <c r="D145" s="415">
        <v>454</v>
      </c>
      <c r="E145" s="415">
        <v>966</v>
      </c>
      <c r="F145" s="415">
        <v>966</v>
      </c>
      <c r="G145" s="398"/>
    </row>
    <row r="146" spans="1:7" ht="16.5">
      <c r="A146" s="414" t="s">
        <v>766</v>
      </c>
      <c r="B146" s="414" t="s">
        <v>912</v>
      </c>
      <c r="C146" s="414" t="s">
        <v>915</v>
      </c>
      <c r="D146" s="415">
        <v>120</v>
      </c>
      <c r="E146" s="415">
        <v>262</v>
      </c>
      <c r="F146" s="415">
        <v>262</v>
      </c>
      <c r="G146" s="398"/>
    </row>
    <row r="147" spans="1:7" ht="16.5">
      <c r="A147" s="414" t="s">
        <v>766</v>
      </c>
      <c r="B147" s="414" t="s">
        <v>912</v>
      </c>
      <c r="C147" s="414" t="s">
        <v>916</v>
      </c>
      <c r="D147" s="415">
        <v>65</v>
      </c>
      <c r="E147" s="415">
        <v>132</v>
      </c>
      <c r="F147" s="415">
        <v>132</v>
      </c>
      <c r="G147" s="398"/>
    </row>
    <row r="148" spans="1:7" ht="16.5">
      <c r="A148" s="414" t="s">
        <v>766</v>
      </c>
      <c r="B148" s="414" t="s">
        <v>912</v>
      </c>
      <c r="C148" s="414" t="s">
        <v>917</v>
      </c>
      <c r="D148" s="415">
        <v>126</v>
      </c>
      <c r="E148" s="415">
        <v>250</v>
      </c>
      <c r="F148" s="415">
        <v>250</v>
      </c>
      <c r="G148" s="398"/>
    </row>
    <row r="149" spans="1:7" ht="16.5">
      <c r="A149" s="414" t="s">
        <v>766</v>
      </c>
      <c r="B149" s="414" t="s">
        <v>912</v>
      </c>
      <c r="C149" s="414" t="s">
        <v>918</v>
      </c>
      <c r="D149" s="415">
        <v>85</v>
      </c>
      <c r="E149" s="415">
        <v>175</v>
      </c>
      <c r="F149" s="415">
        <v>175</v>
      </c>
      <c r="G149" s="398"/>
    </row>
    <row r="150" spans="1:7" ht="16.5">
      <c r="A150" s="414" t="s">
        <v>766</v>
      </c>
      <c r="B150" s="414" t="s">
        <v>912</v>
      </c>
      <c r="C150" s="414" t="s">
        <v>919</v>
      </c>
      <c r="D150" s="415">
        <v>148</v>
      </c>
      <c r="E150" s="415">
        <v>313</v>
      </c>
      <c r="F150" s="415">
        <v>313</v>
      </c>
      <c r="G150" s="398"/>
    </row>
    <row r="151" spans="1:7" ht="16.5">
      <c r="A151" s="414" t="s">
        <v>766</v>
      </c>
      <c r="B151" s="414" t="s">
        <v>912</v>
      </c>
      <c r="C151" s="414" t="s">
        <v>852</v>
      </c>
      <c r="D151" s="415">
        <v>162</v>
      </c>
      <c r="E151" s="415">
        <v>357</v>
      </c>
      <c r="F151" s="415">
        <v>357</v>
      </c>
      <c r="G151" s="398"/>
    </row>
    <row r="152" spans="1:7" ht="16.5">
      <c r="A152" s="414" t="s">
        <v>766</v>
      </c>
      <c r="B152" s="414" t="s">
        <v>912</v>
      </c>
      <c r="C152" s="414" t="s">
        <v>920</v>
      </c>
      <c r="D152" s="415">
        <v>42</v>
      </c>
      <c r="E152" s="415">
        <v>78</v>
      </c>
      <c r="F152" s="415">
        <v>78</v>
      </c>
      <c r="G152" s="398"/>
    </row>
    <row r="153" spans="1:7" ht="16.5">
      <c r="A153" s="414" t="s">
        <v>766</v>
      </c>
      <c r="B153" s="414" t="s">
        <v>912</v>
      </c>
      <c r="C153" s="414" t="s">
        <v>824</v>
      </c>
      <c r="D153" s="415">
        <v>84</v>
      </c>
      <c r="E153" s="415">
        <v>174</v>
      </c>
      <c r="F153" s="415">
        <v>174</v>
      </c>
      <c r="G153" s="398"/>
    </row>
    <row r="154" spans="1:7" ht="16.5">
      <c r="A154" s="414" t="s">
        <v>766</v>
      </c>
      <c r="B154" s="414" t="s">
        <v>912</v>
      </c>
      <c r="C154" s="414" t="s">
        <v>921</v>
      </c>
      <c r="D154" s="415">
        <v>140</v>
      </c>
      <c r="E154" s="415">
        <v>301</v>
      </c>
      <c r="F154" s="415">
        <v>301</v>
      </c>
      <c r="G154" s="398"/>
    </row>
    <row r="155" spans="1:7" ht="16.5">
      <c r="A155" s="414" t="s">
        <v>766</v>
      </c>
      <c r="B155" s="414" t="s">
        <v>912</v>
      </c>
      <c r="C155" s="414" t="s">
        <v>922</v>
      </c>
      <c r="D155" s="415">
        <v>436</v>
      </c>
      <c r="E155" s="415">
        <v>814</v>
      </c>
      <c r="F155" s="415">
        <v>814</v>
      </c>
      <c r="G155" s="398"/>
    </row>
    <row r="156" spans="1:7" ht="16.5">
      <c r="A156" s="403"/>
      <c r="B156" s="403"/>
      <c r="C156" s="412"/>
      <c r="D156" s="412"/>
      <c r="E156" s="412"/>
      <c r="F156" s="412"/>
    </row>
    <row r="157" spans="1:7" ht="16.5">
      <c r="A157" s="403"/>
      <c r="B157" s="403"/>
      <c r="C157" s="412"/>
      <c r="D157" s="412"/>
      <c r="E157" s="412"/>
      <c r="F157" s="412"/>
    </row>
    <row r="158" spans="1:7" ht="16.5">
      <c r="A158" s="403"/>
      <c r="B158" s="403"/>
      <c r="C158" s="412"/>
      <c r="D158" s="412"/>
      <c r="E158" s="412"/>
      <c r="F158" s="412"/>
    </row>
    <row r="159" spans="1:7" ht="16.5">
      <c r="A159" s="403"/>
      <c r="B159" s="403"/>
      <c r="C159" s="412"/>
      <c r="D159" s="412"/>
      <c r="E159" s="412"/>
      <c r="F159" s="412"/>
    </row>
    <row r="160" spans="1:7" ht="16.5">
      <c r="A160" s="403"/>
      <c r="B160" s="403"/>
      <c r="C160" s="412"/>
      <c r="D160" s="412"/>
      <c r="E160" s="412"/>
      <c r="F160" s="412"/>
    </row>
    <row r="161" spans="1:6" ht="16.5">
      <c r="A161" s="403"/>
      <c r="B161" s="403"/>
      <c r="C161" s="412"/>
      <c r="D161" s="412"/>
      <c r="E161" s="412"/>
      <c r="F161" s="412"/>
    </row>
    <row r="162" spans="1:6" ht="16.5">
      <c r="C162" s="412"/>
      <c r="D162" s="412"/>
      <c r="E162" s="412"/>
      <c r="F162" s="412"/>
    </row>
    <row r="163" spans="1:6" ht="16.5">
      <c r="C163" s="412"/>
      <c r="D163" s="412"/>
      <c r="E163" s="412"/>
      <c r="F163" s="412"/>
    </row>
    <row r="164" spans="1:6" ht="16.5">
      <c r="C164" s="412"/>
      <c r="D164" s="412"/>
      <c r="E164" s="412"/>
      <c r="F164" s="412"/>
    </row>
    <row r="165" spans="1:6" ht="16.5">
      <c r="C165" s="412"/>
      <c r="D165" s="412"/>
      <c r="E165" s="412"/>
      <c r="F165" s="412"/>
    </row>
    <row r="166" spans="1:6" ht="16.5">
      <c r="C166" s="412"/>
      <c r="D166" s="412"/>
      <c r="E166" s="412"/>
      <c r="F166" s="412"/>
    </row>
    <row r="167" spans="1:6" ht="16.5">
      <c r="C167" s="412"/>
      <c r="D167" s="412"/>
      <c r="E167" s="412"/>
      <c r="F167" s="412"/>
    </row>
    <row r="168" spans="1:6" ht="16.5">
      <c r="C168" s="412"/>
      <c r="D168" s="412"/>
      <c r="E168" s="412"/>
      <c r="F168" s="412"/>
    </row>
    <row r="169" spans="1:6" ht="16.5">
      <c r="C169" s="412"/>
      <c r="D169" s="412"/>
      <c r="E169" s="412"/>
      <c r="F169" s="412"/>
    </row>
    <row r="170" spans="1:6" ht="16.5">
      <c r="C170" s="412"/>
      <c r="D170" s="412"/>
      <c r="E170" s="412"/>
      <c r="F170" s="412"/>
    </row>
    <row r="171" spans="1:6" ht="16.5">
      <c r="C171" s="412"/>
      <c r="D171" s="412"/>
      <c r="E171" s="412"/>
      <c r="F171" s="412"/>
    </row>
    <row r="172" spans="1:6" ht="16.5">
      <c r="C172" s="412"/>
      <c r="D172" s="412"/>
      <c r="E172" s="412"/>
      <c r="F172" s="412"/>
    </row>
    <row r="173" spans="1:6" ht="16.5">
      <c r="C173" s="412"/>
      <c r="D173" s="412"/>
      <c r="E173" s="412"/>
      <c r="F173" s="412"/>
    </row>
    <row r="174" spans="1:6" ht="16.5">
      <c r="C174" s="412"/>
      <c r="D174" s="412"/>
      <c r="E174" s="412"/>
      <c r="F174" s="412"/>
    </row>
    <row r="175" spans="1:6" ht="16.5">
      <c r="C175" s="412"/>
      <c r="D175" s="412"/>
      <c r="E175" s="412"/>
      <c r="F175" s="412"/>
    </row>
    <row r="176" spans="1:6" ht="16.5">
      <c r="C176" s="412"/>
      <c r="D176" s="412"/>
      <c r="E176" s="412"/>
      <c r="F176" s="412"/>
    </row>
    <row r="177" spans="3:6" ht="16.5">
      <c r="C177" s="412"/>
      <c r="D177" s="412"/>
      <c r="E177" s="412"/>
      <c r="F177" s="412"/>
    </row>
  </sheetData>
  <mergeCells count="1">
    <mergeCell ref="A1:E1"/>
  </mergeCells>
  <phoneticPr fontId="10" type="noConversion"/>
  <pageMargins left="0.7" right="0.7" top="0.75" bottom="0.75" header="0.3" footer="0.3"/>
  <pageSetup paperSize="9" orientation="portrait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C21" sqref="C21:C33"/>
    </sheetView>
  </sheetViews>
  <sheetFormatPr defaultRowHeight="13.5"/>
  <sheetData>
    <row r="1" spans="1:7" ht="27">
      <c r="A1" s="1149" t="s">
        <v>964</v>
      </c>
      <c r="B1" s="1151" t="s">
        <v>771</v>
      </c>
      <c r="C1" s="1153" t="s">
        <v>1030</v>
      </c>
      <c r="D1" s="1154"/>
      <c r="E1" s="1155"/>
      <c r="F1" s="466" t="s">
        <v>1031</v>
      </c>
      <c r="G1" s="471" t="s">
        <v>1032</v>
      </c>
    </row>
    <row r="2" spans="1:7">
      <c r="A2" s="1150"/>
      <c r="B2" s="1152"/>
      <c r="C2" s="468" t="s">
        <v>1034</v>
      </c>
      <c r="D2" s="468" t="s">
        <v>1035</v>
      </c>
      <c r="E2" s="468" t="s">
        <v>1036</v>
      </c>
      <c r="F2" s="467" t="s">
        <v>935</v>
      </c>
      <c r="G2" s="472" t="s">
        <v>1033</v>
      </c>
    </row>
    <row r="3" spans="1:7">
      <c r="A3" s="473" t="s">
        <v>1037</v>
      </c>
      <c r="B3" s="469">
        <v>33763</v>
      </c>
      <c r="C3" s="480">
        <v>91223</v>
      </c>
      <c r="D3" s="469">
        <v>45358</v>
      </c>
      <c r="E3" s="469">
        <v>45865</v>
      </c>
      <c r="F3" s="470">
        <v>-0.2</v>
      </c>
      <c r="G3" s="474">
        <v>2.7</v>
      </c>
    </row>
    <row r="4" spans="1:7">
      <c r="A4" s="473" t="s">
        <v>1038</v>
      </c>
      <c r="B4" s="469">
        <v>34610</v>
      </c>
      <c r="C4" s="480">
        <v>90931</v>
      </c>
      <c r="D4" s="469">
        <v>45176</v>
      </c>
      <c r="E4" s="469">
        <v>45755</v>
      </c>
      <c r="F4" s="470">
        <v>-0.3</v>
      </c>
      <c r="G4" s="474">
        <v>2.6</v>
      </c>
    </row>
    <row r="5" spans="1:7">
      <c r="A5" s="473" t="s">
        <v>1039</v>
      </c>
      <c r="B5" s="469">
        <v>35177</v>
      </c>
      <c r="C5" s="480">
        <v>89555</v>
      </c>
      <c r="D5" s="469">
        <v>44576</v>
      </c>
      <c r="E5" s="469">
        <v>44979</v>
      </c>
      <c r="F5" s="470">
        <v>-1.3</v>
      </c>
      <c r="G5" s="474">
        <v>2.6</v>
      </c>
    </row>
    <row r="6" spans="1:7">
      <c r="A6" s="473" t="s">
        <v>1040</v>
      </c>
      <c r="B6" s="469">
        <v>35196</v>
      </c>
      <c r="C6" s="480">
        <v>88685</v>
      </c>
      <c r="D6" s="469">
        <v>44109</v>
      </c>
      <c r="E6" s="469">
        <v>44576</v>
      </c>
      <c r="F6" s="470">
        <v>-0.8</v>
      </c>
      <c r="G6" s="474">
        <v>2.5</v>
      </c>
    </row>
    <row r="7" spans="1:7">
      <c r="A7" s="473" t="s">
        <v>1041</v>
      </c>
      <c r="B7" s="469">
        <v>35397</v>
      </c>
      <c r="C7" s="480">
        <v>88176</v>
      </c>
      <c r="D7" s="469">
        <v>43808</v>
      </c>
      <c r="E7" s="469">
        <v>44368</v>
      </c>
      <c r="F7" s="470">
        <v>-0.3</v>
      </c>
      <c r="G7" s="474">
        <v>2.5</v>
      </c>
    </row>
    <row r="8" spans="1:7">
      <c r="A8" s="473" t="s">
        <v>1042</v>
      </c>
      <c r="B8" s="469">
        <v>35634</v>
      </c>
      <c r="C8" s="480">
        <v>87631</v>
      </c>
      <c r="D8" s="469">
        <v>43612</v>
      </c>
      <c r="E8" s="469">
        <v>44019</v>
      </c>
      <c r="F8" s="470">
        <v>-0.4</v>
      </c>
      <c r="G8" s="474">
        <v>2.5</v>
      </c>
    </row>
    <row r="9" spans="1:7">
      <c r="A9" s="473" t="s">
        <v>1043</v>
      </c>
      <c r="B9" s="469">
        <v>36490</v>
      </c>
      <c r="C9" s="480">
        <v>88078</v>
      </c>
      <c r="D9" s="469">
        <v>43800</v>
      </c>
      <c r="E9" s="469">
        <v>44278</v>
      </c>
      <c r="F9" s="470">
        <v>0.8</v>
      </c>
      <c r="G9" s="474">
        <v>2.5</v>
      </c>
    </row>
    <row r="10" spans="1:7">
      <c r="A10" s="473" t="s">
        <v>1044</v>
      </c>
      <c r="B10" s="469">
        <v>36967</v>
      </c>
      <c r="C10" s="480">
        <v>88108</v>
      </c>
      <c r="D10" s="469">
        <v>43842</v>
      </c>
      <c r="E10" s="469">
        <v>44266</v>
      </c>
      <c r="F10" s="470">
        <v>0.2</v>
      </c>
      <c r="G10" s="474">
        <v>2.4</v>
      </c>
    </row>
    <row r="11" spans="1:7">
      <c r="A11" s="473" t="s">
        <v>1045</v>
      </c>
      <c r="B11" s="469">
        <v>37536</v>
      </c>
      <c r="C11" s="480">
        <v>88415</v>
      </c>
      <c r="D11" s="469">
        <v>44035</v>
      </c>
      <c r="E11" s="469">
        <v>44380</v>
      </c>
      <c r="F11" s="470">
        <v>0.3</v>
      </c>
      <c r="G11" s="474">
        <v>2.4</v>
      </c>
    </row>
    <row r="12" spans="1:7">
      <c r="A12" s="473" t="s">
        <v>1046</v>
      </c>
      <c r="B12" s="469">
        <v>37185</v>
      </c>
      <c r="C12" s="480">
        <v>85843</v>
      </c>
      <c r="D12" s="469">
        <v>42587</v>
      </c>
      <c r="E12" s="469">
        <v>43256</v>
      </c>
      <c r="F12" s="470">
        <v>-2.9</v>
      </c>
      <c r="G12" s="474">
        <v>2.4</v>
      </c>
    </row>
    <row r="13" spans="1:7">
      <c r="A13" s="473" t="s">
        <v>1047</v>
      </c>
      <c r="B13" s="469">
        <v>37469</v>
      </c>
      <c r="C13" s="480">
        <v>85853</v>
      </c>
      <c r="D13" s="469">
        <v>42846</v>
      </c>
      <c r="E13" s="469">
        <v>43007</v>
      </c>
      <c r="F13" s="470">
        <v>0.3</v>
      </c>
      <c r="G13" s="474">
        <v>2.2999999999999998</v>
      </c>
    </row>
    <row r="14" spans="1:7">
      <c r="A14" s="475" t="s">
        <v>1048</v>
      </c>
      <c r="B14" s="476">
        <v>37113</v>
      </c>
      <c r="C14" s="481">
        <v>83739</v>
      </c>
      <c r="D14" s="476">
        <v>41800</v>
      </c>
      <c r="E14" s="476">
        <v>41939</v>
      </c>
      <c r="F14" s="477">
        <v>-4.5</v>
      </c>
      <c r="G14" s="478">
        <v>2.2999999999999998</v>
      </c>
    </row>
    <row r="21" spans="3:5">
      <c r="C21" t="s">
        <v>1050</v>
      </c>
      <c r="D21" t="s">
        <v>1051</v>
      </c>
      <c r="E21" t="s">
        <v>1052</v>
      </c>
    </row>
    <row r="22" spans="3:5">
      <c r="C22" s="480">
        <v>91223</v>
      </c>
    </row>
    <row r="23" spans="3:5">
      <c r="C23" s="480">
        <v>90931</v>
      </c>
    </row>
    <row r="24" spans="3:5">
      <c r="C24" s="480">
        <v>89555</v>
      </c>
    </row>
    <row r="25" spans="3:5">
      <c r="C25" s="480">
        <v>88685</v>
      </c>
    </row>
    <row r="26" spans="3:5">
      <c r="C26" s="480">
        <v>88176</v>
      </c>
    </row>
    <row r="27" spans="3:5">
      <c r="C27" s="480">
        <v>87631</v>
      </c>
    </row>
    <row r="28" spans="3:5">
      <c r="C28" s="480">
        <v>88078</v>
      </c>
    </row>
    <row r="29" spans="3:5">
      <c r="C29" s="480">
        <v>88108</v>
      </c>
    </row>
    <row r="30" spans="3:5">
      <c r="C30" s="480">
        <v>88415</v>
      </c>
    </row>
    <row r="31" spans="3:5">
      <c r="C31" s="480">
        <v>85843</v>
      </c>
    </row>
    <row r="32" spans="3:5">
      <c r="C32" s="480">
        <v>85853</v>
      </c>
    </row>
    <row r="33" spans="3:3">
      <c r="C33" s="481">
        <v>83739</v>
      </c>
    </row>
    <row r="34" spans="3:3">
      <c r="C34" s="454"/>
    </row>
  </sheetData>
  <mergeCells count="3">
    <mergeCell ref="A1:A2"/>
    <mergeCell ref="B1:B2"/>
    <mergeCell ref="C1:E1"/>
  </mergeCells>
  <phoneticPr fontId="1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C11" sqref="C10:D11"/>
    </sheetView>
  </sheetViews>
  <sheetFormatPr defaultRowHeight="13.5"/>
  <sheetData>
    <row r="1" spans="1:15" ht="16.5">
      <c r="A1" s="1162" t="s">
        <v>25</v>
      </c>
      <c r="B1" s="1156" t="s">
        <v>3</v>
      </c>
      <c r="C1" s="1158" t="s">
        <v>4</v>
      </c>
      <c r="D1" s="1156" t="s">
        <v>5</v>
      </c>
      <c r="E1" s="1158" t="s">
        <v>6</v>
      </c>
      <c r="F1" s="1156" t="s">
        <v>24</v>
      </c>
      <c r="G1" s="1158" t="s">
        <v>7</v>
      </c>
      <c r="H1" s="1156" t="s">
        <v>47</v>
      </c>
      <c r="I1" s="1160" t="s">
        <v>48</v>
      </c>
      <c r="J1" s="1160" t="s">
        <v>317</v>
      </c>
      <c r="K1" s="1160" t="s">
        <v>588</v>
      </c>
      <c r="L1" s="1160" t="s">
        <v>589</v>
      </c>
      <c r="M1" s="1160" t="s">
        <v>22</v>
      </c>
      <c r="N1" s="1160"/>
      <c r="O1" s="1164" t="s">
        <v>23</v>
      </c>
    </row>
    <row r="2" spans="1:15" ht="16.5">
      <c r="A2" s="1163"/>
      <c r="B2" s="1157"/>
      <c r="C2" s="1159"/>
      <c r="D2" s="1157"/>
      <c r="E2" s="1159"/>
      <c r="F2" s="1157"/>
      <c r="G2" s="1159"/>
      <c r="H2" s="1157"/>
      <c r="I2" s="1161"/>
      <c r="J2" s="1161"/>
      <c r="K2" s="1161"/>
      <c r="L2" s="1161"/>
      <c r="M2" s="465" t="s">
        <v>21</v>
      </c>
      <c r="N2" s="465" t="s">
        <v>20</v>
      </c>
      <c r="O2" s="1165"/>
    </row>
    <row r="3" spans="1:15" ht="16.5">
      <c r="A3" s="329" t="s">
        <v>19</v>
      </c>
      <c r="B3" s="272">
        <f t="shared" ref="B3:G3" si="0">SUM(B4:B14)</f>
        <v>91432</v>
      </c>
      <c r="C3" s="272">
        <f t="shared" si="0"/>
        <v>90242</v>
      </c>
      <c r="D3" s="272">
        <f t="shared" si="0"/>
        <v>89539</v>
      </c>
      <c r="E3" s="272">
        <f t="shared" si="0"/>
        <v>89231</v>
      </c>
      <c r="F3" s="272">
        <f t="shared" si="0"/>
        <v>88865</v>
      </c>
      <c r="G3" s="272">
        <f t="shared" si="0"/>
        <v>89603</v>
      </c>
      <c r="H3" s="272">
        <f>SUM(H4:H14)</f>
        <v>89739</v>
      </c>
      <c r="I3" s="272">
        <f>SUM(I4:I14)</f>
        <v>89990</v>
      </c>
      <c r="J3" s="272">
        <f>SUM(J4:J14)</f>
        <v>89704</v>
      </c>
      <c r="K3" s="272">
        <f>SUM(K4:K14)</f>
        <v>93727</v>
      </c>
      <c r="L3" s="272">
        <f>SUM(L4:L14)</f>
        <v>94553</v>
      </c>
      <c r="M3" s="271">
        <f>M16</f>
        <v>0</v>
      </c>
      <c r="N3" s="271">
        <f>N16</f>
        <v>0</v>
      </c>
      <c r="O3" s="270"/>
    </row>
    <row r="4" spans="1:15" ht="33">
      <c r="A4" s="330" t="s">
        <v>251</v>
      </c>
      <c r="B4" s="331">
        <v>40273</v>
      </c>
      <c r="C4" s="331">
        <v>40544</v>
      </c>
      <c r="D4" s="331">
        <v>41051</v>
      </c>
      <c r="E4" s="331">
        <v>41794</v>
      </c>
      <c r="F4" s="331">
        <v>42884</v>
      </c>
      <c r="G4" s="331">
        <v>43796</v>
      </c>
      <c r="H4" s="331">
        <v>44832</v>
      </c>
      <c r="I4" s="331">
        <v>45024</v>
      </c>
      <c r="J4" s="331">
        <v>44420</v>
      </c>
      <c r="K4" s="331">
        <v>44168</v>
      </c>
      <c r="L4" s="274">
        <v>42299</v>
      </c>
      <c r="M4" s="332">
        <f t="shared" ref="M4:N14" si="1">M17</f>
        <v>0</v>
      </c>
      <c r="N4" s="332">
        <f t="shared" si="1"/>
        <v>0</v>
      </c>
      <c r="O4" s="333"/>
    </row>
    <row r="5" spans="1:15" ht="33">
      <c r="A5" s="334" t="s">
        <v>252</v>
      </c>
      <c r="B5" s="335">
        <v>12826</v>
      </c>
      <c r="C5" s="335">
        <v>12402</v>
      </c>
      <c r="D5" s="335">
        <v>11986</v>
      </c>
      <c r="E5" s="335">
        <v>11575</v>
      </c>
      <c r="F5" s="335">
        <v>11286</v>
      </c>
      <c r="G5" s="335">
        <v>11327</v>
      </c>
      <c r="H5" s="335">
        <v>11014</v>
      </c>
      <c r="I5" s="335">
        <v>10849</v>
      </c>
      <c r="J5" s="335">
        <v>10664</v>
      </c>
      <c r="K5" s="335">
        <v>10838</v>
      </c>
      <c r="L5" s="274">
        <v>10258</v>
      </c>
      <c r="M5" s="336" t="str">
        <f t="shared" si="1"/>
        <v>갈산면</v>
      </c>
      <c r="N5" s="336" t="str">
        <f t="shared" si="1"/>
        <v>구항면</v>
      </c>
      <c r="O5" s="337"/>
    </row>
    <row r="6" spans="1:15" ht="33">
      <c r="A6" s="334" t="s">
        <v>253</v>
      </c>
      <c r="B6" s="335">
        <v>5367</v>
      </c>
      <c r="C6" s="335">
        <v>5398</v>
      </c>
      <c r="D6" s="335">
        <v>5330</v>
      </c>
      <c r="E6" s="335">
        <v>5126</v>
      </c>
      <c r="F6" s="335">
        <v>4595</v>
      </c>
      <c r="G6" s="335">
        <v>4599</v>
      </c>
      <c r="H6" s="335">
        <v>4526</v>
      </c>
      <c r="I6" s="335">
        <v>4962</v>
      </c>
      <c r="J6" s="335">
        <v>6573</v>
      </c>
      <c r="K6" s="335">
        <v>10411</v>
      </c>
      <c r="L6" s="274">
        <v>14989</v>
      </c>
      <c r="M6" s="336">
        <f t="shared" si="1"/>
        <v>4744</v>
      </c>
      <c r="N6" s="336">
        <f t="shared" si="1"/>
        <v>4804</v>
      </c>
      <c r="O6" s="337"/>
    </row>
    <row r="7" spans="1:15" ht="33">
      <c r="A7" s="334" t="s">
        <v>254</v>
      </c>
      <c r="B7" s="335">
        <v>4374</v>
      </c>
      <c r="C7" s="335">
        <v>4267</v>
      </c>
      <c r="D7" s="335">
        <v>4174</v>
      </c>
      <c r="E7" s="335">
        <v>4085</v>
      </c>
      <c r="F7" s="335">
        <v>4018</v>
      </c>
      <c r="G7" s="335">
        <v>3988</v>
      </c>
      <c r="H7" s="335">
        <v>3907</v>
      </c>
      <c r="I7" s="335">
        <v>3900</v>
      </c>
      <c r="J7" s="335">
        <v>3762</v>
      </c>
      <c r="K7" s="335">
        <v>3870</v>
      </c>
      <c r="L7" s="274">
        <v>3705</v>
      </c>
      <c r="M7" s="336">
        <f t="shared" si="1"/>
        <v>4612</v>
      </c>
      <c r="N7" s="336">
        <f t="shared" si="1"/>
        <v>4734</v>
      </c>
      <c r="O7" s="337"/>
    </row>
    <row r="8" spans="1:15" ht="33">
      <c r="A8" s="334" t="s">
        <v>255</v>
      </c>
      <c r="B8" s="335">
        <v>4438</v>
      </c>
      <c r="C8" s="335">
        <v>4308</v>
      </c>
      <c r="D8" s="335">
        <v>4178</v>
      </c>
      <c r="E8" s="335">
        <v>4106</v>
      </c>
      <c r="F8" s="335">
        <v>3969</v>
      </c>
      <c r="G8" s="335">
        <v>3916</v>
      </c>
      <c r="H8" s="335">
        <v>3831</v>
      </c>
      <c r="I8" s="335">
        <v>3815</v>
      </c>
      <c r="J8" s="335">
        <v>3718</v>
      </c>
      <c r="K8" s="335">
        <v>3643</v>
      </c>
      <c r="L8" s="274">
        <v>3527</v>
      </c>
      <c r="M8" s="336">
        <f t="shared" si="1"/>
        <v>4540</v>
      </c>
      <c r="N8" s="336">
        <f t="shared" si="1"/>
        <v>4628</v>
      </c>
      <c r="O8" s="337"/>
    </row>
    <row r="9" spans="1:15" ht="33">
      <c r="A9" s="338" t="s">
        <v>256</v>
      </c>
      <c r="B9" s="335">
        <v>4020</v>
      </c>
      <c r="C9" s="335">
        <v>3877</v>
      </c>
      <c r="D9" s="335">
        <v>3802</v>
      </c>
      <c r="E9" s="335">
        <v>3687</v>
      </c>
      <c r="F9" s="335">
        <v>3592</v>
      </c>
      <c r="G9" s="335">
        <v>3612</v>
      </c>
      <c r="H9" s="335">
        <v>3531</v>
      </c>
      <c r="I9" s="335">
        <v>3479</v>
      </c>
      <c r="J9" s="335">
        <v>3359</v>
      </c>
      <c r="K9" s="335">
        <v>3391</v>
      </c>
      <c r="L9" s="274">
        <v>3238</v>
      </c>
      <c r="M9" s="336">
        <f t="shared" si="1"/>
        <v>4458</v>
      </c>
      <c r="N9" s="336">
        <f t="shared" si="1"/>
        <v>4612</v>
      </c>
      <c r="O9" s="337"/>
    </row>
    <row r="10" spans="1:15" ht="33">
      <c r="A10" s="338" t="s">
        <v>257</v>
      </c>
      <c r="B10" s="335">
        <v>3312</v>
      </c>
      <c r="C10" s="335">
        <v>3235</v>
      </c>
      <c r="D10" s="335">
        <v>3091</v>
      </c>
      <c r="E10" s="335">
        <v>3032</v>
      </c>
      <c r="F10" s="335">
        <v>2981</v>
      </c>
      <c r="G10" s="335">
        <v>2990</v>
      </c>
      <c r="H10" s="335">
        <v>2930</v>
      </c>
      <c r="I10" s="335">
        <v>2893</v>
      </c>
      <c r="J10" s="335">
        <v>2685</v>
      </c>
      <c r="K10" s="335">
        <v>2771</v>
      </c>
      <c r="L10" s="274">
        <v>2628</v>
      </c>
      <c r="M10" s="336">
        <f t="shared" si="1"/>
        <v>4352</v>
      </c>
      <c r="N10" s="336">
        <f t="shared" si="1"/>
        <v>4522</v>
      </c>
      <c r="O10" s="337"/>
    </row>
    <row r="11" spans="1:15" ht="33">
      <c r="A11" s="338" t="s">
        <v>258</v>
      </c>
      <c r="B11" s="335">
        <v>3071</v>
      </c>
      <c r="C11" s="335">
        <v>2861</v>
      </c>
      <c r="D11" s="335">
        <v>2784</v>
      </c>
      <c r="E11" s="335">
        <v>2771</v>
      </c>
      <c r="F11" s="335">
        <v>2689</v>
      </c>
      <c r="G11" s="335">
        <v>2617</v>
      </c>
      <c r="H11" s="335">
        <v>2596</v>
      </c>
      <c r="I11" s="335">
        <v>2557</v>
      </c>
      <c r="J11" s="335">
        <v>2456</v>
      </c>
      <c r="K11" s="335">
        <v>2498</v>
      </c>
      <c r="L11" s="274">
        <v>2338</v>
      </c>
      <c r="M11" s="336">
        <f t="shared" si="1"/>
        <v>4306</v>
      </c>
      <c r="N11" s="336">
        <f t="shared" si="1"/>
        <v>4571</v>
      </c>
      <c r="O11" s="337"/>
    </row>
    <row r="12" spans="1:15" ht="33">
      <c r="A12" s="334" t="s">
        <v>259</v>
      </c>
      <c r="B12" s="335">
        <v>4203</v>
      </c>
      <c r="C12" s="335">
        <v>4004</v>
      </c>
      <c r="D12" s="335">
        <v>3975</v>
      </c>
      <c r="E12" s="335">
        <v>3985</v>
      </c>
      <c r="F12" s="335">
        <v>3977</v>
      </c>
      <c r="G12" s="335">
        <v>3881</v>
      </c>
      <c r="H12" s="335">
        <v>3793</v>
      </c>
      <c r="I12" s="335">
        <v>3731</v>
      </c>
      <c r="J12" s="335">
        <v>3688</v>
      </c>
      <c r="K12" s="335">
        <v>3650</v>
      </c>
      <c r="L12" s="274">
        <v>3583</v>
      </c>
      <c r="M12" s="336">
        <f t="shared" si="1"/>
        <v>4259</v>
      </c>
      <c r="N12" s="336">
        <f t="shared" si="1"/>
        <v>4520</v>
      </c>
      <c r="O12" s="337"/>
    </row>
    <row r="13" spans="1:15" ht="33">
      <c r="A13" s="334" t="s">
        <v>260</v>
      </c>
      <c r="B13" s="335">
        <v>4744</v>
      </c>
      <c r="C13" s="335">
        <v>4612</v>
      </c>
      <c r="D13" s="335">
        <v>4540</v>
      </c>
      <c r="E13" s="335">
        <v>4458</v>
      </c>
      <c r="F13" s="335">
        <v>4352</v>
      </c>
      <c r="G13" s="335">
        <v>4306</v>
      </c>
      <c r="H13" s="335">
        <v>4259</v>
      </c>
      <c r="I13" s="335">
        <v>4209</v>
      </c>
      <c r="J13" s="335">
        <v>4057</v>
      </c>
      <c r="K13" s="335">
        <v>4113</v>
      </c>
      <c r="L13" s="274">
        <v>3872</v>
      </c>
      <c r="M13" s="336">
        <f t="shared" si="1"/>
        <v>4209</v>
      </c>
      <c r="N13" s="336">
        <f t="shared" si="1"/>
        <v>4571</v>
      </c>
      <c r="O13" s="337"/>
    </row>
    <row r="14" spans="1:15" ht="33">
      <c r="A14" s="339" t="s">
        <v>261</v>
      </c>
      <c r="B14" s="340">
        <v>4804</v>
      </c>
      <c r="C14" s="340">
        <v>4734</v>
      </c>
      <c r="D14" s="340">
        <v>4628</v>
      </c>
      <c r="E14" s="340">
        <v>4612</v>
      </c>
      <c r="F14" s="340">
        <v>4522</v>
      </c>
      <c r="G14" s="340">
        <v>4571</v>
      </c>
      <c r="H14" s="340">
        <v>4520</v>
      </c>
      <c r="I14" s="340">
        <v>4571</v>
      </c>
      <c r="J14" s="340">
        <v>4322</v>
      </c>
      <c r="K14" s="340">
        <v>4374</v>
      </c>
      <c r="L14" s="273">
        <v>4116</v>
      </c>
      <c r="M14" s="341">
        <f t="shared" si="1"/>
        <v>4057</v>
      </c>
      <c r="N14" s="341">
        <f t="shared" si="1"/>
        <v>4322</v>
      </c>
      <c r="O14" s="342"/>
    </row>
    <row r="18" spans="1:14" ht="33">
      <c r="A18" s="1162" t="s">
        <v>25</v>
      </c>
      <c r="B18" s="1163"/>
      <c r="C18" s="329" t="s">
        <v>19</v>
      </c>
      <c r="D18" s="330" t="s">
        <v>251</v>
      </c>
      <c r="E18" s="334" t="s">
        <v>252</v>
      </c>
      <c r="F18" s="334" t="s">
        <v>253</v>
      </c>
      <c r="G18" s="334" t="s">
        <v>254</v>
      </c>
      <c r="H18" s="334" t="s">
        <v>255</v>
      </c>
      <c r="I18" s="338" t="s">
        <v>256</v>
      </c>
      <c r="J18" s="338" t="s">
        <v>257</v>
      </c>
      <c r="K18" s="338" t="s">
        <v>258</v>
      </c>
      <c r="L18" s="334" t="s">
        <v>259</v>
      </c>
      <c r="M18" s="334" t="s">
        <v>260</v>
      </c>
      <c r="N18" s="339" t="s">
        <v>261</v>
      </c>
    </row>
    <row r="19" spans="1:14" ht="16.5">
      <c r="A19" s="1156" t="s">
        <v>3</v>
      </c>
      <c r="B19" s="1157"/>
      <c r="C19" s="272">
        <f t="shared" ref="C19:C29" si="2">SUM(D19:N19)</f>
        <v>91432</v>
      </c>
      <c r="D19" s="331">
        <v>40273</v>
      </c>
      <c r="E19" s="335">
        <v>12826</v>
      </c>
      <c r="F19" s="335">
        <v>5367</v>
      </c>
      <c r="G19" s="335">
        <v>4374</v>
      </c>
      <c r="H19" s="335">
        <v>4438</v>
      </c>
      <c r="I19" s="335">
        <v>4020</v>
      </c>
      <c r="J19" s="335">
        <v>3312</v>
      </c>
      <c r="K19" s="335">
        <v>3071</v>
      </c>
      <c r="L19" s="335">
        <v>4203</v>
      </c>
      <c r="M19" s="335">
        <v>4744</v>
      </c>
      <c r="N19" s="340">
        <v>4804</v>
      </c>
    </row>
    <row r="20" spans="1:14" ht="16.5">
      <c r="A20" s="1158" t="s">
        <v>4</v>
      </c>
      <c r="B20" s="1159"/>
      <c r="C20" s="272">
        <f t="shared" si="2"/>
        <v>90242</v>
      </c>
      <c r="D20" s="331">
        <v>40544</v>
      </c>
      <c r="E20" s="335">
        <v>12402</v>
      </c>
      <c r="F20" s="335">
        <v>5398</v>
      </c>
      <c r="G20" s="335">
        <v>4267</v>
      </c>
      <c r="H20" s="335">
        <v>4308</v>
      </c>
      <c r="I20" s="335">
        <v>3877</v>
      </c>
      <c r="J20" s="335">
        <v>3235</v>
      </c>
      <c r="K20" s="335">
        <v>2861</v>
      </c>
      <c r="L20" s="335">
        <v>4004</v>
      </c>
      <c r="M20" s="335">
        <v>4612</v>
      </c>
      <c r="N20" s="340">
        <v>4734</v>
      </c>
    </row>
    <row r="21" spans="1:14" ht="16.5">
      <c r="A21" s="1156" t="s">
        <v>5</v>
      </c>
      <c r="B21" s="1157"/>
      <c r="C21" s="272">
        <f t="shared" si="2"/>
        <v>89539</v>
      </c>
      <c r="D21" s="331">
        <v>41051</v>
      </c>
      <c r="E21" s="335">
        <v>11986</v>
      </c>
      <c r="F21" s="335">
        <v>5330</v>
      </c>
      <c r="G21" s="335">
        <v>4174</v>
      </c>
      <c r="H21" s="335">
        <v>4178</v>
      </c>
      <c r="I21" s="335">
        <v>3802</v>
      </c>
      <c r="J21" s="335">
        <v>3091</v>
      </c>
      <c r="K21" s="335">
        <v>2784</v>
      </c>
      <c r="L21" s="335">
        <v>3975</v>
      </c>
      <c r="M21" s="335">
        <v>4540</v>
      </c>
      <c r="N21" s="340">
        <v>4628</v>
      </c>
    </row>
    <row r="22" spans="1:14" ht="16.5">
      <c r="A22" s="1158" t="s">
        <v>6</v>
      </c>
      <c r="B22" s="1159"/>
      <c r="C22" s="272">
        <f t="shared" si="2"/>
        <v>89231</v>
      </c>
      <c r="D22" s="331">
        <v>41794</v>
      </c>
      <c r="E22" s="335">
        <v>11575</v>
      </c>
      <c r="F22" s="335">
        <v>5126</v>
      </c>
      <c r="G22" s="335">
        <v>4085</v>
      </c>
      <c r="H22" s="335">
        <v>4106</v>
      </c>
      <c r="I22" s="335">
        <v>3687</v>
      </c>
      <c r="J22" s="335">
        <v>3032</v>
      </c>
      <c r="K22" s="335">
        <v>2771</v>
      </c>
      <c r="L22" s="335">
        <v>3985</v>
      </c>
      <c r="M22" s="335">
        <v>4458</v>
      </c>
      <c r="N22" s="340">
        <v>4612</v>
      </c>
    </row>
    <row r="23" spans="1:14" ht="16.5">
      <c r="A23" s="1156" t="s">
        <v>24</v>
      </c>
      <c r="B23" s="1157"/>
      <c r="C23" s="272">
        <f t="shared" si="2"/>
        <v>88865</v>
      </c>
      <c r="D23" s="331">
        <v>42884</v>
      </c>
      <c r="E23" s="335">
        <v>11286</v>
      </c>
      <c r="F23" s="335">
        <v>4595</v>
      </c>
      <c r="G23" s="335">
        <v>4018</v>
      </c>
      <c r="H23" s="335">
        <v>3969</v>
      </c>
      <c r="I23" s="335">
        <v>3592</v>
      </c>
      <c r="J23" s="335">
        <v>2981</v>
      </c>
      <c r="K23" s="335">
        <v>2689</v>
      </c>
      <c r="L23" s="335">
        <v>3977</v>
      </c>
      <c r="M23" s="335">
        <v>4352</v>
      </c>
      <c r="N23" s="340">
        <v>4522</v>
      </c>
    </row>
    <row r="24" spans="1:14" ht="16.5">
      <c r="A24" s="1158" t="s">
        <v>7</v>
      </c>
      <c r="B24" s="1159"/>
      <c r="C24" s="272">
        <f t="shared" si="2"/>
        <v>89603</v>
      </c>
      <c r="D24" s="331">
        <v>43796</v>
      </c>
      <c r="E24" s="335">
        <v>11327</v>
      </c>
      <c r="F24" s="335">
        <v>4599</v>
      </c>
      <c r="G24" s="335">
        <v>3988</v>
      </c>
      <c r="H24" s="335">
        <v>3916</v>
      </c>
      <c r="I24" s="335">
        <v>3612</v>
      </c>
      <c r="J24" s="335">
        <v>2990</v>
      </c>
      <c r="K24" s="335">
        <v>2617</v>
      </c>
      <c r="L24" s="335">
        <v>3881</v>
      </c>
      <c r="M24" s="335">
        <v>4306</v>
      </c>
      <c r="N24" s="340">
        <v>4571</v>
      </c>
    </row>
    <row r="25" spans="1:14" ht="16.5">
      <c r="A25" s="1156" t="s">
        <v>47</v>
      </c>
      <c r="B25" s="1157"/>
      <c r="C25" s="272">
        <f t="shared" si="2"/>
        <v>89739</v>
      </c>
      <c r="D25" s="331">
        <v>44832</v>
      </c>
      <c r="E25" s="335">
        <v>11014</v>
      </c>
      <c r="F25" s="335">
        <v>4526</v>
      </c>
      <c r="G25" s="335">
        <v>3907</v>
      </c>
      <c r="H25" s="335">
        <v>3831</v>
      </c>
      <c r="I25" s="335">
        <v>3531</v>
      </c>
      <c r="J25" s="335">
        <v>2930</v>
      </c>
      <c r="K25" s="335">
        <v>2596</v>
      </c>
      <c r="L25" s="335">
        <v>3793</v>
      </c>
      <c r="M25" s="335">
        <v>4259</v>
      </c>
      <c r="N25" s="340">
        <v>4520</v>
      </c>
    </row>
    <row r="26" spans="1:14" ht="16.5">
      <c r="A26" s="1160" t="s">
        <v>48</v>
      </c>
      <c r="B26" s="1161"/>
      <c r="C26" s="272">
        <f t="shared" si="2"/>
        <v>89990</v>
      </c>
      <c r="D26" s="331">
        <v>45024</v>
      </c>
      <c r="E26" s="335">
        <v>10849</v>
      </c>
      <c r="F26" s="335">
        <v>4962</v>
      </c>
      <c r="G26" s="335">
        <v>3900</v>
      </c>
      <c r="H26" s="335">
        <v>3815</v>
      </c>
      <c r="I26" s="335">
        <v>3479</v>
      </c>
      <c r="J26" s="335">
        <v>2893</v>
      </c>
      <c r="K26" s="335">
        <v>2557</v>
      </c>
      <c r="L26" s="335">
        <v>3731</v>
      </c>
      <c r="M26" s="335">
        <v>4209</v>
      </c>
      <c r="N26" s="340">
        <v>4571</v>
      </c>
    </row>
    <row r="27" spans="1:14" ht="16.5">
      <c r="A27" s="1160" t="s">
        <v>317</v>
      </c>
      <c r="B27" s="1161"/>
      <c r="C27" s="272">
        <f t="shared" si="2"/>
        <v>89704</v>
      </c>
      <c r="D27" s="331">
        <v>44420</v>
      </c>
      <c r="E27" s="335">
        <v>10664</v>
      </c>
      <c r="F27" s="335">
        <v>6573</v>
      </c>
      <c r="G27" s="335">
        <v>3762</v>
      </c>
      <c r="H27" s="335">
        <v>3718</v>
      </c>
      <c r="I27" s="335">
        <v>3359</v>
      </c>
      <c r="J27" s="335">
        <v>2685</v>
      </c>
      <c r="K27" s="335">
        <v>2456</v>
      </c>
      <c r="L27" s="335">
        <v>3688</v>
      </c>
      <c r="M27" s="335">
        <v>4057</v>
      </c>
      <c r="N27" s="340">
        <v>4322</v>
      </c>
    </row>
    <row r="28" spans="1:14" ht="16.5">
      <c r="A28" s="1160" t="s">
        <v>588</v>
      </c>
      <c r="B28" s="1161"/>
      <c r="C28" s="272">
        <f t="shared" si="2"/>
        <v>93727</v>
      </c>
      <c r="D28" s="331">
        <v>44168</v>
      </c>
      <c r="E28" s="335">
        <v>10838</v>
      </c>
      <c r="F28" s="335">
        <v>10411</v>
      </c>
      <c r="G28" s="335">
        <v>3870</v>
      </c>
      <c r="H28" s="335">
        <v>3643</v>
      </c>
      <c r="I28" s="335">
        <v>3391</v>
      </c>
      <c r="J28" s="335">
        <v>2771</v>
      </c>
      <c r="K28" s="335">
        <v>2498</v>
      </c>
      <c r="L28" s="335">
        <v>3650</v>
      </c>
      <c r="M28" s="335">
        <v>4113</v>
      </c>
      <c r="N28" s="340">
        <v>4374</v>
      </c>
    </row>
    <row r="29" spans="1:14" ht="16.5">
      <c r="A29" s="1160" t="s">
        <v>589</v>
      </c>
      <c r="B29" s="1161"/>
      <c r="C29" s="272">
        <f t="shared" si="2"/>
        <v>94553</v>
      </c>
      <c r="D29" s="274">
        <v>42299</v>
      </c>
      <c r="E29" s="274">
        <v>10258</v>
      </c>
      <c r="F29" s="274">
        <v>14989</v>
      </c>
      <c r="G29" s="274">
        <v>3705</v>
      </c>
      <c r="H29" s="274">
        <v>3527</v>
      </c>
      <c r="I29" s="274">
        <v>3238</v>
      </c>
      <c r="J29" s="274">
        <v>2628</v>
      </c>
      <c r="K29" s="274">
        <v>2338</v>
      </c>
      <c r="L29" s="274">
        <v>3583</v>
      </c>
      <c r="M29" s="274">
        <v>3872</v>
      </c>
      <c r="N29" s="273">
        <v>4116</v>
      </c>
    </row>
    <row r="30" spans="1:14" ht="16.5">
      <c r="A30" s="1160" t="s">
        <v>22</v>
      </c>
      <c r="B30" s="465" t="s">
        <v>21</v>
      </c>
      <c r="C30" s="271">
        <f t="shared" ref="C30:N31" si="3">P30</f>
        <v>0</v>
      </c>
      <c r="D30" s="332">
        <f t="shared" si="3"/>
        <v>0</v>
      </c>
      <c r="E30" s="336">
        <f t="shared" si="3"/>
        <v>0</v>
      </c>
      <c r="F30" s="336">
        <f t="shared" si="3"/>
        <v>0</v>
      </c>
      <c r="G30" s="336">
        <f t="shared" si="3"/>
        <v>0</v>
      </c>
      <c r="H30" s="336">
        <f t="shared" si="3"/>
        <v>0</v>
      </c>
      <c r="I30" s="336">
        <f t="shared" si="3"/>
        <v>0</v>
      </c>
      <c r="J30" s="336">
        <f t="shared" si="3"/>
        <v>0</v>
      </c>
      <c r="K30" s="336">
        <f t="shared" si="3"/>
        <v>0</v>
      </c>
      <c r="L30" s="336">
        <f t="shared" si="3"/>
        <v>0</v>
      </c>
      <c r="M30" s="336">
        <f t="shared" si="3"/>
        <v>0</v>
      </c>
      <c r="N30" s="341">
        <f t="shared" si="3"/>
        <v>0</v>
      </c>
    </row>
    <row r="31" spans="1:14" ht="16.5">
      <c r="A31" s="1160"/>
      <c r="B31" s="465" t="s">
        <v>20</v>
      </c>
      <c r="C31" s="271">
        <f t="shared" si="3"/>
        <v>0</v>
      </c>
      <c r="D31" s="332">
        <f t="shared" si="3"/>
        <v>0</v>
      </c>
      <c r="E31" s="336">
        <f t="shared" si="3"/>
        <v>0</v>
      </c>
      <c r="F31" s="336">
        <f t="shared" si="3"/>
        <v>0</v>
      </c>
      <c r="G31" s="336">
        <f t="shared" si="3"/>
        <v>0</v>
      </c>
      <c r="H31" s="336">
        <f t="shared" si="3"/>
        <v>0</v>
      </c>
      <c r="I31" s="336">
        <f t="shared" si="3"/>
        <v>0</v>
      </c>
      <c r="J31" s="336">
        <f t="shared" si="3"/>
        <v>0</v>
      </c>
      <c r="K31" s="336">
        <f t="shared" si="3"/>
        <v>0</v>
      </c>
      <c r="L31" s="336">
        <f t="shared" si="3"/>
        <v>0</v>
      </c>
      <c r="M31" s="336">
        <f t="shared" si="3"/>
        <v>0</v>
      </c>
      <c r="N31" s="341">
        <f t="shared" si="3"/>
        <v>0</v>
      </c>
    </row>
    <row r="32" spans="1:14" ht="16.5">
      <c r="A32" s="1164" t="s">
        <v>23</v>
      </c>
      <c r="B32" s="1165"/>
      <c r="C32" s="270"/>
      <c r="D32" s="333"/>
      <c r="E32" s="337"/>
      <c r="F32" s="337"/>
      <c r="G32" s="337"/>
      <c r="H32" s="337"/>
      <c r="I32" s="337"/>
      <c r="J32" s="337"/>
      <c r="K32" s="337"/>
      <c r="L32" s="337"/>
      <c r="M32" s="337"/>
      <c r="N32" s="342"/>
    </row>
  </sheetData>
  <mergeCells count="28">
    <mergeCell ref="A28:B28"/>
    <mergeCell ref="A29:B29"/>
    <mergeCell ref="A30:A31"/>
    <mergeCell ref="A32:B32"/>
    <mergeCell ref="A22:B22"/>
    <mergeCell ref="A23:B23"/>
    <mergeCell ref="A24:B24"/>
    <mergeCell ref="A25:B25"/>
    <mergeCell ref="A26:B26"/>
    <mergeCell ref="A27:B27"/>
    <mergeCell ref="M1:N1"/>
    <mergeCell ref="O1:O2"/>
    <mergeCell ref="A18:B18"/>
    <mergeCell ref="A19:B19"/>
    <mergeCell ref="A20:B20"/>
    <mergeCell ref="K1:K2"/>
    <mergeCell ref="L1:L2"/>
    <mergeCell ref="A21:B21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honeticPr fontId="10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FF00"/>
  </sheetPr>
  <dimension ref="A1:V33"/>
  <sheetViews>
    <sheetView view="pageBreakPreview" zoomScale="85" zoomScaleSheetLayoutView="85" workbookViewId="0">
      <pane xSplit="1" ySplit="3" topLeftCell="B4" activePane="bottomRight" state="frozen"/>
      <selection activeCell="P13" sqref="P13"/>
      <selection pane="topRight" activeCell="P13" sqref="P13"/>
      <selection pane="bottomLeft" activeCell="P13" sqref="P13"/>
      <selection pane="bottomRight" activeCell="S16" sqref="S16"/>
    </sheetView>
  </sheetViews>
  <sheetFormatPr defaultRowHeight="13.5"/>
  <cols>
    <col min="1" max="1" width="12.77734375" style="552" customWidth="1"/>
    <col min="2" max="2" width="7.77734375" style="573" customWidth="1"/>
    <col min="3" max="7" width="7.77734375" style="552" customWidth="1"/>
    <col min="8" max="8" width="7.77734375" style="573" customWidth="1"/>
    <col min="9" max="14" width="7.77734375" style="552" customWidth="1"/>
    <col min="15" max="15" width="12.77734375" style="552" customWidth="1"/>
    <col min="16" max="21" width="8.88671875" style="550"/>
    <col min="22" max="16384" width="8.88671875" style="552"/>
  </cols>
  <sheetData>
    <row r="1" spans="1:22" s="551" customFormat="1" ht="24.95" customHeight="1">
      <c r="A1" s="504" t="s">
        <v>590</v>
      </c>
    </row>
    <row r="2" spans="1:22" s="550" customFormat="1" ht="23.1" customHeight="1">
      <c r="A2" s="952" t="s">
        <v>25</v>
      </c>
      <c r="B2" s="960" t="s">
        <v>3</v>
      </c>
      <c r="C2" s="956" t="s">
        <v>4</v>
      </c>
      <c r="D2" s="960" t="s">
        <v>5</v>
      </c>
      <c r="E2" s="956" t="s">
        <v>6</v>
      </c>
      <c r="F2" s="960" t="s">
        <v>24</v>
      </c>
      <c r="G2" s="956" t="s">
        <v>7</v>
      </c>
      <c r="H2" s="960" t="s">
        <v>47</v>
      </c>
      <c r="I2" s="954" t="s">
        <v>48</v>
      </c>
      <c r="J2" s="954" t="s">
        <v>317</v>
      </c>
      <c r="K2" s="954" t="s">
        <v>588</v>
      </c>
      <c r="L2" s="954" t="s">
        <v>589</v>
      </c>
      <c r="M2" s="954" t="s">
        <v>22</v>
      </c>
      <c r="N2" s="954"/>
      <c r="O2" s="958" t="s">
        <v>23</v>
      </c>
      <c r="V2" s="552"/>
    </row>
    <row r="3" spans="1:22" s="550" customFormat="1" ht="23.1" customHeight="1">
      <c r="A3" s="953"/>
      <c r="B3" s="961"/>
      <c r="C3" s="957"/>
      <c r="D3" s="961"/>
      <c r="E3" s="957"/>
      <c r="F3" s="961"/>
      <c r="G3" s="957"/>
      <c r="H3" s="961"/>
      <c r="I3" s="955"/>
      <c r="J3" s="955"/>
      <c r="K3" s="955"/>
      <c r="L3" s="955"/>
      <c r="M3" s="758" t="s">
        <v>21</v>
      </c>
      <c r="N3" s="758" t="s">
        <v>20</v>
      </c>
      <c r="O3" s="959"/>
      <c r="V3" s="552"/>
    </row>
    <row r="4" spans="1:22" s="553" customFormat="1" ht="28.5" customHeight="1">
      <c r="A4" s="759" t="s">
        <v>19</v>
      </c>
      <c r="B4" s="802">
        <f t="shared" ref="B4:G4" si="0">SUM(B5:B15)</f>
        <v>91432</v>
      </c>
      <c r="C4" s="802">
        <f t="shared" si="0"/>
        <v>90242</v>
      </c>
      <c r="D4" s="802">
        <f t="shared" si="0"/>
        <v>89539</v>
      </c>
      <c r="E4" s="802">
        <f t="shared" si="0"/>
        <v>89231</v>
      </c>
      <c r="F4" s="802">
        <f t="shared" si="0"/>
        <v>88865</v>
      </c>
      <c r="G4" s="802">
        <f t="shared" si="0"/>
        <v>89603</v>
      </c>
      <c r="H4" s="802">
        <f>SUM(H5:H15)</f>
        <v>89739</v>
      </c>
      <c r="I4" s="802">
        <f>SUM(I5:I15)</f>
        <v>89990</v>
      </c>
      <c r="J4" s="802">
        <f>SUM(J5:J15)</f>
        <v>89704</v>
      </c>
      <c r="K4" s="802">
        <f>SUM(K5:K15)</f>
        <v>93727</v>
      </c>
      <c r="L4" s="802">
        <f>SUM(L5:L15)</f>
        <v>94553</v>
      </c>
      <c r="M4" s="803">
        <f>M18</f>
        <v>1.0959400559216879</v>
      </c>
      <c r="N4" s="803">
        <f>N18</f>
        <v>0.53077794534472889</v>
      </c>
      <c r="O4" s="760"/>
      <c r="V4" s="554"/>
    </row>
    <row r="5" spans="1:22" s="550" customFormat="1" ht="28.5" customHeight="1">
      <c r="A5" s="555" t="s">
        <v>251</v>
      </c>
      <c r="B5" s="804">
        <v>40273</v>
      </c>
      <c r="C5" s="804">
        <v>40544</v>
      </c>
      <c r="D5" s="804">
        <v>41051</v>
      </c>
      <c r="E5" s="804">
        <v>41794</v>
      </c>
      <c r="F5" s="804">
        <v>42884</v>
      </c>
      <c r="G5" s="804">
        <v>43796</v>
      </c>
      <c r="H5" s="804">
        <v>44832</v>
      </c>
      <c r="I5" s="804">
        <v>45024</v>
      </c>
      <c r="J5" s="804">
        <v>44420</v>
      </c>
      <c r="K5" s="804">
        <v>44168</v>
      </c>
      <c r="L5" s="556">
        <v>42299</v>
      </c>
      <c r="M5" s="805">
        <f t="shared" ref="M5:N15" si="1">M19</f>
        <v>-0.66932215688120478</v>
      </c>
      <c r="N5" s="805">
        <f t="shared" si="1"/>
        <v>0.4942803760678548</v>
      </c>
      <c r="O5" s="557"/>
      <c r="V5" s="552"/>
    </row>
    <row r="6" spans="1:22" s="550" customFormat="1" ht="28.5" customHeight="1">
      <c r="A6" s="558" t="s">
        <v>252</v>
      </c>
      <c r="B6" s="806">
        <v>12826</v>
      </c>
      <c r="C6" s="806">
        <v>12402</v>
      </c>
      <c r="D6" s="806">
        <v>11986</v>
      </c>
      <c r="E6" s="806">
        <v>11575</v>
      </c>
      <c r="F6" s="806">
        <v>11286</v>
      </c>
      <c r="G6" s="806">
        <v>11327</v>
      </c>
      <c r="H6" s="806">
        <v>11014</v>
      </c>
      <c r="I6" s="806">
        <v>10849</v>
      </c>
      <c r="J6" s="806">
        <v>10664</v>
      </c>
      <c r="K6" s="806">
        <v>10838</v>
      </c>
      <c r="L6" s="556">
        <v>10258</v>
      </c>
      <c r="M6" s="807">
        <f t="shared" si="1"/>
        <v>-1.9373022984064583</v>
      </c>
      <c r="N6" s="807">
        <f t="shared" si="1"/>
        <v>-2.0670320003873996</v>
      </c>
      <c r="O6" s="559"/>
      <c r="V6" s="552"/>
    </row>
    <row r="7" spans="1:22" s="550" customFormat="1" ht="28.5" customHeight="1">
      <c r="A7" s="558" t="s">
        <v>253</v>
      </c>
      <c r="B7" s="806">
        <v>5367</v>
      </c>
      <c r="C7" s="806">
        <v>5398</v>
      </c>
      <c r="D7" s="806">
        <v>5330</v>
      </c>
      <c r="E7" s="806">
        <v>5126</v>
      </c>
      <c r="F7" s="806">
        <v>4595</v>
      </c>
      <c r="G7" s="806">
        <v>4599</v>
      </c>
      <c r="H7" s="806">
        <v>4526</v>
      </c>
      <c r="I7" s="806">
        <v>4962</v>
      </c>
      <c r="J7" s="806">
        <v>6573</v>
      </c>
      <c r="K7" s="806">
        <v>10411</v>
      </c>
      <c r="L7" s="556">
        <v>14989</v>
      </c>
      <c r="M7" s="807">
        <f t="shared" si="1"/>
        <v>28.575156397130762</v>
      </c>
      <c r="N7" s="807">
        <f t="shared" si="1"/>
        <v>14.168528981486109</v>
      </c>
      <c r="O7" s="559"/>
      <c r="V7" s="552"/>
    </row>
    <row r="8" spans="1:22" s="550" customFormat="1" ht="28.5" customHeight="1">
      <c r="A8" s="558" t="s">
        <v>254</v>
      </c>
      <c r="B8" s="806">
        <v>4374</v>
      </c>
      <c r="C8" s="806">
        <v>4267</v>
      </c>
      <c r="D8" s="806">
        <v>4174</v>
      </c>
      <c r="E8" s="806">
        <v>4085</v>
      </c>
      <c r="F8" s="806">
        <v>4018</v>
      </c>
      <c r="G8" s="806">
        <v>3988</v>
      </c>
      <c r="H8" s="806">
        <v>3907</v>
      </c>
      <c r="I8" s="806">
        <v>3900</v>
      </c>
      <c r="J8" s="806">
        <v>3762</v>
      </c>
      <c r="K8" s="806">
        <v>3870</v>
      </c>
      <c r="L8" s="556">
        <v>3705</v>
      </c>
      <c r="M8" s="807">
        <f t="shared" si="1"/>
        <v>-1.4282945825698998</v>
      </c>
      <c r="N8" s="807">
        <f t="shared" si="1"/>
        <v>-1.5377804868003038</v>
      </c>
      <c r="O8" s="559"/>
      <c r="V8" s="552"/>
    </row>
    <row r="9" spans="1:22" s="550" customFormat="1" ht="28.5" customHeight="1">
      <c r="A9" s="558" t="s">
        <v>255</v>
      </c>
      <c r="B9" s="806">
        <v>4438</v>
      </c>
      <c r="C9" s="806">
        <v>4308</v>
      </c>
      <c r="D9" s="806">
        <v>4178</v>
      </c>
      <c r="E9" s="806">
        <v>4106</v>
      </c>
      <c r="F9" s="806">
        <v>3969</v>
      </c>
      <c r="G9" s="806">
        <v>3916</v>
      </c>
      <c r="H9" s="806">
        <v>3831</v>
      </c>
      <c r="I9" s="806">
        <v>3815</v>
      </c>
      <c r="J9" s="806">
        <v>3718</v>
      </c>
      <c r="K9" s="806">
        <v>3643</v>
      </c>
      <c r="L9" s="556">
        <v>3527</v>
      </c>
      <c r="M9" s="807">
        <f t="shared" si="1"/>
        <v>-2.0664450361594779</v>
      </c>
      <c r="N9" s="807">
        <f t="shared" si="1"/>
        <v>-2.1939009928571789</v>
      </c>
      <c r="O9" s="559"/>
      <c r="V9" s="552"/>
    </row>
    <row r="10" spans="1:22" s="550" customFormat="1" ht="28.5" customHeight="1">
      <c r="A10" s="560" t="s">
        <v>256</v>
      </c>
      <c r="B10" s="806">
        <v>4020</v>
      </c>
      <c r="C10" s="806">
        <v>3877</v>
      </c>
      <c r="D10" s="806">
        <v>3802</v>
      </c>
      <c r="E10" s="806">
        <v>3687</v>
      </c>
      <c r="F10" s="806">
        <v>3592</v>
      </c>
      <c r="G10" s="806">
        <v>3612</v>
      </c>
      <c r="H10" s="806">
        <v>3531</v>
      </c>
      <c r="I10" s="806">
        <v>3479</v>
      </c>
      <c r="J10" s="806">
        <v>3359</v>
      </c>
      <c r="K10" s="806">
        <v>3391</v>
      </c>
      <c r="L10" s="556">
        <v>3238</v>
      </c>
      <c r="M10" s="807">
        <f t="shared" si="1"/>
        <v>-2.144748295061091</v>
      </c>
      <c r="N10" s="807">
        <f t="shared" si="1"/>
        <v>-1.966975379712655</v>
      </c>
      <c r="O10" s="559"/>
      <c r="V10" s="552"/>
    </row>
    <row r="11" spans="1:22" s="550" customFormat="1" ht="28.5" customHeight="1">
      <c r="A11" s="560" t="s">
        <v>257</v>
      </c>
      <c r="B11" s="806">
        <v>3312</v>
      </c>
      <c r="C11" s="806">
        <v>3235</v>
      </c>
      <c r="D11" s="806">
        <v>3091</v>
      </c>
      <c r="E11" s="806">
        <v>3032</v>
      </c>
      <c r="F11" s="806">
        <v>2981</v>
      </c>
      <c r="G11" s="806">
        <v>2990</v>
      </c>
      <c r="H11" s="806">
        <v>2930</v>
      </c>
      <c r="I11" s="806">
        <v>2893</v>
      </c>
      <c r="J11" s="806">
        <v>2685</v>
      </c>
      <c r="K11" s="806">
        <v>2771</v>
      </c>
      <c r="L11" s="556">
        <v>2628</v>
      </c>
      <c r="M11" s="807">
        <f t="shared" si="1"/>
        <v>-2.4833736665584718</v>
      </c>
      <c r="N11" s="807">
        <f t="shared" si="1"/>
        <v>-2.2396772683606656</v>
      </c>
      <c r="O11" s="559"/>
      <c r="V11" s="552"/>
    </row>
    <row r="12" spans="1:22" s="550" customFormat="1" ht="28.5" customHeight="1">
      <c r="A12" s="560" t="s">
        <v>258</v>
      </c>
      <c r="B12" s="806">
        <v>3071</v>
      </c>
      <c r="C12" s="806">
        <v>2861</v>
      </c>
      <c r="D12" s="806">
        <v>2784</v>
      </c>
      <c r="E12" s="806">
        <v>2771</v>
      </c>
      <c r="F12" s="806">
        <v>2689</v>
      </c>
      <c r="G12" s="806">
        <v>2617</v>
      </c>
      <c r="H12" s="806">
        <v>2596</v>
      </c>
      <c r="I12" s="806">
        <v>2557</v>
      </c>
      <c r="J12" s="806">
        <v>2456</v>
      </c>
      <c r="K12" s="806">
        <v>2498</v>
      </c>
      <c r="L12" s="556">
        <v>2338</v>
      </c>
      <c r="M12" s="807">
        <f t="shared" si="1"/>
        <v>-2.1899449026652711</v>
      </c>
      <c r="N12" s="807">
        <f t="shared" si="1"/>
        <v>-2.1938712217945837</v>
      </c>
      <c r="O12" s="559"/>
      <c r="V12" s="552"/>
    </row>
    <row r="13" spans="1:22" s="550" customFormat="1" ht="28.5" customHeight="1">
      <c r="A13" s="558" t="s">
        <v>259</v>
      </c>
      <c r="B13" s="806">
        <v>4203</v>
      </c>
      <c r="C13" s="806">
        <v>4004</v>
      </c>
      <c r="D13" s="806">
        <v>3975</v>
      </c>
      <c r="E13" s="806">
        <v>3985</v>
      </c>
      <c r="F13" s="806">
        <v>3977</v>
      </c>
      <c r="G13" s="806">
        <v>3881</v>
      </c>
      <c r="H13" s="806">
        <v>3793</v>
      </c>
      <c r="I13" s="806">
        <v>3731</v>
      </c>
      <c r="J13" s="806">
        <v>3688</v>
      </c>
      <c r="K13" s="806">
        <v>3650</v>
      </c>
      <c r="L13" s="556">
        <v>3583</v>
      </c>
      <c r="M13" s="807">
        <f t="shared" si="1"/>
        <v>-1.5841076215524954</v>
      </c>
      <c r="N13" s="807">
        <f t="shared" si="1"/>
        <v>-1.2230971263313259</v>
      </c>
      <c r="O13" s="559"/>
      <c r="V13" s="552"/>
    </row>
    <row r="14" spans="1:22" s="550" customFormat="1" ht="28.5" customHeight="1">
      <c r="A14" s="558" t="s">
        <v>260</v>
      </c>
      <c r="B14" s="806">
        <v>4744</v>
      </c>
      <c r="C14" s="806">
        <v>4612</v>
      </c>
      <c r="D14" s="806">
        <v>4540</v>
      </c>
      <c r="E14" s="806">
        <v>4458</v>
      </c>
      <c r="F14" s="806">
        <v>4352</v>
      </c>
      <c r="G14" s="806">
        <v>4306</v>
      </c>
      <c r="H14" s="806">
        <v>4259</v>
      </c>
      <c r="I14" s="806">
        <v>4209</v>
      </c>
      <c r="J14" s="806">
        <v>4057</v>
      </c>
      <c r="K14" s="806">
        <v>4113</v>
      </c>
      <c r="L14" s="556">
        <v>3872</v>
      </c>
      <c r="M14" s="807">
        <f t="shared" si="1"/>
        <v>-2.071186703024515</v>
      </c>
      <c r="N14" s="807">
        <f t="shared" si="1"/>
        <v>-1.906442102074426</v>
      </c>
      <c r="O14" s="559"/>
      <c r="V14" s="552"/>
    </row>
    <row r="15" spans="1:22" s="550" customFormat="1" ht="28.5" customHeight="1">
      <c r="A15" s="561" t="s">
        <v>261</v>
      </c>
      <c r="B15" s="808">
        <v>4804</v>
      </c>
      <c r="C15" s="808">
        <v>4734</v>
      </c>
      <c r="D15" s="808">
        <v>4628</v>
      </c>
      <c r="E15" s="808">
        <v>4612</v>
      </c>
      <c r="F15" s="808">
        <v>4522</v>
      </c>
      <c r="G15" s="808">
        <v>4571</v>
      </c>
      <c r="H15" s="808">
        <v>4520</v>
      </c>
      <c r="I15" s="808">
        <v>4571</v>
      </c>
      <c r="J15" s="808">
        <v>4322</v>
      </c>
      <c r="K15" s="808">
        <v>4374</v>
      </c>
      <c r="L15" s="562">
        <v>4116</v>
      </c>
      <c r="M15" s="809">
        <f t="shared" si="1"/>
        <v>-2.0260282200635009</v>
      </c>
      <c r="N15" s="809">
        <f t="shared" si="1"/>
        <v>-1.5092026403387557</v>
      </c>
      <c r="O15" s="563"/>
      <c r="V15" s="552"/>
    </row>
    <row r="16" spans="1:22" s="550" customFormat="1" ht="28.5" customHeight="1">
      <c r="A16" s="762" t="s">
        <v>1058</v>
      </c>
      <c r="B16" s="761"/>
      <c r="C16" s="761"/>
      <c r="D16" s="761"/>
      <c r="E16" s="761"/>
      <c r="F16" s="761"/>
      <c r="G16" s="761"/>
      <c r="H16" s="761"/>
      <c r="I16" s="761"/>
      <c r="J16" s="761"/>
      <c r="K16" s="761"/>
      <c r="L16" s="756"/>
      <c r="M16" s="757"/>
      <c r="N16" s="757"/>
      <c r="O16" s="761"/>
      <c r="V16" s="552"/>
    </row>
    <row r="17" spans="1:21" s="573" customFormat="1" ht="23.1" customHeight="1">
      <c r="A17" s="564"/>
      <c r="B17" s="565"/>
      <c r="C17" s="566"/>
      <c r="D17" s="566"/>
      <c r="E17" s="566"/>
      <c r="F17" s="565"/>
      <c r="G17" s="565"/>
      <c r="H17" s="566"/>
      <c r="I17" s="566"/>
      <c r="J17" s="566"/>
      <c r="K17" s="567"/>
      <c r="L17" s="568"/>
      <c r="M17" s="569"/>
      <c r="N17" s="570"/>
      <c r="O17" s="571"/>
      <c r="P17" s="572"/>
      <c r="Q17" s="572"/>
      <c r="R17" s="572"/>
      <c r="S17" s="572"/>
      <c r="T17" s="572"/>
      <c r="U17" s="572"/>
    </row>
    <row r="18" spans="1:21" s="573" customFormat="1" ht="23.1" customHeight="1">
      <c r="A18" s="574"/>
      <c r="B18" s="575"/>
      <c r="C18" s="576"/>
      <c r="D18" s="577">
        <f>(D4-C4)/C4*100</f>
        <v>-0.77901642250836645</v>
      </c>
      <c r="E18" s="577">
        <f t="shared" ref="E18:L18" si="2">(E4-D4)/D4*100</f>
        <v>-0.3439841856621137</v>
      </c>
      <c r="F18" s="577">
        <f t="shared" si="2"/>
        <v>-0.41017135300512153</v>
      </c>
      <c r="G18" s="577">
        <f t="shared" si="2"/>
        <v>0.83047318966972361</v>
      </c>
      <c r="H18" s="577">
        <f t="shared" si="2"/>
        <v>0.15178063234489916</v>
      </c>
      <c r="I18" s="577">
        <f t="shared" si="2"/>
        <v>0.27970001894382596</v>
      </c>
      <c r="J18" s="577">
        <f t="shared" si="2"/>
        <v>-0.31781309034337152</v>
      </c>
      <c r="K18" s="577">
        <f t="shared" si="2"/>
        <v>4.4847498439311506</v>
      </c>
      <c r="L18" s="577">
        <f t="shared" si="2"/>
        <v>0.88128287473193423</v>
      </c>
      <c r="M18" s="578">
        <f>AVERAGE(H18:L18)</f>
        <v>1.0959400559216879</v>
      </c>
      <c r="N18" s="579">
        <f>AVERAGE(C18:L18)</f>
        <v>0.53077794534472889</v>
      </c>
      <c r="O18" s="580"/>
      <c r="P18" s="572"/>
      <c r="Q18" s="572"/>
      <c r="R18" s="572"/>
      <c r="S18" s="572"/>
      <c r="T18" s="572"/>
      <c r="U18" s="572"/>
    </row>
    <row r="19" spans="1:21" s="573" customFormat="1" ht="23.1" customHeight="1">
      <c r="A19" s="581"/>
      <c r="B19" s="582"/>
      <c r="C19" s="583"/>
      <c r="D19" s="577">
        <f t="shared" ref="D19:L29" si="3">(D5-C5)/C5*100</f>
        <v>1.2504932912391475</v>
      </c>
      <c r="E19" s="577">
        <f t="shared" si="3"/>
        <v>1.8099437285328008</v>
      </c>
      <c r="F19" s="577">
        <f t="shared" si="3"/>
        <v>2.6080298607455616</v>
      </c>
      <c r="G19" s="577">
        <f t="shared" si="3"/>
        <v>2.1266672884992075</v>
      </c>
      <c r="H19" s="577">
        <f t="shared" si="3"/>
        <v>2.3655128322221208</v>
      </c>
      <c r="I19" s="577">
        <f t="shared" si="3"/>
        <v>0.42826552462526768</v>
      </c>
      <c r="J19" s="577">
        <f t="shared" si="3"/>
        <v>-1.3415067519545132</v>
      </c>
      <c r="K19" s="577">
        <f t="shared" si="3"/>
        <v>-0.56731202161188654</v>
      </c>
      <c r="L19" s="577">
        <f t="shared" si="3"/>
        <v>-4.2315703676870129</v>
      </c>
      <c r="M19" s="578">
        <f t="shared" ref="M19:M29" si="4">AVERAGE(H19:L19)</f>
        <v>-0.66932215688120478</v>
      </c>
      <c r="N19" s="579">
        <f t="shared" ref="N19:N29" si="5">AVERAGE(C19:L19)</f>
        <v>0.4942803760678548</v>
      </c>
      <c r="O19" s="584"/>
      <c r="P19" s="572"/>
      <c r="Q19" s="572"/>
      <c r="R19" s="572"/>
      <c r="S19" s="572"/>
      <c r="T19" s="572"/>
      <c r="U19" s="572"/>
    </row>
    <row r="20" spans="1:21" s="573" customFormat="1" ht="23.1" customHeight="1">
      <c r="A20" s="585"/>
      <c r="B20" s="566"/>
      <c r="C20" s="566"/>
      <c r="D20" s="577">
        <f t="shared" si="3"/>
        <v>-3.3542976939203357</v>
      </c>
      <c r="E20" s="577">
        <f t="shared" si="3"/>
        <v>-3.4290005005840145</v>
      </c>
      <c r="F20" s="577">
        <f t="shared" si="3"/>
        <v>-2.4967602591792657</v>
      </c>
      <c r="G20" s="577">
        <f t="shared" si="3"/>
        <v>0.36328194222931065</v>
      </c>
      <c r="H20" s="577">
        <f t="shared" si="3"/>
        <v>-2.7633089079191313</v>
      </c>
      <c r="I20" s="577">
        <f t="shared" si="3"/>
        <v>-1.4980933357544943</v>
      </c>
      <c r="J20" s="577">
        <f t="shared" si="3"/>
        <v>-1.7052262881371554</v>
      </c>
      <c r="K20" s="577">
        <f t="shared" si="3"/>
        <v>1.6316579144786199</v>
      </c>
      <c r="L20" s="577">
        <f t="shared" si="3"/>
        <v>-5.3515408747001292</v>
      </c>
      <c r="M20" s="578">
        <f t="shared" si="4"/>
        <v>-1.9373022984064583</v>
      </c>
      <c r="N20" s="579">
        <f t="shared" si="5"/>
        <v>-2.0670320003873996</v>
      </c>
      <c r="O20" s="566"/>
      <c r="P20" s="572"/>
      <c r="Q20" s="572"/>
      <c r="R20" s="572"/>
      <c r="S20" s="572"/>
      <c r="T20" s="572"/>
      <c r="U20" s="572"/>
    </row>
    <row r="21" spans="1:21" s="573" customFormat="1" ht="23.1" customHeight="1">
      <c r="A21" s="586"/>
      <c r="B21" s="576"/>
      <c r="C21" s="576"/>
      <c r="D21" s="577">
        <f t="shared" si="3"/>
        <v>-1.2597258243793996</v>
      </c>
      <c r="E21" s="577">
        <f t="shared" si="3"/>
        <v>-3.8273921200750469</v>
      </c>
      <c r="F21" s="577">
        <f t="shared" si="3"/>
        <v>-10.358954350370659</v>
      </c>
      <c r="G21" s="577">
        <f t="shared" si="3"/>
        <v>8.7051142546245922E-2</v>
      </c>
      <c r="H21" s="577">
        <f t="shared" si="3"/>
        <v>-1.5873015873015872</v>
      </c>
      <c r="I21" s="577">
        <f t="shared" si="3"/>
        <v>9.6332302253645601</v>
      </c>
      <c r="J21" s="577">
        <f t="shared" si="3"/>
        <v>32.466747279322853</v>
      </c>
      <c r="K21" s="577">
        <f t="shared" si="3"/>
        <v>58.390384907956793</v>
      </c>
      <c r="L21" s="577">
        <f t="shared" si="3"/>
        <v>43.97272116031121</v>
      </c>
      <c r="M21" s="578">
        <f t="shared" si="4"/>
        <v>28.575156397130762</v>
      </c>
      <c r="N21" s="579">
        <f t="shared" si="5"/>
        <v>14.168528981486109</v>
      </c>
      <c r="O21" s="576"/>
      <c r="P21" s="572"/>
      <c r="Q21" s="572"/>
      <c r="R21" s="572"/>
      <c r="S21" s="572"/>
      <c r="T21" s="572"/>
      <c r="U21" s="572"/>
    </row>
    <row r="22" spans="1:21" s="573" customFormat="1" ht="23.1" customHeight="1">
      <c r="A22" s="587"/>
      <c r="B22" s="576"/>
      <c r="C22" s="576"/>
      <c r="D22" s="577">
        <f t="shared" si="3"/>
        <v>-2.17951722521678</v>
      </c>
      <c r="E22" s="577">
        <f t="shared" si="3"/>
        <v>-2.1322472448490655</v>
      </c>
      <c r="F22" s="577">
        <f t="shared" si="3"/>
        <v>-1.6401468788249693</v>
      </c>
      <c r="G22" s="577">
        <f t="shared" si="3"/>
        <v>-0.74664011946241915</v>
      </c>
      <c r="H22" s="577">
        <f t="shared" si="3"/>
        <v>-2.0310932798395189</v>
      </c>
      <c r="I22" s="577">
        <f t="shared" si="3"/>
        <v>-0.17916560020476069</v>
      </c>
      <c r="J22" s="577">
        <f t="shared" si="3"/>
        <v>-3.5384615384615383</v>
      </c>
      <c r="K22" s="577">
        <f t="shared" si="3"/>
        <v>2.8708133971291865</v>
      </c>
      <c r="L22" s="577">
        <f t="shared" si="3"/>
        <v>-4.2635658914728678</v>
      </c>
      <c r="M22" s="578">
        <f t="shared" si="4"/>
        <v>-1.4282945825698998</v>
      </c>
      <c r="N22" s="579">
        <f t="shared" si="5"/>
        <v>-1.5377804868003038</v>
      </c>
      <c r="O22" s="576"/>
      <c r="P22" s="572"/>
      <c r="Q22" s="572"/>
      <c r="R22" s="572"/>
      <c r="S22" s="572"/>
      <c r="T22" s="572"/>
      <c r="U22" s="572"/>
    </row>
    <row r="23" spans="1:21" s="573" customFormat="1" ht="23.1" customHeight="1">
      <c r="A23" s="588"/>
      <c r="B23" s="583"/>
      <c r="C23" s="583"/>
      <c r="D23" s="577">
        <f t="shared" si="3"/>
        <v>-3.017641597028784</v>
      </c>
      <c r="E23" s="577">
        <f t="shared" si="3"/>
        <v>-1.7233125897558641</v>
      </c>
      <c r="F23" s="577">
        <f t="shared" si="3"/>
        <v>-3.3365806137359963</v>
      </c>
      <c r="G23" s="577">
        <f t="shared" si="3"/>
        <v>-1.3353489543965735</v>
      </c>
      <c r="H23" s="577">
        <f t="shared" si="3"/>
        <v>-2.1705822267620021</v>
      </c>
      <c r="I23" s="577">
        <f t="shared" si="3"/>
        <v>-0.41764552336204647</v>
      </c>
      <c r="J23" s="577">
        <f t="shared" si="3"/>
        <v>-2.54259501965924</v>
      </c>
      <c r="K23" s="577">
        <f t="shared" si="3"/>
        <v>-2.0172135556750943</v>
      </c>
      <c r="L23" s="577">
        <f t="shared" si="3"/>
        <v>-3.1841888553390061</v>
      </c>
      <c r="M23" s="578">
        <f t="shared" si="4"/>
        <v>-2.0664450361594779</v>
      </c>
      <c r="N23" s="579">
        <f t="shared" si="5"/>
        <v>-2.1939009928571789</v>
      </c>
      <c r="O23" s="583"/>
      <c r="P23" s="572"/>
      <c r="Q23" s="572"/>
      <c r="R23" s="572"/>
      <c r="S23" s="572"/>
      <c r="T23" s="572"/>
      <c r="U23" s="572"/>
    </row>
    <row r="24" spans="1:21" ht="23.1" customHeight="1">
      <c r="D24" s="577">
        <f t="shared" si="3"/>
        <v>-1.9344854268764509</v>
      </c>
      <c r="E24" s="577">
        <f t="shared" si="3"/>
        <v>-3.0247238295633876</v>
      </c>
      <c r="F24" s="577">
        <f t="shared" si="3"/>
        <v>-2.5766205587198261</v>
      </c>
      <c r="G24" s="577">
        <f t="shared" si="3"/>
        <v>0.55679287305122493</v>
      </c>
      <c r="H24" s="577">
        <f t="shared" si="3"/>
        <v>-2.2425249169435215</v>
      </c>
      <c r="I24" s="577">
        <f t="shared" si="3"/>
        <v>-1.4726706315491362</v>
      </c>
      <c r="J24" s="577">
        <f t="shared" si="3"/>
        <v>-3.4492670307559639</v>
      </c>
      <c r="K24" s="577">
        <f t="shared" si="3"/>
        <v>0.95266448347722543</v>
      </c>
      <c r="L24" s="577">
        <f t="shared" si="3"/>
        <v>-4.5119433795340607</v>
      </c>
      <c r="M24" s="578">
        <f t="shared" si="4"/>
        <v>-2.144748295061091</v>
      </c>
      <c r="N24" s="579">
        <f t="shared" si="5"/>
        <v>-1.966975379712655</v>
      </c>
    </row>
    <row r="25" spans="1:21" ht="23.1" customHeight="1">
      <c r="D25" s="577">
        <f t="shared" si="3"/>
        <v>-4.4513137557959812</v>
      </c>
      <c r="E25" s="577">
        <f t="shared" si="3"/>
        <v>-1.9087673891944354</v>
      </c>
      <c r="F25" s="577">
        <f t="shared" si="3"/>
        <v>-1.6820580474934039</v>
      </c>
      <c r="G25" s="577">
        <f t="shared" si="3"/>
        <v>0.30191211003019125</v>
      </c>
      <c r="H25" s="577">
        <f t="shared" si="3"/>
        <v>-2.0066889632107023</v>
      </c>
      <c r="I25" s="577">
        <f t="shared" si="3"/>
        <v>-1.2627986348122866</v>
      </c>
      <c r="J25" s="577">
        <f t="shared" si="3"/>
        <v>-7.1897684064984455</v>
      </c>
      <c r="K25" s="577">
        <f t="shared" si="3"/>
        <v>3.202979515828678</v>
      </c>
      <c r="L25" s="577">
        <f t="shared" si="3"/>
        <v>-5.1605918440996028</v>
      </c>
      <c r="M25" s="578">
        <f t="shared" si="4"/>
        <v>-2.4833736665584718</v>
      </c>
      <c r="N25" s="579">
        <f t="shared" si="5"/>
        <v>-2.2396772683606656</v>
      </c>
    </row>
    <row r="26" spans="1:21" ht="23.1" customHeight="1">
      <c r="D26" s="577">
        <f t="shared" si="3"/>
        <v>-2.6913666550157287</v>
      </c>
      <c r="E26" s="577">
        <f t="shared" si="3"/>
        <v>-0.4669540229885058</v>
      </c>
      <c r="F26" s="577">
        <f t="shared" si="3"/>
        <v>-2.9592204980151573</v>
      </c>
      <c r="G26" s="577">
        <f t="shared" si="3"/>
        <v>-2.6775753068055042</v>
      </c>
      <c r="H26" s="577">
        <f t="shared" si="3"/>
        <v>-0.80244554833779136</v>
      </c>
      <c r="I26" s="577">
        <f t="shared" si="3"/>
        <v>-1.50231124807396</v>
      </c>
      <c r="J26" s="577">
        <f t="shared" si="3"/>
        <v>-3.9499413375048884</v>
      </c>
      <c r="K26" s="577">
        <f t="shared" si="3"/>
        <v>1.7100977198697069</v>
      </c>
      <c r="L26" s="577">
        <f t="shared" si="3"/>
        <v>-6.4051240992794227</v>
      </c>
      <c r="M26" s="578">
        <f t="shared" si="4"/>
        <v>-2.1899449026652711</v>
      </c>
      <c r="N26" s="579">
        <f t="shared" si="5"/>
        <v>-2.1938712217945837</v>
      </c>
    </row>
    <row r="27" spans="1:21" ht="23.1" customHeight="1">
      <c r="D27" s="577">
        <f t="shared" si="3"/>
        <v>-0.72427572427572429</v>
      </c>
      <c r="E27" s="577">
        <f t="shared" si="3"/>
        <v>0.25157232704402516</v>
      </c>
      <c r="F27" s="577">
        <f t="shared" si="3"/>
        <v>-0.20075282308657463</v>
      </c>
      <c r="G27" s="577">
        <f t="shared" si="3"/>
        <v>-2.4138798089011817</v>
      </c>
      <c r="H27" s="577">
        <f t="shared" si="3"/>
        <v>-2.2674568410203553</v>
      </c>
      <c r="I27" s="577">
        <f t="shared" si="3"/>
        <v>-1.6345900342736621</v>
      </c>
      <c r="J27" s="577">
        <f t="shared" si="3"/>
        <v>-1.1525060305548112</v>
      </c>
      <c r="K27" s="577">
        <f t="shared" si="3"/>
        <v>-1.0303687635574839</v>
      </c>
      <c r="L27" s="577">
        <f t="shared" si="3"/>
        <v>-1.8356164383561646</v>
      </c>
      <c r="M27" s="578">
        <f t="shared" si="4"/>
        <v>-1.5841076215524954</v>
      </c>
      <c r="N27" s="579">
        <f t="shared" si="5"/>
        <v>-1.2230971263313259</v>
      </c>
    </row>
    <row r="28" spans="1:21">
      <c r="D28" s="577">
        <f t="shared" si="3"/>
        <v>-1.5611448395490026</v>
      </c>
      <c r="E28" s="577">
        <f t="shared" si="3"/>
        <v>-1.8061674008810573</v>
      </c>
      <c r="F28" s="577">
        <f t="shared" si="3"/>
        <v>-2.3777478689995513</v>
      </c>
      <c r="G28" s="577">
        <f t="shared" si="3"/>
        <v>-1.0569852941176472</v>
      </c>
      <c r="H28" s="577">
        <f t="shared" si="3"/>
        <v>-1.0915002322340919</v>
      </c>
      <c r="I28" s="577">
        <f t="shared" si="3"/>
        <v>-1.1739845034045551</v>
      </c>
      <c r="J28" s="577">
        <f t="shared" si="3"/>
        <v>-3.6113090995485861</v>
      </c>
      <c r="K28" s="577">
        <f t="shared" si="3"/>
        <v>1.3803302933201873</v>
      </c>
      <c r="L28" s="577">
        <f t="shared" si="3"/>
        <v>-5.8594699732555311</v>
      </c>
      <c r="M28" s="578">
        <f t="shared" si="4"/>
        <v>-2.071186703024515</v>
      </c>
      <c r="N28" s="579">
        <f t="shared" si="5"/>
        <v>-1.906442102074426</v>
      </c>
    </row>
    <row r="29" spans="1:21">
      <c r="D29" s="577">
        <f t="shared" si="3"/>
        <v>-2.2391212505280946</v>
      </c>
      <c r="E29" s="577">
        <f t="shared" si="3"/>
        <v>-0.34572169403630076</v>
      </c>
      <c r="F29" s="577">
        <f t="shared" si="3"/>
        <v>-1.9514310494362535</v>
      </c>
      <c r="G29" s="577">
        <f t="shared" si="3"/>
        <v>1.0835913312693499</v>
      </c>
      <c r="H29" s="577">
        <f t="shared" si="3"/>
        <v>-1.1157295996499672</v>
      </c>
      <c r="I29" s="577">
        <f t="shared" si="3"/>
        <v>1.1283185840707965</v>
      </c>
      <c r="J29" s="577">
        <f t="shared" si="3"/>
        <v>-5.4473856924086634</v>
      </c>
      <c r="K29" s="577">
        <f t="shared" si="3"/>
        <v>1.2031466913465989</v>
      </c>
      <c r="L29" s="577">
        <f t="shared" si="3"/>
        <v>-5.8984910836762685</v>
      </c>
      <c r="M29" s="578">
        <f t="shared" si="4"/>
        <v>-2.0260282200635009</v>
      </c>
      <c r="N29" s="579">
        <f t="shared" si="5"/>
        <v>-1.5092026403387557</v>
      </c>
    </row>
    <row r="32" spans="1:21">
      <c r="A32" s="552" t="s">
        <v>582</v>
      </c>
      <c r="B32" s="589">
        <f>B5+B6</f>
        <v>53099</v>
      </c>
      <c r="C32" s="589">
        <f t="shared" ref="C32:L32" si="6">C5+C6</f>
        <v>52946</v>
      </c>
      <c r="D32" s="589">
        <f t="shared" si="6"/>
        <v>53037</v>
      </c>
      <c r="E32" s="589">
        <f t="shared" si="6"/>
        <v>53369</v>
      </c>
      <c r="F32" s="589">
        <f t="shared" si="6"/>
        <v>54170</v>
      </c>
      <c r="G32" s="589">
        <f t="shared" si="6"/>
        <v>55123</v>
      </c>
      <c r="H32" s="589">
        <f t="shared" si="6"/>
        <v>55846</v>
      </c>
      <c r="I32" s="589">
        <f t="shared" si="6"/>
        <v>55873</v>
      </c>
      <c r="J32" s="589">
        <f t="shared" si="6"/>
        <v>55084</v>
      </c>
      <c r="K32" s="589">
        <f t="shared" si="6"/>
        <v>55006</v>
      </c>
      <c r="L32" s="589">
        <f t="shared" si="6"/>
        <v>52557</v>
      </c>
    </row>
    <row r="33" spans="1:12">
      <c r="A33" s="552" t="s">
        <v>583</v>
      </c>
      <c r="B33" s="589">
        <f>B4-B32</f>
        <v>38333</v>
      </c>
      <c r="C33" s="589">
        <f t="shared" ref="C33:L33" si="7">C4-C32</f>
        <v>37296</v>
      </c>
      <c r="D33" s="589">
        <f t="shared" si="7"/>
        <v>36502</v>
      </c>
      <c r="E33" s="589">
        <f t="shared" si="7"/>
        <v>35862</v>
      </c>
      <c r="F33" s="589">
        <f t="shared" si="7"/>
        <v>34695</v>
      </c>
      <c r="G33" s="589">
        <f t="shared" si="7"/>
        <v>34480</v>
      </c>
      <c r="H33" s="589">
        <f t="shared" si="7"/>
        <v>33893</v>
      </c>
      <c r="I33" s="589">
        <f t="shared" si="7"/>
        <v>34117</v>
      </c>
      <c r="J33" s="589">
        <f t="shared" si="7"/>
        <v>34620</v>
      </c>
      <c r="K33" s="589">
        <f t="shared" si="7"/>
        <v>38721</v>
      </c>
      <c r="L33" s="589">
        <f t="shared" si="7"/>
        <v>41996</v>
      </c>
    </row>
  </sheetData>
  <mergeCells count="14">
    <mergeCell ref="A2:A3"/>
    <mergeCell ref="K2:K3"/>
    <mergeCell ref="G2:G3"/>
    <mergeCell ref="O2:O3"/>
    <mergeCell ref="M2:N2"/>
    <mergeCell ref="B2:B3"/>
    <mergeCell ref="C2:C3"/>
    <mergeCell ref="D2:D3"/>
    <mergeCell ref="E2:E3"/>
    <mergeCell ref="F2:F3"/>
    <mergeCell ref="H2:H3"/>
    <mergeCell ref="I2:I3"/>
    <mergeCell ref="J2:J3"/>
    <mergeCell ref="L2:L3"/>
  </mergeCells>
  <phoneticPr fontId="10" type="noConversion"/>
  <pageMargins left="0.39370078740157483" right="0.39370078740157483" top="0.39370078740157483" bottom="0.39370078740157483" header="0.39370078740157483" footer="0.39370078740157483"/>
  <pageSetup paperSize="9" scale="65" orientation="portrait" r:id="rId1"/>
  <headerFooter alignWithMargins="0"/>
  <colBreaks count="1" manualBreakCount="1">
    <brk id="1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Q23"/>
  <sheetViews>
    <sheetView showGridLines="0" view="pageBreakPreview" workbookViewId="0">
      <selection activeCell="M19" sqref="M19"/>
    </sheetView>
  </sheetViews>
  <sheetFormatPr defaultColWidth="8.88671875" defaultRowHeight="15" customHeight="1"/>
  <cols>
    <col min="1" max="1" width="8.77734375" style="594" customWidth="1"/>
    <col min="2" max="8" width="8.77734375" style="596" customWidth="1"/>
    <col min="9" max="9" width="7.77734375" style="596" customWidth="1"/>
    <col min="10" max="16384" width="8.88671875" style="596"/>
  </cols>
  <sheetData>
    <row r="1" spans="1:17" s="551" customFormat="1" ht="39.950000000000003" customHeight="1">
      <c r="A1" s="504" t="s">
        <v>584</v>
      </c>
      <c r="B1" s="590"/>
      <c r="C1" s="590"/>
      <c r="D1" s="590"/>
      <c r="E1" s="590"/>
      <c r="F1" s="590"/>
      <c r="I1" s="590"/>
      <c r="J1" s="590"/>
      <c r="K1" s="590"/>
      <c r="L1" s="590"/>
    </row>
    <row r="2" spans="1:17" ht="20.100000000000001" customHeight="1">
      <c r="A2" s="591" t="s">
        <v>40</v>
      </c>
      <c r="B2" s="592"/>
      <c r="C2" s="593"/>
      <c r="D2" s="593"/>
      <c r="E2" s="593"/>
      <c r="F2" s="593"/>
      <c r="G2" s="593"/>
      <c r="H2" s="593"/>
      <c r="I2" s="592"/>
      <c r="J2" s="594" t="s">
        <v>49</v>
      </c>
      <c r="K2" s="595">
        <v>95891</v>
      </c>
    </row>
    <row r="3" spans="1:17" s="594" customFormat="1" ht="20.100000000000001" customHeight="1">
      <c r="A3" s="964" t="s">
        <v>39</v>
      </c>
      <c r="B3" s="962" t="s">
        <v>38</v>
      </c>
      <c r="C3" s="597" t="s">
        <v>37</v>
      </c>
      <c r="D3" s="597"/>
      <c r="E3" s="597"/>
      <c r="F3" s="597"/>
      <c r="G3" s="597" t="s">
        <v>36</v>
      </c>
      <c r="H3" s="597"/>
      <c r="I3" s="966" t="s">
        <v>35</v>
      </c>
    </row>
    <row r="4" spans="1:17" s="594" customFormat="1" ht="20.100000000000001" customHeight="1">
      <c r="A4" s="965"/>
      <c r="B4" s="963"/>
      <c r="C4" s="598" t="s">
        <v>34</v>
      </c>
      <c r="D4" s="598" t="s">
        <v>33</v>
      </c>
      <c r="E4" s="598" t="s">
        <v>32</v>
      </c>
      <c r="F4" s="598" t="s">
        <v>30</v>
      </c>
      <c r="G4" s="598" t="s">
        <v>31</v>
      </c>
      <c r="H4" s="598" t="s">
        <v>30</v>
      </c>
      <c r="I4" s="967"/>
      <c r="J4" s="594" t="s">
        <v>29</v>
      </c>
    </row>
    <row r="5" spans="1:17" ht="20.100000000000001" hidden="1" customHeight="1">
      <c r="A5" s="599">
        <v>2001</v>
      </c>
      <c r="B5" s="600">
        <v>93790</v>
      </c>
      <c r="C5" s="601">
        <v>875</v>
      </c>
      <c r="D5" s="601">
        <v>878</v>
      </c>
      <c r="E5" s="602">
        <f t="shared" ref="E5:E14" si="0">C5-D5</f>
        <v>-3</v>
      </c>
      <c r="F5" s="603">
        <f t="shared" ref="F5:F14" si="1">ROUND(E5/B5,4)*100</f>
        <v>0</v>
      </c>
      <c r="G5" s="604">
        <f>B5-K2-E5</f>
        <v>-2098</v>
      </c>
      <c r="H5" s="603">
        <f t="shared" ref="H5:H14" si="2">ROUND(G5/B5,4)*100</f>
        <v>-2.2399999999999998</v>
      </c>
      <c r="I5" s="605"/>
      <c r="J5" s="606">
        <f t="shared" ref="J5:J17" si="3">E5+G5</f>
        <v>-2101</v>
      </c>
      <c r="M5" s="594"/>
      <c r="N5" s="607"/>
    </row>
    <row r="6" spans="1:17" ht="20.100000000000001" hidden="1" customHeight="1">
      <c r="A6" s="599">
        <v>2002</v>
      </c>
      <c r="B6" s="600">
        <v>91652</v>
      </c>
      <c r="C6" s="608">
        <v>748</v>
      </c>
      <c r="D6" s="608">
        <v>879</v>
      </c>
      <c r="E6" s="602">
        <f t="shared" si="0"/>
        <v>-131</v>
      </c>
      <c r="F6" s="603">
        <f t="shared" si="1"/>
        <v>-0.13999999999999999</v>
      </c>
      <c r="G6" s="604">
        <f>B6-B5-E6</f>
        <v>-2007</v>
      </c>
      <c r="H6" s="603">
        <f t="shared" si="2"/>
        <v>-2.19</v>
      </c>
      <c r="I6" s="605"/>
      <c r="J6" s="606">
        <f>E6+G6</f>
        <v>-2138</v>
      </c>
      <c r="M6" s="594"/>
      <c r="N6" s="607"/>
    </row>
    <row r="7" spans="1:17" ht="20.100000000000001" customHeight="1">
      <c r="A7" s="599">
        <v>2005</v>
      </c>
      <c r="B7" s="600">
        <f>'1.1 가.과거10년 인구'!D8</f>
        <v>91432</v>
      </c>
      <c r="C7" s="608">
        <v>746</v>
      </c>
      <c r="D7" s="608">
        <v>870</v>
      </c>
      <c r="E7" s="602">
        <f t="shared" si="0"/>
        <v>-124</v>
      </c>
      <c r="F7" s="603">
        <f t="shared" si="1"/>
        <v>-0.13999999999999999</v>
      </c>
      <c r="G7" s="604">
        <f t="shared" ref="G7:G14" si="4">B7-B6-E7</f>
        <v>-96</v>
      </c>
      <c r="H7" s="603">
        <f t="shared" si="2"/>
        <v>-0.1</v>
      </c>
      <c r="I7" s="605"/>
      <c r="J7" s="606">
        <f t="shared" si="3"/>
        <v>-220</v>
      </c>
      <c r="M7" s="594"/>
      <c r="N7" s="607"/>
    </row>
    <row r="8" spans="1:17" ht="20.100000000000001" customHeight="1">
      <c r="A8" s="599">
        <v>2006</v>
      </c>
      <c r="B8" s="600">
        <f>'1.1 가.과거10년 인구'!D9</f>
        <v>90242</v>
      </c>
      <c r="C8" s="608">
        <v>719</v>
      </c>
      <c r="D8" s="608">
        <v>940</v>
      </c>
      <c r="E8" s="602">
        <f t="shared" si="0"/>
        <v>-221</v>
      </c>
      <c r="F8" s="603">
        <f t="shared" si="1"/>
        <v>-0.24</v>
      </c>
      <c r="G8" s="604">
        <f t="shared" si="4"/>
        <v>-969</v>
      </c>
      <c r="H8" s="603">
        <f t="shared" si="2"/>
        <v>-1.0699999999999998</v>
      </c>
      <c r="I8" s="605"/>
      <c r="J8" s="606">
        <f t="shared" si="3"/>
        <v>-1190</v>
      </c>
      <c r="M8" s="594"/>
      <c r="N8" s="607"/>
    </row>
    <row r="9" spans="1:17" ht="20.100000000000001" customHeight="1">
      <c r="A9" s="599">
        <v>2007</v>
      </c>
      <c r="B9" s="600">
        <f>'1.1 가.과거10년 인구'!D10</f>
        <v>89539</v>
      </c>
      <c r="C9" s="608">
        <v>714</v>
      </c>
      <c r="D9" s="608">
        <v>848</v>
      </c>
      <c r="E9" s="602">
        <f t="shared" si="0"/>
        <v>-134</v>
      </c>
      <c r="F9" s="603">
        <f t="shared" si="1"/>
        <v>-0.15</v>
      </c>
      <c r="G9" s="604">
        <f t="shared" si="4"/>
        <v>-569</v>
      </c>
      <c r="H9" s="603">
        <f t="shared" si="2"/>
        <v>-0.64</v>
      </c>
      <c r="I9" s="605"/>
      <c r="J9" s="606">
        <f t="shared" si="3"/>
        <v>-703</v>
      </c>
      <c r="M9" s="594"/>
      <c r="N9" s="607"/>
      <c r="Q9" s="549"/>
    </row>
    <row r="10" spans="1:17" ht="20.100000000000001" customHeight="1">
      <c r="A10" s="599">
        <v>2008</v>
      </c>
      <c r="B10" s="600">
        <f>'1.1 가.과거10년 인구'!D11</f>
        <v>89231</v>
      </c>
      <c r="C10" s="608">
        <v>660</v>
      </c>
      <c r="D10" s="608">
        <v>729</v>
      </c>
      <c r="E10" s="602">
        <f t="shared" si="0"/>
        <v>-69</v>
      </c>
      <c r="F10" s="603">
        <f t="shared" si="1"/>
        <v>-0.08</v>
      </c>
      <c r="G10" s="604">
        <f t="shared" si="4"/>
        <v>-239</v>
      </c>
      <c r="H10" s="603">
        <f t="shared" si="2"/>
        <v>-0.27</v>
      </c>
      <c r="I10" s="605"/>
      <c r="J10" s="606">
        <f t="shared" si="3"/>
        <v>-308</v>
      </c>
      <c r="M10" s="594"/>
      <c r="N10" s="607"/>
    </row>
    <row r="11" spans="1:17" ht="20.100000000000001" customHeight="1">
      <c r="A11" s="599">
        <v>2009</v>
      </c>
      <c r="B11" s="600">
        <f>'1.1 가.과거10년 인구'!D12</f>
        <v>88865</v>
      </c>
      <c r="C11" s="608">
        <v>714</v>
      </c>
      <c r="D11" s="608">
        <v>798</v>
      </c>
      <c r="E11" s="602">
        <f t="shared" si="0"/>
        <v>-84</v>
      </c>
      <c r="F11" s="603">
        <f t="shared" si="1"/>
        <v>-0.09</v>
      </c>
      <c r="G11" s="604">
        <f t="shared" si="4"/>
        <v>-282</v>
      </c>
      <c r="H11" s="603">
        <f t="shared" si="2"/>
        <v>-0.32</v>
      </c>
      <c r="I11" s="605"/>
      <c r="J11" s="606">
        <f t="shared" si="3"/>
        <v>-366</v>
      </c>
      <c r="M11" s="594"/>
      <c r="N11" s="607"/>
    </row>
    <row r="12" spans="1:17" ht="20.100000000000001" customHeight="1">
      <c r="A12" s="599">
        <v>2010</v>
      </c>
      <c r="B12" s="600">
        <f>'1.1 가.과거10년 인구'!D13</f>
        <v>89603</v>
      </c>
      <c r="C12" s="608">
        <v>664</v>
      </c>
      <c r="D12" s="608">
        <v>782</v>
      </c>
      <c r="E12" s="602">
        <f t="shared" si="0"/>
        <v>-118</v>
      </c>
      <c r="F12" s="603">
        <f t="shared" si="1"/>
        <v>-0.13</v>
      </c>
      <c r="G12" s="604">
        <f t="shared" si="4"/>
        <v>856</v>
      </c>
      <c r="H12" s="603">
        <f t="shared" si="2"/>
        <v>0.96</v>
      </c>
      <c r="I12" s="605"/>
      <c r="J12" s="606">
        <f t="shared" si="3"/>
        <v>738</v>
      </c>
      <c r="M12" s="594"/>
      <c r="N12" s="607"/>
    </row>
    <row r="13" spans="1:17" ht="20.100000000000001" customHeight="1">
      <c r="A13" s="599">
        <v>2011</v>
      </c>
      <c r="B13" s="600">
        <f>'1.1 가.과거10년 인구'!D14</f>
        <v>89739</v>
      </c>
      <c r="C13" s="608">
        <v>635</v>
      </c>
      <c r="D13" s="608">
        <v>756</v>
      </c>
      <c r="E13" s="602">
        <f t="shared" si="0"/>
        <v>-121</v>
      </c>
      <c r="F13" s="603">
        <f t="shared" si="1"/>
        <v>-0.13</v>
      </c>
      <c r="G13" s="604">
        <f t="shared" si="4"/>
        <v>257</v>
      </c>
      <c r="H13" s="603">
        <f t="shared" si="2"/>
        <v>0.28999999999999998</v>
      </c>
      <c r="I13" s="605"/>
      <c r="J13" s="606">
        <f t="shared" si="3"/>
        <v>136</v>
      </c>
      <c r="M13" s="594"/>
      <c r="N13" s="607"/>
    </row>
    <row r="14" spans="1:17" ht="20.100000000000001" customHeight="1">
      <c r="A14" s="599">
        <v>2012</v>
      </c>
      <c r="B14" s="600">
        <f>'1.1 가.과거10년 인구'!D15</f>
        <v>89990</v>
      </c>
      <c r="C14" s="608">
        <v>649</v>
      </c>
      <c r="D14" s="608">
        <v>793</v>
      </c>
      <c r="E14" s="602">
        <f t="shared" si="0"/>
        <v>-144</v>
      </c>
      <c r="F14" s="603">
        <f t="shared" si="1"/>
        <v>-0.16</v>
      </c>
      <c r="G14" s="604">
        <f t="shared" si="4"/>
        <v>395</v>
      </c>
      <c r="H14" s="603">
        <f t="shared" si="2"/>
        <v>0.44</v>
      </c>
      <c r="I14" s="605"/>
      <c r="J14" s="606">
        <f t="shared" si="3"/>
        <v>251</v>
      </c>
      <c r="M14" s="594"/>
      <c r="N14" s="607"/>
    </row>
    <row r="15" spans="1:17" ht="20.100000000000001" customHeight="1">
      <c r="A15" s="599">
        <v>2013</v>
      </c>
      <c r="B15" s="600">
        <f>'1.1 가.과거10년 인구'!D16</f>
        <v>87421</v>
      </c>
      <c r="C15" s="608">
        <v>580</v>
      </c>
      <c r="D15" s="608">
        <v>796</v>
      </c>
      <c r="E15" s="602">
        <f t="shared" ref="E15:E17" si="5">C15-D15</f>
        <v>-216</v>
      </c>
      <c r="F15" s="603">
        <f t="shared" ref="F15:F17" si="6">ROUND(E15/B15,4)*100</f>
        <v>-0.25</v>
      </c>
      <c r="G15" s="604">
        <f t="shared" ref="G15:G17" si="7">B15-B14-E15</f>
        <v>-2353</v>
      </c>
      <c r="H15" s="603">
        <f t="shared" ref="H15:H17" si="8">ROUND(G15/B15,4)*100</f>
        <v>-2.69</v>
      </c>
      <c r="I15" s="609" t="s">
        <v>1017</v>
      </c>
      <c r="J15" s="606">
        <f t="shared" si="3"/>
        <v>-2569</v>
      </c>
      <c r="K15" s="606"/>
      <c r="M15" s="594"/>
      <c r="N15" s="607"/>
    </row>
    <row r="16" spans="1:17" ht="20.100000000000001" customHeight="1">
      <c r="A16" s="599">
        <v>2014</v>
      </c>
      <c r="B16" s="600">
        <f>'1.1 가.과거10년 인구'!D17</f>
        <v>87714</v>
      </c>
      <c r="C16" s="608">
        <v>549</v>
      </c>
      <c r="D16" s="608">
        <v>816</v>
      </c>
      <c r="E16" s="602">
        <f t="shared" si="5"/>
        <v>-267</v>
      </c>
      <c r="F16" s="603">
        <f t="shared" si="6"/>
        <v>-0.3</v>
      </c>
      <c r="G16" s="604">
        <f t="shared" si="7"/>
        <v>560</v>
      </c>
      <c r="H16" s="603">
        <f t="shared" si="8"/>
        <v>0.64</v>
      </c>
      <c r="I16" s="609" t="s">
        <v>1017</v>
      </c>
      <c r="J16" s="606">
        <f t="shared" si="3"/>
        <v>293</v>
      </c>
      <c r="K16" s="606"/>
      <c r="M16" s="594"/>
      <c r="N16" s="607"/>
    </row>
    <row r="17" spans="1:14" ht="20.100000000000001" customHeight="1">
      <c r="A17" s="599">
        <v>2015</v>
      </c>
      <c r="B17" s="600">
        <f>'1.1 가.과거10년 인구'!D18</f>
        <v>83739</v>
      </c>
      <c r="C17" s="608"/>
      <c r="D17" s="608"/>
      <c r="E17" s="602">
        <f t="shared" si="5"/>
        <v>0</v>
      </c>
      <c r="F17" s="603">
        <f t="shared" si="6"/>
        <v>0</v>
      </c>
      <c r="G17" s="604">
        <f t="shared" si="7"/>
        <v>-3975</v>
      </c>
      <c r="H17" s="603">
        <f t="shared" si="8"/>
        <v>-4.75</v>
      </c>
      <c r="I17" s="609" t="s">
        <v>1017</v>
      </c>
      <c r="J17" s="606">
        <f t="shared" si="3"/>
        <v>-3975</v>
      </c>
      <c r="K17" s="606"/>
      <c r="M17" s="594"/>
      <c r="N17" s="607"/>
    </row>
    <row r="18" spans="1:14" ht="20.100000000000001" customHeight="1">
      <c r="A18" s="970" t="s">
        <v>28</v>
      </c>
      <c r="B18" s="971"/>
      <c r="C18" s="600"/>
      <c r="D18" s="600"/>
      <c r="E18" s="600"/>
      <c r="F18" s="610">
        <f>ROUND(SUM(F12:F17)/6,2)</f>
        <v>-0.16</v>
      </c>
      <c r="G18" s="600"/>
      <c r="H18" s="610">
        <f>ROUND(SUM(H12:H17)/6,2)</f>
        <v>-0.85</v>
      </c>
      <c r="I18" s="611"/>
      <c r="K18" s="606"/>
    </row>
    <row r="19" spans="1:14" ht="20.100000000000001" customHeight="1">
      <c r="A19" s="968" t="s">
        <v>27</v>
      </c>
      <c r="B19" s="969"/>
      <c r="C19" s="612"/>
      <c r="D19" s="612"/>
      <c r="E19" s="612"/>
      <c r="F19" s="612">
        <f>ROUND(SUM(F7:F17)/11,2)</f>
        <v>-0.15</v>
      </c>
      <c r="G19" s="612"/>
      <c r="H19" s="612">
        <f>ROUND(SUM(H7:H17)/11,2)</f>
        <v>-0.68</v>
      </c>
      <c r="I19" s="613"/>
    </row>
    <row r="20" spans="1:14" ht="15" customHeight="1">
      <c r="A20" s="614" t="s">
        <v>592</v>
      </c>
    </row>
    <row r="21" spans="1:14" ht="15" customHeight="1">
      <c r="A21" s="614" t="s">
        <v>1059</v>
      </c>
    </row>
    <row r="22" spans="1:14" ht="15" customHeight="1">
      <c r="A22" s="614" t="s">
        <v>1060</v>
      </c>
    </row>
    <row r="23" spans="1:14" ht="15" customHeight="1">
      <c r="A23" s="614" t="s">
        <v>26</v>
      </c>
    </row>
  </sheetData>
  <mergeCells count="5">
    <mergeCell ref="B3:B4"/>
    <mergeCell ref="A3:A4"/>
    <mergeCell ref="I3:I4"/>
    <mergeCell ref="A19:B19"/>
    <mergeCell ref="A18:B18"/>
  </mergeCells>
  <phoneticPr fontId="1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DZ308"/>
  <sheetViews>
    <sheetView showGridLines="0" view="pageBreakPreview" zoomScaleNormal="80" zoomScaleSheetLayoutView="100" workbookViewId="0">
      <pane xSplit="11" ySplit="4" topLeftCell="L23" activePane="bottomRight" state="frozen"/>
      <selection activeCell="A7" sqref="A7"/>
      <selection pane="topRight" activeCell="A7" sqref="A7"/>
      <selection pane="bottomLeft" activeCell="A7" sqref="A7"/>
      <selection pane="bottomRight" activeCell="I2" sqref="I2"/>
    </sheetView>
  </sheetViews>
  <sheetFormatPr defaultRowHeight="14.85" customHeight="1"/>
  <cols>
    <col min="1" max="2" width="9.77734375" style="77" customWidth="1"/>
    <col min="3" max="5" width="9.77734375" style="423" customWidth="1"/>
    <col min="6" max="6" width="10.6640625" style="423" customWidth="1"/>
    <col min="7" max="9" width="9.77734375" style="423" customWidth="1"/>
    <col min="10" max="10" width="7.6640625" style="423" customWidth="1"/>
    <col min="11" max="11" width="10.21875" style="423" bestFit="1" customWidth="1"/>
    <col min="12" max="12" width="9.77734375" style="423" customWidth="1"/>
    <col min="13" max="13" width="10.88671875" style="423" bestFit="1" customWidth="1"/>
    <col min="14" max="14" width="12.21875" style="423" customWidth="1"/>
    <col min="15" max="15" width="13.33203125" style="423" bestFit="1" customWidth="1"/>
    <col min="16" max="16" width="9" style="423" bestFit="1" customWidth="1"/>
    <col min="17" max="17" width="10.77734375" style="423" customWidth="1"/>
    <col min="18" max="18" width="9" style="423" customWidth="1"/>
    <col min="19" max="19" width="9" style="423" bestFit="1" customWidth="1"/>
    <col min="20" max="20" width="9.77734375" style="423" bestFit="1" customWidth="1"/>
    <col min="21" max="21" width="10.109375" style="423" customWidth="1"/>
    <col min="22" max="22" width="11" style="423" customWidth="1"/>
    <col min="23" max="23" width="9.5546875" style="423" customWidth="1"/>
    <col min="24" max="24" width="9" style="423" bestFit="1" customWidth="1"/>
    <col min="25" max="25" width="10.21875" style="423" bestFit="1" customWidth="1"/>
    <col min="26" max="26" width="9.5546875" style="423" bestFit="1" customWidth="1"/>
    <col min="27" max="27" width="10.44140625" style="423" customWidth="1"/>
    <col min="28" max="28" width="9" style="423" bestFit="1" customWidth="1"/>
    <col min="29" max="29" width="9.6640625" style="423" customWidth="1"/>
    <col min="30" max="31" width="9" style="423" bestFit="1" customWidth="1"/>
    <col min="32" max="32" width="10.21875" style="423" bestFit="1" customWidth="1"/>
    <col min="33" max="33" width="10.21875" style="423" customWidth="1"/>
    <col min="34" max="34" width="9" style="423" bestFit="1" customWidth="1"/>
    <col min="35" max="35" width="9.5546875" style="423" customWidth="1"/>
    <col min="36" max="36" width="9.77734375" style="423" customWidth="1"/>
    <col min="37" max="37" width="9" style="423" bestFit="1" customWidth="1"/>
    <col min="38" max="38" width="9.6640625" style="423" bestFit="1" customWidth="1"/>
    <col min="39" max="39" width="10.109375" style="423" customWidth="1"/>
    <col min="40" max="40" width="9" style="423" bestFit="1" customWidth="1"/>
    <col min="41" max="41" width="9.44140625" style="423" customWidth="1"/>
    <col min="42" max="42" width="8.88671875" style="423"/>
    <col min="43" max="43" width="9.77734375" style="423" customWidth="1"/>
    <col min="44" max="44" width="9.6640625" style="423" bestFit="1" customWidth="1"/>
    <col min="45" max="45" width="10.33203125" style="423" customWidth="1"/>
    <col min="46" max="46" width="10.21875" style="423" bestFit="1" customWidth="1"/>
    <col min="47" max="47" width="9.44140625" style="423" customWidth="1"/>
    <col min="48" max="49" width="9" style="423" bestFit="1" customWidth="1"/>
    <col min="50" max="50" width="10.109375" style="423" customWidth="1"/>
    <col min="51" max="51" width="9.77734375" style="423" customWidth="1"/>
    <col min="52" max="52" width="9" style="423" bestFit="1" customWidth="1"/>
    <col min="53" max="53" width="9.5546875" style="423" customWidth="1"/>
    <col min="54" max="54" width="8.88671875" style="423"/>
    <col min="55" max="55" width="9" style="423" bestFit="1" customWidth="1"/>
    <col min="56" max="56" width="9.5546875" style="423" bestFit="1" customWidth="1"/>
    <col min="57" max="57" width="11" style="423" customWidth="1"/>
    <col min="58" max="58" width="9" style="423" bestFit="1" customWidth="1"/>
    <col min="59" max="59" width="9.5546875" style="423" customWidth="1"/>
    <col min="60" max="60" width="10.21875" style="423" bestFit="1" customWidth="1"/>
    <col min="61" max="61" width="9" style="423" bestFit="1" customWidth="1"/>
    <col min="62" max="62" width="9.6640625" style="423" bestFit="1" customWidth="1"/>
    <col min="63" max="63" width="10.21875" style="423" customWidth="1"/>
    <col min="64" max="64" width="9" style="423" bestFit="1" customWidth="1"/>
    <col min="65" max="65" width="9.44140625" style="423" customWidth="1"/>
    <col min="66" max="66" width="9" style="423" bestFit="1" customWidth="1"/>
    <col min="67" max="67" width="10.21875" style="423" bestFit="1" customWidth="1"/>
    <col min="68" max="68" width="8.88671875" style="423"/>
    <col min="69" max="69" width="9" style="423" bestFit="1" customWidth="1"/>
    <col min="70" max="70" width="8.88671875" style="423"/>
    <col min="71" max="73" width="9" style="423" bestFit="1" customWidth="1"/>
    <col min="74" max="74" width="10.21875" style="423" bestFit="1" customWidth="1"/>
    <col min="75" max="75" width="8.88671875" style="423"/>
    <col min="76" max="80" width="9" style="423" bestFit="1" customWidth="1"/>
    <col min="81" max="81" width="10.21875" style="423" bestFit="1" customWidth="1"/>
    <col min="82" max="82" width="8.88671875" style="423"/>
    <col min="83" max="83" width="9" style="423" bestFit="1" customWidth="1"/>
    <col min="84" max="84" width="8.88671875" style="423"/>
    <col min="85" max="85" width="9" style="423" bestFit="1" customWidth="1"/>
    <col min="86" max="86" width="8.88671875" style="423"/>
    <col min="87" max="87" width="9" style="423" bestFit="1" customWidth="1"/>
    <col min="88" max="88" width="10.21875" style="423" bestFit="1" customWidth="1"/>
    <col min="89" max="89" width="8.88671875" style="423"/>
    <col min="90" max="90" width="9" style="423" bestFit="1" customWidth="1"/>
    <col min="91" max="91" width="8.88671875" style="423"/>
    <col min="92" max="92" width="9" style="423" bestFit="1" customWidth="1"/>
    <col min="93" max="93" width="8.88671875" style="423"/>
    <col min="94" max="94" width="9" style="423" bestFit="1" customWidth="1"/>
    <col min="95" max="95" width="10.21875" style="423" bestFit="1" customWidth="1"/>
    <col min="96" max="96" width="8.88671875" style="423"/>
    <col min="97" max="97" width="9" style="423" bestFit="1" customWidth="1"/>
    <col min="98" max="98" width="8.88671875" style="423"/>
    <col min="99" max="99" width="9" style="423" bestFit="1" customWidth="1"/>
    <col min="100" max="100" width="8.88671875" style="423"/>
    <col min="101" max="101" width="9" style="423" bestFit="1" customWidth="1"/>
    <col min="102" max="102" width="10.21875" style="423" bestFit="1" customWidth="1"/>
    <col min="103" max="103" width="8.88671875" style="423"/>
    <col min="104" max="104" width="9" style="423" bestFit="1" customWidth="1"/>
    <col min="105" max="105" width="8.88671875" style="423"/>
    <col min="106" max="106" width="9" style="423" bestFit="1" customWidth="1"/>
    <col min="107" max="107" width="8.88671875" style="423"/>
    <col min="108" max="108" width="9" style="423" bestFit="1" customWidth="1"/>
    <col min="109" max="109" width="10.21875" style="423" bestFit="1" customWidth="1"/>
    <col min="110" max="110" width="8.88671875" style="423"/>
    <col min="111" max="111" width="9" style="423" bestFit="1" customWidth="1"/>
    <col min="112" max="112" width="8.88671875" style="423"/>
    <col min="113" max="113" width="9" style="423" bestFit="1" customWidth="1"/>
    <col min="114" max="114" width="8.88671875" style="423"/>
    <col min="115" max="115" width="9" style="423" bestFit="1" customWidth="1"/>
    <col min="116" max="116" width="10.21875" style="423" bestFit="1" customWidth="1"/>
    <col min="117" max="117" width="8.88671875" style="423"/>
    <col min="118" max="118" width="9" style="423" bestFit="1" customWidth="1"/>
    <col min="119" max="119" width="8.88671875" style="423"/>
    <col min="120" max="120" width="9" style="423" bestFit="1" customWidth="1"/>
    <col min="121" max="121" width="8.88671875" style="423"/>
    <col min="122" max="122" width="9" style="423" bestFit="1" customWidth="1"/>
    <col min="123" max="123" width="10.21875" style="423" bestFit="1" customWidth="1"/>
    <col min="124" max="256" width="8.88671875" style="423"/>
    <col min="257" max="261" width="9.77734375" style="423" customWidth="1"/>
    <col min="262" max="262" width="10.6640625" style="423" customWidth="1"/>
    <col min="263" max="265" width="9.77734375" style="423" customWidth="1"/>
    <col min="266" max="266" width="7.6640625" style="423" customWidth="1"/>
    <col min="267" max="267" width="10.109375" style="423" bestFit="1" customWidth="1"/>
    <col min="268" max="268" width="9.77734375" style="423" customWidth="1"/>
    <col min="269" max="269" width="10.77734375" style="423" bestFit="1" customWidth="1"/>
    <col min="270" max="270" width="12.21875" style="423" customWidth="1"/>
    <col min="271" max="271" width="13.21875" style="423" bestFit="1" customWidth="1"/>
    <col min="272" max="272" width="8.88671875" style="423"/>
    <col min="273" max="273" width="10.77734375" style="423" customWidth="1"/>
    <col min="274" max="274" width="9" style="423" customWidth="1"/>
    <col min="275" max="275" width="8.88671875" style="423"/>
    <col min="276" max="276" width="9.6640625" style="423" bestFit="1" customWidth="1"/>
    <col min="277" max="277" width="10.109375" style="423" customWidth="1"/>
    <col min="278" max="278" width="11" style="423" customWidth="1"/>
    <col min="279" max="279" width="9.5546875" style="423" customWidth="1"/>
    <col min="280" max="281" width="8.88671875" style="423"/>
    <col min="282" max="282" width="9.5546875" style="423" bestFit="1" customWidth="1"/>
    <col min="283" max="283" width="10.44140625" style="423" customWidth="1"/>
    <col min="284" max="284" width="8.88671875" style="423"/>
    <col min="285" max="285" width="9.6640625" style="423" customWidth="1"/>
    <col min="286" max="287" width="8.88671875" style="423"/>
    <col min="288" max="288" width="9.5546875" style="423" bestFit="1" customWidth="1"/>
    <col min="289" max="289" width="10.21875" style="423" customWidth="1"/>
    <col min="290" max="290" width="8.88671875" style="423"/>
    <col min="291" max="291" width="9.5546875" style="423" customWidth="1"/>
    <col min="292" max="292" width="9.77734375" style="423" customWidth="1"/>
    <col min="293" max="293" width="8.88671875" style="423"/>
    <col min="294" max="294" width="9.5546875" style="423" bestFit="1" customWidth="1"/>
    <col min="295" max="295" width="10.109375" style="423" customWidth="1"/>
    <col min="296" max="296" width="8.88671875" style="423"/>
    <col min="297" max="297" width="9.44140625" style="423" customWidth="1"/>
    <col min="298" max="298" width="8.88671875" style="423"/>
    <col min="299" max="299" width="9.77734375" style="423" customWidth="1"/>
    <col min="300" max="300" width="9.5546875" style="423" bestFit="1" customWidth="1"/>
    <col min="301" max="301" width="10.33203125" style="423" customWidth="1"/>
    <col min="302" max="302" width="8.88671875" style="423"/>
    <col min="303" max="303" width="9.44140625" style="423" customWidth="1"/>
    <col min="304" max="305" width="8.88671875" style="423"/>
    <col min="306" max="306" width="10.109375" style="423" customWidth="1"/>
    <col min="307" max="307" width="9.77734375" style="423" customWidth="1"/>
    <col min="308" max="308" width="8.88671875" style="423"/>
    <col min="309" max="309" width="9.5546875" style="423" customWidth="1"/>
    <col min="310" max="311" width="8.88671875" style="423"/>
    <col min="312" max="312" width="9.5546875" style="423" bestFit="1" customWidth="1"/>
    <col min="313" max="313" width="11" style="423" customWidth="1"/>
    <col min="314" max="314" width="8.88671875" style="423"/>
    <col min="315" max="315" width="9.5546875" style="423" customWidth="1"/>
    <col min="316" max="317" width="8.88671875" style="423"/>
    <col min="318" max="318" width="9.5546875" style="423" bestFit="1" customWidth="1"/>
    <col min="319" max="319" width="10.21875" style="423" customWidth="1"/>
    <col min="320" max="320" width="8.88671875" style="423"/>
    <col min="321" max="321" width="9.44140625" style="423" customWidth="1"/>
    <col min="322" max="512" width="8.88671875" style="423"/>
    <col min="513" max="517" width="9.77734375" style="423" customWidth="1"/>
    <col min="518" max="518" width="10.6640625" style="423" customWidth="1"/>
    <col min="519" max="521" width="9.77734375" style="423" customWidth="1"/>
    <col min="522" max="522" width="7.6640625" style="423" customWidth="1"/>
    <col min="523" max="523" width="10.109375" style="423" bestFit="1" customWidth="1"/>
    <col min="524" max="524" width="9.77734375" style="423" customWidth="1"/>
    <col min="525" max="525" width="10.77734375" style="423" bestFit="1" customWidth="1"/>
    <col min="526" max="526" width="12.21875" style="423" customWidth="1"/>
    <col min="527" max="527" width="13.21875" style="423" bestFit="1" customWidth="1"/>
    <col min="528" max="528" width="8.88671875" style="423"/>
    <col min="529" max="529" width="10.77734375" style="423" customWidth="1"/>
    <col min="530" max="530" width="9" style="423" customWidth="1"/>
    <col min="531" max="531" width="8.88671875" style="423"/>
    <col min="532" max="532" width="9.6640625" style="423" bestFit="1" customWidth="1"/>
    <col min="533" max="533" width="10.109375" style="423" customWidth="1"/>
    <col min="534" max="534" width="11" style="423" customWidth="1"/>
    <col min="535" max="535" width="9.5546875" style="423" customWidth="1"/>
    <col min="536" max="537" width="8.88671875" style="423"/>
    <col min="538" max="538" width="9.5546875" style="423" bestFit="1" customWidth="1"/>
    <col min="539" max="539" width="10.44140625" style="423" customWidth="1"/>
    <col min="540" max="540" width="8.88671875" style="423"/>
    <col min="541" max="541" width="9.6640625" style="423" customWidth="1"/>
    <col min="542" max="543" width="8.88671875" style="423"/>
    <col min="544" max="544" width="9.5546875" style="423" bestFit="1" customWidth="1"/>
    <col min="545" max="545" width="10.21875" style="423" customWidth="1"/>
    <col min="546" max="546" width="8.88671875" style="423"/>
    <col min="547" max="547" width="9.5546875" style="423" customWidth="1"/>
    <col min="548" max="548" width="9.77734375" style="423" customWidth="1"/>
    <col min="549" max="549" width="8.88671875" style="423"/>
    <col min="550" max="550" width="9.5546875" style="423" bestFit="1" customWidth="1"/>
    <col min="551" max="551" width="10.109375" style="423" customWidth="1"/>
    <col min="552" max="552" width="8.88671875" style="423"/>
    <col min="553" max="553" width="9.44140625" style="423" customWidth="1"/>
    <col min="554" max="554" width="8.88671875" style="423"/>
    <col min="555" max="555" width="9.77734375" style="423" customWidth="1"/>
    <col min="556" max="556" width="9.5546875" style="423" bestFit="1" customWidth="1"/>
    <col min="557" max="557" width="10.33203125" style="423" customWidth="1"/>
    <col min="558" max="558" width="8.88671875" style="423"/>
    <col min="559" max="559" width="9.44140625" style="423" customWidth="1"/>
    <col min="560" max="561" width="8.88671875" style="423"/>
    <col min="562" max="562" width="10.109375" style="423" customWidth="1"/>
    <col min="563" max="563" width="9.77734375" style="423" customWidth="1"/>
    <col min="564" max="564" width="8.88671875" style="423"/>
    <col min="565" max="565" width="9.5546875" style="423" customWidth="1"/>
    <col min="566" max="567" width="8.88671875" style="423"/>
    <col min="568" max="568" width="9.5546875" style="423" bestFit="1" customWidth="1"/>
    <col min="569" max="569" width="11" style="423" customWidth="1"/>
    <col min="570" max="570" width="8.88671875" style="423"/>
    <col min="571" max="571" width="9.5546875" style="423" customWidth="1"/>
    <col min="572" max="573" width="8.88671875" style="423"/>
    <col min="574" max="574" width="9.5546875" style="423" bestFit="1" customWidth="1"/>
    <col min="575" max="575" width="10.21875" style="423" customWidth="1"/>
    <col min="576" max="576" width="8.88671875" style="423"/>
    <col min="577" max="577" width="9.44140625" style="423" customWidth="1"/>
    <col min="578" max="768" width="8.88671875" style="423"/>
    <col min="769" max="773" width="9.77734375" style="423" customWidth="1"/>
    <col min="774" max="774" width="10.6640625" style="423" customWidth="1"/>
    <col min="775" max="777" width="9.77734375" style="423" customWidth="1"/>
    <col min="778" max="778" width="7.6640625" style="423" customWidth="1"/>
    <col min="779" max="779" width="10.109375" style="423" bestFit="1" customWidth="1"/>
    <col min="780" max="780" width="9.77734375" style="423" customWidth="1"/>
    <col min="781" max="781" width="10.77734375" style="423" bestFit="1" customWidth="1"/>
    <col min="782" max="782" width="12.21875" style="423" customWidth="1"/>
    <col min="783" max="783" width="13.21875" style="423" bestFit="1" customWidth="1"/>
    <col min="784" max="784" width="8.88671875" style="423"/>
    <col min="785" max="785" width="10.77734375" style="423" customWidth="1"/>
    <col min="786" max="786" width="9" style="423" customWidth="1"/>
    <col min="787" max="787" width="8.88671875" style="423"/>
    <col min="788" max="788" width="9.6640625" style="423" bestFit="1" customWidth="1"/>
    <col min="789" max="789" width="10.109375" style="423" customWidth="1"/>
    <col min="790" max="790" width="11" style="423" customWidth="1"/>
    <col min="791" max="791" width="9.5546875" style="423" customWidth="1"/>
    <col min="792" max="793" width="8.88671875" style="423"/>
    <col min="794" max="794" width="9.5546875" style="423" bestFit="1" customWidth="1"/>
    <col min="795" max="795" width="10.44140625" style="423" customWidth="1"/>
    <col min="796" max="796" width="8.88671875" style="423"/>
    <col min="797" max="797" width="9.6640625" style="423" customWidth="1"/>
    <col min="798" max="799" width="8.88671875" style="423"/>
    <col min="800" max="800" width="9.5546875" style="423" bestFit="1" customWidth="1"/>
    <col min="801" max="801" width="10.21875" style="423" customWidth="1"/>
    <col min="802" max="802" width="8.88671875" style="423"/>
    <col min="803" max="803" width="9.5546875" style="423" customWidth="1"/>
    <col min="804" max="804" width="9.77734375" style="423" customWidth="1"/>
    <col min="805" max="805" width="8.88671875" style="423"/>
    <col min="806" max="806" width="9.5546875" style="423" bestFit="1" customWidth="1"/>
    <col min="807" max="807" width="10.109375" style="423" customWidth="1"/>
    <col min="808" max="808" width="8.88671875" style="423"/>
    <col min="809" max="809" width="9.44140625" style="423" customWidth="1"/>
    <col min="810" max="810" width="8.88671875" style="423"/>
    <col min="811" max="811" width="9.77734375" style="423" customWidth="1"/>
    <col min="812" max="812" width="9.5546875" style="423" bestFit="1" customWidth="1"/>
    <col min="813" max="813" width="10.33203125" style="423" customWidth="1"/>
    <col min="814" max="814" width="8.88671875" style="423"/>
    <col min="815" max="815" width="9.44140625" style="423" customWidth="1"/>
    <col min="816" max="817" width="8.88671875" style="423"/>
    <col min="818" max="818" width="10.109375" style="423" customWidth="1"/>
    <col min="819" max="819" width="9.77734375" style="423" customWidth="1"/>
    <col min="820" max="820" width="8.88671875" style="423"/>
    <col min="821" max="821" width="9.5546875" style="423" customWidth="1"/>
    <col min="822" max="823" width="8.88671875" style="423"/>
    <col min="824" max="824" width="9.5546875" style="423" bestFit="1" customWidth="1"/>
    <col min="825" max="825" width="11" style="423" customWidth="1"/>
    <col min="826" max="826" width="8.88671875" style="423"/>
    <col min="827" max="827" width="9.5546875" style="423" customWidth="1"/>
    <col min="828" max="829" width="8.88671875" style="423"/>
    <col min="830" max="830" width="9.5546875" style="423" bestFit="1" customWidth="1"/>
    <col min="831" max="831" width="10.21875" style="423" customWidth="1"/>
    <col min="832" max="832" width="8.88671875" style="423"/>
    <col min="833" max="833" width="9.44140625" style="423" customWidth="1"/>
    <col min="834" max="1024" width="8.88671875" style="423"/>
    <col min="1025" max="1029" width="9.77734375" style="423" customWidth="1"/>
    <col min="1030" max="1030" width="10.6640625" style="423" customWidth="1"/>
    <col min="1031" max="1033" width="9.77734375" style="423" customWidth="1"/>
    <col min="1034" max="1034" width="7.6640625" style="423" customWidth="1"/>
    <col min="1035" max="1035" width="10.109375" style="423" bestFit="1" customWidth="1"/>
    <col min="1036" max="1036" width="9.77734375" style="423" customWidth="1"/>
    <col min="1037" max="1037" width="10.77734375" style="423" bestFit="1" customWidth="1"/>
    <col min="1038" max="1038" width="12.21875" style="423" customWidth="1"/>
    <col min="1039" max="1039" width="13.21875" style="423" bestFit="1" customWidth="1"/>
    <col min="1040" max="1040" width="8.88671875" style="423"/>
    <col min="1041" max="1041" width="10.77734375" style="423" customWidth="1"/>
    <col min="1042" max="1042" width="9" style="423" customWidth="1"/>
    <col min="1043" max="1043" width="8.88671875" style="423"/>
    <col min="1044" max="1044" width="9.6640625" style="423" bestFit="1" customWidth="1"/>
    <col min="1045" max="1045" width="10.109375" style="423" customWidth="1"/>
    <col min="1046" max="1046" width="11" style="423" customWidth="1"/>
    <col min="1047" max="1047" width="9.5546875" style="423" customWidth="1"/>
    <col min="1048" max="1049" width="8.88671875" style="423"/>
    <col min="1050" max="1050" width="9.5546875" style="423" bestFit="1" customWidth="1"/>
    <col min="1051" max="1051" width="10.44140625" style="423" customWidth="1"/>
    <col min="1052" max="1052" width="8.88671875" style="423"/>
    <col min="1053" max="1053" width="9.6640625" style="423" customWidth="1"/>
    <col min="1054" max="1055" width="8.88671875" style="423"/>
    <col min="1056" max="1056" width="9.5546875" style="423" bestFit="1" customWidth="1"/>
    <col min="1057" max="1057" width="10.21875" style="423" customWidth="1"/>
    <col min="1058" max="1058" width="8.88671875" style="423"/>
    <col min="1059" max="1059" width="9.5546875" style="423" customWidth="1"/>
    <col min="1060" max="1060" width="9.77734375" style="423" customWidth="1"/>
    <col min="1061" max="1061" width="8.88671875" style="423"/>
    <col min="1062" max="1062" width="9.5546875" style="423" bestFit="1" customWidth="1"/>
    <col min="1063" max="1063" width="10.109375" style="423" customWidth="1"/>
    <col min="1064" max="1064" width="8.88671875" style="423"/>
    <col min="1065" max="1065" width="9.44140625" style="423" customWidth="1"/>
    <col min="1066" max="1066" width="8.88671875" style="423"/>
    <col min="1067" max="1067" width="9.77734375" style="423" customWidth="1"/>
    <col min="1068" max="1068" width="9.5546875" style="423" bestFit="1" customWidth="1"/>
    <col min="1069" max="1069" width="10.33203125" style="423" customWidth="1"/>
    <col min="1070" max="1070" width="8.88671875" style="423"/>
    <col min="1071" max="1071" width="9.44140625" style="423" customWidth="1"/>
    <col min="1072" max="1073" width="8.88671875" style="423"/>
    <col min="1074" max="1074" width="10.109375" style="423" customWidth="1"/>
    <col min="1075" max="1075" width="9.77734375" style="423" customWidth="1"/>
    <col min="1076" max="1076" width="8.88671875" style="423"/>
    <col min="1077" max="1077" width="9.5546875" style="423" customWidth="1"/>
    <col min="1078" max="1079" width="8.88671875" style="423"/>
    <col min="1080" max="1080" width="9.5546875" style="423" bestFit="1" customWidth="1"/>
    <col min="1081" max="1081" width="11" style="423" customWidth="1"/>
    <col min="1082" max="1082" width="8.88671875" style="423"/>
    <col min="1083" max="1083" width="9.5546875" style="423" customWidth="1"/>
    <col min="1084" max="1085" width="8.88671875" style="423"/>
    <col min="1086" max="1086" width="9.5546875" style="423" bestFit="1" customWidth="1"/>
    <col min="1087" max="1087" width="10.21875" style="423" customWidth="1"/>
    <col min="1088" max="1088" width="8.88671875" style="423"/>
    <col min="1089" max="1089" width="9.44140625" style="423" customWidth="1"/>
    <col min="1090" max="1280" width="8.88671875" style="423"/>
    <col min="1281" max="1285" width="9.77734375" style="423" customWidth="1"/>
    <col min="1286" max="1286" width="10.6640625" style="423" customWidth="1"/>
    <col min="1287" max="1289" width="9.77734375" style="423" customWidth="1"/>
    <col min="1290" max="1290" width="7.6640625" style="423" customWidth="1"/>
    <col min="1291" max="1291" width="10.109375" style="423" bestFit="1" customWidth="1"/>
    <col min="1292" max="1292" width="9.77734375" style="423" customWidth="1"/>
    <col min="1293" max="1293" width="10.77734375" style="423" bestFit="1" customWidth="1"/>
    <col min="1294" max="1294" width="12.21875" style="423" customWidth="1"/>
    <col min="1295" max="1295" width="13.21875" style="423" bestFit="1" customWidth="1"/>
    <col min="1296" max="1296" width="8.88671875" style="423"/>
    <col min="1297" max="1297" width="10.77734375" style="423" customWidth="1"/>
    <col min="1298" max="1298" width="9" style="423" customWidth="1"/>
    <col min="1299" max="1299" width="8.88671875" style="423"/>
    <col min="1300" max="1300" width="9.6640625" style="423" bestFit="1" customWidth="1"/>
    <col min="1301" max="1301" width="10.109375" style="423" customWidth="1"/>
    <col min="1302" max="1302" width="11" style="423" customWidth="1"/>
    <col min="1303" max="1303" width="9.5546875" style="423" customWidth="1"/>
    <col min="1304" max="1305" width="8.88671875" style="423"/>
    <col min="1306" max="1306" width="9.5546875" style="423" bestFit="1" customWidth="1"/>
    <col min="1307" max="1307" width="10.44140625" style="423" customWidth="1"/>
    <col min="1308" max="1308" width="8.88671875" style="423"/>
    <col min="1309" max="1309" width="9.6640625" style="423" customWidth="1"/>
    <col min="1310" max="1311" width="8.88671875" style="423"/>
    <col min="1312" max="1312" width="9.5546875" style="423" bestFit="1" customWidth="1"/>
    <col min="1313" max="1313" width="10.21875" style="423" customWidth="1"/>
    <col min="1314" max="1314" width="8.88671875" style="423"/>
    <col min="1315" max="1315" width="9.5546875" style="423" customWidth="1"/>
    <col min="1316" max="1316" width="9.77734375" style="423" customWidth="1"/>
    <col min="1317" max="1317" width="8.88671875" style="423"/>
    <col min="1318" max="1318" width="9.5546875" style="423" bestFit="1" customWidth="1"/>
    <col min="1319" max="1319" width="10.109375" style="423" customWidth="1"/>
    <col min="1320" max="1320" width="8.88671875" style="423"/>
    <col min="1321" max="1321" width="9.44140625" style="423" customWidth="1"/>
    <col min="1322" max="1322" width="8.88671875" style="423"/>
    <col min="1323" max="1323" width="9.77734375" style="423" customWidth="1"/>
    <col min="1324" max="1324" width="9.5546875" style="423" bestFit="1" customWidth="1"/>
    <col min="1325" max="1325" width="10.33203125" style="423" customWidth="1"/>
    <col min="1326" max="1326" width="8.88671875" style="423"/>
    <col min="1327" max="1327" width="9.44140625" style="423" customWidth="1"/>
    <col min="1328" max="1329" width="8.88671875" style="423"/>
    <col min="1330" max="1330" width="10.109375" style="423" customWidth="1"/>
    <col min="1331" max="1331" width="9.77734375" style="423" customWidth="1"/>
    <col min="1332" max="1332" width="8.88671875" style="423"/>
    <col min="1333" max="1333" width="9.5546875" style="423" customWidth="1"/>
    <col min="1334" max="1335" width="8.88671875" style="423"/>
    <col min="1336" max="1336" width="9.5546875" style="423" bestFit="1" customWidth="1"/>
    <col min="1337" max="1337" width="11" style="423" customWidth="1"/>
    <col min="1338" max="1338" width="8.88671875" style="423"/>
    <col min="1339" max="1339" width="9.5546875" style="423" customWidth="1"/>
    <col min="1340" max="1341" width="8.88671875" style="423"/>
    <col min="1342" max="1342" width="9.5546875" style="423" bestFit="1" customWidth="1"/>
    <col min="1343" max="1343" width="10.21875" style="423" customWidth="1"/>
    <col min="1344" max="1344" width="8.88671875" style="423"/>
    <col min="1345" max="1345" width="9.44140625" style="423" customWidth="1"/>
    <col min="1346" max="1536" width="8.88671875" style="423"/>
    <col min="1537" max="1541" width="9.77734375" style="423" customWidth="1"/>
    <col min="1542" max="1542" width="10.6640625" style="423" customWidth="1"/>
    <col min="1543" max="1545" width="9.77734375" style="423" customWidth="1"/>
    <col min="1546" max="1546" width="7.6640625" style="423" customWidth="1"/>
    <col min="1547" max="1547" width="10.109375" style="423" bestFit="1" customWidth="1"/>
    <col min="1548" max="1548" width="9.77734375" style="423" customWidth="1"/>
    <col min="1549" max="1549" width="10.77734375" style="423" bestFit="1" customWidth="1"/>
    <col min="1550" max="1550" width="12.21875" style="423" customWidth="1"/>
    <col min="1551" max="1551" width="13.21875" style="423" bestFit="1" customWidth="1"/>
    <col min="1552" max="1552" width="8.88671875" style="423"/>
    <col min="1553" max="1553" width="10.77734375" style="423" customWidth="1"/>
    <col min="1554" max="1554" width="9" style="423" customWidth="1"/>
    <col min="1555" max="1555" width="8.88671875" style="423"/>
    <col min="1556" max="1556" width="9.6640625" style="423" bestFit="1" customWidth="1"/>
    <col min="1557" max="1557" width="10.109375" style="423" customWidth="1"/>
    <col min="1558" max="1558" width="11" style="423" customWidth="1"/>
    <col min="1559" max="1559" width="9.5546875" style="423" customWidth="1"/>
    <col min="1560" max="1561" width="8.88671875" style="423"/>
    <col min="1562" max="1562" width="9.5546875" style="423" bestFit="1" customWidth="1"/>
    <col min="1563" max="1563" width="10.44140625" style="423" customWidth="1"/>
    <col min="1564" max="1564" width="8.88671875" style="423"/>
    <col min="1565" max="1565" width="9.6640625" style="423" customWidth="1"/>
    <col min="1566" max="1567" width="8.88671875" style="423"/>
    <col min="1568" max="1568" width="9.5546875" style="423" bestFit="1" customWidth="1"/>
    <col min="1569" max="1569" width="10.21875" style="423" customWidth="1"/>
    <col min="1570" max="1570" width="8.88671875" style="423"/>
    <col min="1571" max="1571" width="9.5546875" style="423" customWidth="1"/>
    <col min="1572" max="1572" width="9.77734375" style="423" customWidth="1"/>
    <col min="1573" max="1573" width="8.88671875" style="423"/>
    <col min="1574" max="1574" width="9.5546875" style="423" bestFit="1" customWidth="1"/>
    <col min="1575" max="1575" width="10.109375" style="423" customWidth="1"/>
    <col min="1576" max="1576" width="8.88671875" style="423"/>
    <col min="1577" max="1577" width="9.44140625" style="423" customWidth="1"/>
    <col min="1578" max="1578" width="8.88671875" style="423"/>
    <col min="1579" max="1579" width="9.77734375" style="423" customWidth="1"/>
    <col min="1580" max="1580" width="9.5546875" style="423" bestFit="1" customWidth="1"/>
    <col min="1581" max="1581" width="10.33203125" style="423" customWidth="1"/>
    <col min="1582" max="1582" width="8.88671875" style="423"/>
    <col min="1583" max="1583" width="9.44140625" style="423" customWidth="1"/>
    <col min="1584" max="1585" width="8.88671875" style="423"/>
    <col min="1586" max="1586" width="10.109375" style="423" customWidth="1"/>
    <col min="1587" max="1587" width="9.77734375" style="423" customWidth="1"/>
    <col min="1588" max="1588" width="8.88671875" style="423"/>
    <col min="1589" max="1589" width="9.5546875" style="423" customWidth="1"/>
    <col min="1590" max="1591" width="8.88671875" style="423"/>
    <col min="1592" max="1592" width="9.5546875" style="423" bestFit="1" customWidth="1"/>
    <col min="1593" max="1593" width="11" style="423" customWidth="1"/>
    <col min="1594" max="1594" width="8.88671875" style="423"/>
    <col min="1595" max="1595" width="9.5546875" style="423" customWidth="1"/>
    <col min="1596" max="1597" width="8.88671875" style="423"/>
    <col min="1598" max="1598" width="9.5546875" style="423" bestFit="1" customWidth="1"/>
    <col min="1599" max="1599" width="10.21875" style="423" customWidth="1"/>
    <col min="1600" max="1600" width="8.88671875" style="423"/>
    <col min="1601" max="1601" width="9.44140625" style="423" customWidth="1"/>
    <col min="1602" max="1792" width="8.88671875" style="423"/>
    <col min="1793" max="1797" width="9.77734375" style="423" customWidth="1"/>
    <col min="1798" max="1798" width="10.6640625" style="423" customWidth="1"/>
    <col min="1799" max="1801" width="9.77734375" style="423" customWidth="1"/>
    <col min="1802" max="1802" width="7.6640625" style="423" customWidth="1"/>
    <col min="1803" max="1803" width="10.109375" style="423" bestFit="1" customWidth="1"/>
    <col min="1804" max="1804" width="9.77734375" style="423" customWidth="1"/>
    <col min="1805" max="1805" width="10.77734375" style="423" bestFit="1" customWidth="1"/>
    <col min="1806" max="1806" width="12.21875" style="423" customWidth="1"/>
    <col min="1807" max="1807" width="13.21875" style="423" bestFit="1" customWidth="1"/>
    <col min="1808" max="1808" width="8.88671875" style="423"/>
    <col min="1809" max="1809" width="10.77734375" style="423" customWidth="1"/>
    <col min="1810" max="1810" width="9" style="423" customWidth="1"/>
    <col min="1811" max="1811" width="8.88671875" style="423"/>
    <col min="1812" max="1812" width="9.6640625" style="423" bestFit="1" customWidth="1"/>
    <col min="1813" max="1813" width="10.109375" style="423" customWidth="1"/>
    <col min="1814" max="1814" width="11" style="423" customWidth="1"/>
    <col min="1815" max="1815" width="9.5546875" style="423" customWidth="1"/>
    <col min="1816" max="1817" width="8.88671875" style="423"/>
    <col min="1818" max="1818" width="9.5546875" style="423" bestFit="1" customWidth="1"/>
    <col min="1819" max="1819" width="10.44140625" style="423" customWidth="1"/>
    <col min="1820" max="1820" width="8.88671875" style="423"/>
    <col min="1821" max="1821" width="9.6640625" style="423" customWidth="1"/>
    <col min="1822" max="1823" width="8.88671875" style="423"/>
    <col min="1824" max="1824" width="9.5546875" style="423" bestFit="1" customWidth="1"/>
    <col min="1825" max="1825" width="10.21875" style="423" customWidth="1"/>
    <col min="1826" max="1826" width="8.88671875" style="423"/>
    <col min="1827" max="1827" width="9.5546875" style="423" customWidth="1"/>
    <col min="1828" max="1828" width="9.77734375" style="423" customWidth="1"/>
    <col min="1829" max="1829" width="8.88671875" style="423"/>
    <col min="1830" max="1830" width="9.5546875" style="423" bestFit="1" customWidth="1"/>
    <col min="1831" max="1831" width="10.109375" style="423" customWidth="1"/>
    <col min="1832" max="1832" width="8.88671875" style="423"/>
    <col min="1833" max="1833" width="9.44140625" style="423" customWidth="1"/>
    <col min="1834" max="1834" width="8.88671875" style="423"/>
    <col min="1835" max="1835" width="9.77734375" style="423" customWidth="1"/>
    <col min="1836" max="1836" width="9.5546875" style="423" bestFit="1" customWidth="1"/>
    <col min="1837" max="1837" width="10.33203125" style="423" customWidth="1"/>
    <col min="1838" max="1838" width="8.88671875" style="423"/>
    <col min="1839" max="1839" width="9.44140625" style="423" customWidth="1"/>
    <col min="1840" max="1841" width="8.88671875" style="423"/>
    <col min="1842" max="1842" width="10.109375" style="423" customWidth="1"/>
    <col min="1843" max="1843" width="9.77734375" style="423" customWidth="1"/>
    <col min="1844" max="1844" width="8.88671875" style="423"/>
    <col min="1845" max="1845" width="9.5546875" style="423" customWidth="1"/>
    <col min="1846" max="1847" width="8.88671875" style="423"/>
    <col min="1848" max="1848" width="9.5546875" style="423" bestFit="1" customWidth="1"/>
    <col min="1849" max="1849" width="11" style="423" customWidth="1"/>
    <col min="1850" max="1850" width="8.88671875" style="423"/>
    <col min="1851" max="1851" width="9.5546875" style="423" customWidth="1"/>
    <col min="1852" max="1853" width="8.88671875" style="423"/>
    <col min="1854" max="1854" width="9.5546875" style="423" bestFit="1" customWidth="1"/>
    <col min="1855" max="1855" width="10.21875" style="423" customWidth="1"/>
    <col min="1856" max="1856" width="8.88671875" style="423"/>
    <col min="1857" max="1857" width="9.44140625" style="423" customWidth="1"/>
    <col min="1858" max="2048" width="8.88671875" style="423"/>
    <col min="2049" max="2053" width="9.77734375" style="423" customWidth="1"/>
    <col min="2054" max="2054" width="10.6640625" style="423" customWidth="1"/>
    <col min="2055" max="2057" width="9.77734375" style="423" customWidth="1"/>
    <col min="2058" max="2058" width="7.6640625" style="423" customWidth="1"/>
    <col min="2059" max="2059" width="10.109375" style="423" bestFit="1" customWidth="1"/>
    <col min="2060" max="2060" width="9.77734375" style="423" customWidth="1"/>
    <col min="2061" max="2061" width="10.77734375" style="423" bestFit="1" customWidth="1"/>
    <col min="2062" max="2062" width="12.21875" style="423" customWidth="1"/>
    <col min="2063" max="2063" width="13.21875" style="423" bestFit="1" customWidth="1"/>
    <col min="2064" max="2064" width="8.88671875" style="423"/>
    <col min="2065" max="2065" width="10.77734375" style="423" customWidth="1"/>
    <col min="2066" max="2066" width="9" style="423" customWidth="1"/>
    <col min="2067" max="2067" width="8.88671875" style="423"/>
    <col min="2068" max="2068" width="9.6640625" style="423" bestFit="1" customWidth="1"/>
    <col min="2069" max="2069" width="10.109375" style="423" customWidth="1"/>
    <col min="2070" max="2070" width="11" style="423" customWidth="1"/>
    <col min="2071" max="2071" width="9.5546875" style="423" customWidth="1"/>
    <col min="2072" max="2073" width="8.88671875" style="423"/>
    <col min="2074" max="2074" width="9.5546875" style="423" bestFit="1" customWidth="1"/>
    <col min="2075" max="2075" width="10.44140625" style="423" customWidth="1"/>
    <col min="2076" max="2076" width="8.88671875" style="423"/>
    <col min="2077" max="2077" width="9.6640625" style="423" customWidth="1"/>
    <col min="2078" max="2079" width="8.88671875" style="423"/>
    <col min="2080" max="2080" width="9.5546875" style="423" bestFit="1" customWidth="1"/>
    <col min="2081" max="2081" width="10.21875" style="423" customWidth="1"/>
    <col min="2082" max="2082" width="8.88671875" style="423"/>
    <col min="2083" max="2083" width="9.5546875" style="423" customWidth="1"/>
    <col min="2084" max="2084" width="9.77734375" style="423" customWidth="1"/>
    <col min="2085" max="2085" width="8.88671875" style="423"/>
    <col min="2086" max="2086" width="9.5546875" style="423" bestFit="1" customWidth="1"/>
    <col min="2087" max="2087" width="10.109375" style="423" customWidth="1"/>
    <col min="2088" max="2088" width="8.88671875" style="423"/>
    <col min="2089" max="2089" width="9.44140625" style="423" customWidth="1"/>
    <col min="2090" max="2090" width="8.88671875" style="423"/>
    <col min="2091" max="2091" width="9.77734375" style="423" customWidth="1"/>
    <col min="2092" max="2092" width="9.5546875" style="423" bestFit="1" customWidth="1"/>
    <col min="2093" max="2093" width="10.33203125" style="423" customWidth="1"/>
    <col min="2094" max="2094" width="8.88671875" style="423"/>
    <col min="2095" max="2095" width="9.44140625" style="423" customWidth="1"/>
    <col min="2096" max="2097" width="8.88671875" style="423"/>
    <col min="2098" max="2098" width="10.109375" style="423" customWidth="1"/>
    <col min="2099" max="2099" width="9.77734375" style="423" customWidth="1"/>
    <col min="2100" max="2100" width="8.88671875" style="423"/>
    <col min="2101" max="2101" width="9.5546875" style="423" customWidth="1"/>
    <col min="2102" max="2103" width="8.88671875" style="423"/>
    <col min="2104" max="2104" width="9.5546875" style="423" bestFit="1" customWidth="1"/>
    <col min="2105" max="2105" width="11" style="423" customWidth="1"/>
    <col min="2106" max="2106" width="8.88671875" style="423"/>
    <col min="2107" max="2107" width="9.5546875" style="423" customWidth="1"/>
    <col min="2108" max="2109" width="8.88671875" style="423"/>
    <col min="2110" max="2110" width="9.5546875" style="423" bestFit="1" customWidth="1"/>
    <col min="2111" max="2111" width="10.21875" style="423" customWidth="1"/>
    <col min="2112" max="2112" width="8.88671875" style="423"/>
    <col min="2113" max="2113" width="9.44140625" style="423" customWidth="1"/>
    <col min="2114" max="2304" width="8.88671875" style="423"/>
    <col min="2305" max="2309" width="9.77734375" style="423" customWidth="1"/>
    <col min="2310" max="2310" width="10.6640625" style="423" customWidth="1"/>
    <col min="2311" max="2313" width="9.77734375" style="423" customWidth="1"/>
    <col min="2314" max="2314" width="7.6640625" style="423" customWidth="1"/>
    <col min="2315" max="2315" width="10.109375" style="423" bestFit="1" customWidth="1"/>
    <col min="2316" max="2316" width="9.77734375" style="423" customWidth="1"/>
    <col min="2317" max="2317" width="10.77734375" style="423" bestFit="1" customWidth="1"/>
    <col min="2318" max="2318" width="12.21875" style="423" customWidth="1"/>
    <col min="2319" max="2319" width="13.21875" style="423" bestFit="1" customWidth="1"/>
    <col min="2320" max="2320" width="8.88671875" style="423"/>
    <col min="2321" max="2321" width="10.77734375" style="423" customWidth="1"/>
    <col min="2322" max="2322" width="9" style="423" customWidth="1"/>
    <col min="2323" max="2323" width="8.88671875" style="423"/>
    <col min="2324" max="2324" width="9.6640625" style="423" bestFit="1" customWidth="1"/>
    <col min="2325" max="2325" width="10.109375" style="423" customWidth="1"/>
    <col min="2326" max="2326" width="11" style="423" customWidth="1"/>
    <col min="2327" max="2327" width="9.5546875" style="423" customWidth="1"/>
    <col min="2328" max="2329" width="8.88671875" style="423"/>
    <col min="2330" max="2330" width="9.5546875" style="423" bestFit="1" customWidth="1"/>
    <col min="2331" max="2331" width="10.44140625" style="423" customWidth="1"/>
    <col min="2332" max="2332" width="8.88671875" style="423"/>
    <col min="2333" max="2333" width="9.6640625" style="423" customWidth="1"/>
    <col min="2334" max="2335" width="8.88671875" style="423"/>
    <col min="2336" max="2336" width="9.5546875" style="423" bestFit="1" customWidth="1"/>
    <col min="2337" max="2337" width="10.21875" style="423" customWidth="1"/>
    <col min="2338" max="2338" width="8.88671875" style="423"/>
    <col min="2339" max="2339" width="9.5546875" style="423" customWidth="1"/>
    <col min="2340" max="2340" width="9.77734375" style="423" customWidth="1"/>
    <col min="2341" max="2341" width="8.88671875" style="423"/>
    <col min="2342" max="2342" width="9.5546875" style="423" bestFit="1" customWidth="1"/>
    <col min="2343" max="2343" width="10.109375" style="423" customWidth="1"/>
    <col min="2344" max="2344" width="8.88671875" style="423"/>
    <col min="2345" max="2345" width="9.44140625" style="423" customWidth="1"/>
    <col min="2346" max="2346" width="8.88671875" style="423"/>
    <col min="2347" max="2347" width="9.77734375" style="423" customWidth="1"/>
    <col min="2348" max="2348" width="9.5546875" style="423" bestFit="1" customWidth="1"/>
    <col min="2349" max="2349" width="10.33203125" style="423" customWidth="1"/>
    <col min="2350" max="2350" width="8.88671875" style="423"/>
    <col min="2351" max="2351" width="9.44140625" style="423" customWidth="1"/>
    <col min="2352" max="2353" width="8.88671875" style="423"/>
    <col min="2354" max="2354" width="10.109375" style="423" customWidth="1"/>
    <col min="2355" max="2355" width="9.77734375" style="423" customWidth="1"/>
    <col min="2356" max="2356" width="8.88671875" style="423"/>
    <col min="2357" max="2357" width="9.5546875" style="423" customWidth="1"/>
    <col min="2358" max="2359" width="8.88671875" style="423"/>
    <col min="2360" max="2360" width="9.5546875" style="423" bestFit="1" customWidth="1"/>
    <col min="2361" max="2361" width="11" style="423" customWidth="1"/>
    <col min="2362" max="2362" width="8.88671875" style="423"/>
    <col min="2363" max="2363" width="9.5546875" style="423" customWidth="1"/>
    <col min="2364" max="2365" width="8.88671875" style="423"/>
    <col min="2366" max="2366" width="9.5546875" style="423" bestFit="1" customWidth="1"/>
    <col min="2367" max="2367" width="10.21875" style="423" customWidth="1"/>
    <col min="2368" max="2368" width="8.88671875" style="423"/>
    <col min="2369" max="2369" width="9.44140625" style="423" customWidth="1"/>
    <col min="2370" max="2560" width="8.88671875" style="423"/>
    <col min="2561" max="2565" width="9.77734375" style="423" customWidth="1"/>
    <col min="2566" max="2566" width="10.6640625" style="423" customWidth="1"/>
    <col min="2567" max="2569" width="9.77734375" style="423" customWidth="1"/>
    <col min="2570" max="2570" width="7.6640625" style="423" customWidth="1"/>
    <col min="2571" max="2571" width="10.109375" style="423" bestFit="1" customWidth="1"/>
    <col min="2572" max="2572" width="9.77734375" style="423" customWidth="1"/>
    <col min="2573" max="2573" width="10.77734375" style="423" bestFit="1" customWidth="1"/>
    <col min="2574" max="2574" width="12.21875" style="423" customWidth="1"/>
    <col min="2575" max="2575" width="13.21875" style="423" bestFit="1" customWidth="1"/>
    <col min="2576" max="2576" width="8.88671875" style="423"/>
    <col min="2577" max="2577" width="10.77734375" style="423" customWidth="1"/>
    <col min="2578" max="2578" width="9" style="423" customWidth="1"/>
    <col min="2579" max="2579" width="8.88671875" style="423"/>
    <col min="2580" max="2580" width="9.6640625" style="423" bestFit="1" customWidth="1"/>
    <col min="2581" max="2581" width="10.109375" style="423" customWidth="1"/>
    <col min="2582" max="2582" width="11" style="423" customWidth="1"/>
    <col min="2583" max="2583" width="9.5546875" style="423" customWidth="1"/>
    <col min="2584" max="2585" width="8.88671875" style="423"/>
    <col min="2586" max="2586" width="9.5546875" style="423" bestFit="1" customWidth="1"/>
    <col min="2587" max="2587" width="10.44140625" style="423" customWidth="1"/>
    <col min="2588" max="2588" width="8.88671875" style="423"/>
    <col min="2589" max="2589" width="9.6640625" style="423" customWidth="1"/>
    <col min="2590" max="2591" width="8.88671875" style="423"/>
    <col min="2592" max="2592" width="9.5546875" style="423" bestFit="1" customWidth="1"/>
    <col min="2593" max="2593" width="10.21875" style="423" customWidth="1"/>
    <col min="2594" max="2594" width="8.88671875" style="423"/>
    <col min="2595" max="2595" width="9.5546875" style="423" customWidth="1"/>
    <col min="2596" max="2596" width="9.77734375" style="423" customWidth="1"/>
    <col min="2597" max="2597" width="8.88671875" style="423"/>
    <col min="2598" max="2598" width="9.5546875" style="423" bestFit="1" customWidth="1"/>
    <col min="2599" max="2599" width="10.109375" style="423" customWidth="1"/>
    <col min="2600" max="2600" width="8.88671875" style="423"/>
    <col min="2601" max="2601" width="9.44140625" style="423" customWidth="1"/>
    <col min="2602" max="2602" width="8.88671875" style="423"/>
    <col min="2603" max="2603" width="9.77734375" style="423" customWidth="1"/>
    <col min="2604" max="2604" width="9.5546875" style="423" bestFit="1" customWidth="1"/>
    <col min="2605" max="2605" width="10.33203125" style="423" customWidth="1"/>
    <col min="2606" max="2606" width="8.88671875" style="423"/>
    <col min="2607" max="2607" width="9.44140625" style="423" customWidth="1"/>
    <col min="2608" max="2609" width="8.88671875" style="423"/>
    <col min="2610" max="2610" width="10.109375" style="423" customWidth="1"/>
    <col min="2611" max="2611" width="9.77734375" style="423" customWidth="1"/>
    <col min="2612" max="2612" width="8.88671875" style="423"/>
    <col min="2613" max="2613" width="9.5546875" style="423" customWidth="1"/>
    <col min="2614" max="2615" width="8.88671875" style="423"/>
    <col min="2616" max="2616" width="9.5546875" style="423" bestFit="1" customWidth="1"/>
    <col min="2617" max="2617" width="11" style="423" customWidth="1"/>
    <col min="2618" max="2618" width="8.88671875" style="423"/>
    <col min="2619" max="2619" width="9.5546875" style="423" customWidth="1"/>
    <col min="2620" max="2621" width="8.88671875" style="423"/>
    <col min="2622" max="2622" width="9.5546875" style="423" bestFit="1" customWidth="1"/>
    <col min="2623" max="2623" width="10.21875" style="423" customWidth="1"/>
    <col min="2624" max="2624" width="8.88671875" style="423"/>
    <col min="2625" max="2625" width="9.44140625" style="423" customWidth="1"/>
    <col min="2626" max="2816" width="8.88671875" style="423"/>
    <col min="2817" max="2821" width="9.77734375" style="423" customWidth="1"/>
    <col min="2822" max="2822" width="10.6640625" style="423" customWidth="1"/>
    <col min="2823" max="2825" width="9.77734375" style="423" customWidth="1"/>
    <col min="2826" max="2826" width="7.6640625" style="423" customWidth="1"/>
    <col min="2827" max="2827" width="10.109375" style="423" bestFit="1" customWidth="1"/>
    <col min="2828" max="2828" width="9.77734375" style="423" customWidth="1"/>
    <col min="2829" max="2829" width="10.77734375" style="423" bestFit="1" customWidth="1"/>
    <col min="2830" max="2830" width="12.21875" style="423" customWidth="1"/>
    <col min="2831" max="2831" width="13.21875" style="423" bestFit="1" customWidth="1"/>
    <col min="2832" max="2832" width="8.88671875" style="423"/>
    <col min="2833" max="2833" width="10.77734375" style="423" customWidth="1"/>
    <col min="2834" max="2834" width="9" style="423" customWidth="1"/>
    <col min="2835" max="2835" width="8.88671875" style="423"/>
    <col min="2836" max="2836" width="9.6640625" style="423" bestFit="1" customWidth="1"/>
    <col min="2837" max="2837" width="10.109375" style="423" customWidth="1"/>
    <col min="2838" max="2838" width="11" style="423" customWidth="1"/>
    <col min="2839" max="2839" width="9.5546875" style="423" customWidth="1"/>
    <col min="2840" max="2841" width="8.88671875" style="423"/>
    <col min="2842" max="2842" width="9.5546875" style="423" bestFit="1" customWidth="1"/>
    <col min="2843" max="2843" width="10.44140625" style="423" customWidth="1"/>
    <col min="2844" max="2844" width="8.88671875" style="423"/>
    <col min="2845" max="2845" width="9.6640625" style="423" customWidth="1"/>
    <col min="2846" max="2847" width="8.88671875" style="423"/>
    <col min="2848" max="2848" width="9.5546875" style="423" bestFit="1" customWidth="1"/>
    <col min="2849" max="2849" width="10.21875" style="423" customWidth="1"/>
    <col min="2850" max="2850" width="8.88671875" style="423"/>
    <col min="2851" max="2851" width="9.5546875" style="423" customWidth="1"/>
    <col min="2852" max="2852" width="9.77734375" style="423" customWidth="1"/>
    <col min="2853" max="2853" width="8.88671875" style="423"/>
    <col min="2854" max="2854" width="9.5546875" style="423" bestFit="1" customWidth="1"/>
    <col min="2855" max="2855" width="10.109375" style="423" customWidth="1"/>
    <col min="2856" max="2856" width="8.88671875" style="423"/>
    <col min="2857" max="2857" width="9.44140625" style="423" customWidth="1"/>
    <col min="2858" max="2858" width="8.88671875" style="423"/>
    <col min="2859" max="2859" width="9.77734375" style="423" customWidth="1"/>
    <col min="2860" max="2860" width="9.5546875" style="423" bestFit="1" customWidth="1"/>
    <col min="2861" max="2861" width="10.33203125" style="423" customWidth="1"/>
    <col min="2862" max="2862" width="8.88671875" style="423"/>
    <col min="2863" max="2863" width="9.44140625" style="423" customWidth="1"/>
    <col min="2864" max="2865" width="8.88671875" style="423"/>
    <col min="2866" max="2866" width="10.109375" style="423" customWidth="1"/>
    <col min="2867" max="2867" width="9.77734375" style="423" customWidth="1"/>
    <col min="2868" max="2868" width="8.88671875" style="423"/>
    <col min="2869" max="2869" width="9.5546875" style="423" customWidth="1"/>
    <col min="2870" max="2871" width="8.88671875" style="423"/>
    <col min="2872" max="2872" width="9.5546875" style="423" bestFit="1" customWidth="1"/>
    <col min="2873" max="2873" width="11" style="423" customWidth="1"/>
    <col min="2874" max="2874" width="8.88671875" style="423"/>
    <col min="2875" max="2875" width="9.5546875" style="423" customWidth="1"/>
    <col min="2876" max="2877" width="8.88671875" style="423"/>
    <col min="2878" max="2878" width="9.5546875" style="423" bestFit="1" customWidth="1"/>
    <col min="2879" max="2879" width="10.21875" style="423" customWidth="1"/>
    <col min="2880" max="2880" width="8.88671875" style="423"/>
    <col min="2881" max="2881" width="9.44140625" style="423" customWidth="1"/>
    <col min="2882" max="3072" width="8.88671875" style="423"/>
    <col min="3073" max="3077" width="9.77734375" style="423" customWidth="1"/>
    <col min="3078" max="3078" width="10.6640625" style="423" customWidth="1"/>
    <col min="3079" max="3081" width="9.77734375" style="423" customWidth="1"/>
    <col min="3082" max="3082" width="7.6640625" style="423" customWidth="1"/>
    <col min="3083" max="3083" width="10.109375" style="423" bestFit="1" customWidth="1"/>
    <col min="3084" max="3084" width="9.77734375" style="423" customWidth="1"/>
    <col min="3085" max="3085" width="10.77734375" style="423" bestFit="1" customWidth="1"/>
    <col min="3086" max="3086" width="12.21875" style="423" customWidth="1"/>
    <col min="3087" max="3087" width="13.21875" style="423" bestFit="1" customWidth="1"/>
    <col min="3088" max="3088" width="8.88671875" style="423"/>
    <col min="3089" max="3089" width="10.77734375" style="423" customWidth="1"/>
    <col min="3090" max="3090" width="9" style="423" customWidth="1"/>
    <col min="3091" max="3091" width="8.88671875" style="423"/>
    <col min="3092" max="3092" width="9.6640625" style="423" bestFit="1" customWidth="1"/>
    <col min="3093" max="3093" width="10.109375" style="423" customWidth="1"/>
    <col min="3094" max="3094" width="11" style="423" customWidth="1"/>
    <col min="3095" max="3095" width="9.5546875" style="423" customWidth="1"/>
    <col min="3096" max="3097" width="8.88671875" style="423"/>
    <col min="3098" max="3098" width="9.5546875" style="423" bestFit="1" customWidth="1"/>
    <col min="3099" max="3099" width="10.44140625" style="423" customWidth="1"/>
    <col min="3100" max="3100" width="8.88671875" style="423"/>
    <col min="3101" max="3101" width="9.6640625" style="423" customWidth="1"/>
    <col min="3102" max="3103" width="8.88671875" style="423"/>
    <col min="3104" max="3104" width="9.5546875" style="423" bestFit="1" customWidth="1"/>
    <col min="3105" max="3105" width="10.21875" style="423" customWidth="1"/>
    <col min="3106" max="3106" width="8.88671875" style="423"/>
    <col min="3107" max="3107" width="9.5546875" style="423" customWidth="1"/>
    <col min="3108" max="3108" width="9.77734375" style="423" customWidth="1"/>
    <col min="3109" max="3109" width="8.88671875" style="423"/>
    <col min="3110" max="3110" width="9.5546875" style="423" bestFit="1" customWidth="1"/>
    <col min="3111" max="3111" width="10.109375" style="423" customWidth="1"/>
    <col min="3112" max="3112" width="8.88671875" style="423"/>
    <col min="3113" max="3113" width="9.44140625" style="423" customWidth="1"/>
    <col min="3114" max="3114" width="8.88671875" style="423"/>
    <col min="3115" max="3115" width="9.77734375" style="423" customWidth="1"/>
    <col min="3116" max="3116" width="9.5546875" style="423" bestFit="1" customWidth="1"/>
    <col min="3117" max="3117" width="10.33203125" style="423" customWidth="1"/>
    <col min="3118" max="3118" width="8.88671875" style="423"/>
    <col min="3119" max="3119" width="9.44140625" style="423" customWidth="1"/>
    <col min="3120" max="3121" width="8.88671875" style="423"/>
    <col min="3122" max="3122" width="10.109375" style="423" customWidth="1"/>
    <col min="3123" max="3123" width="9.77734375" style="423" customWidth="1"/>
    <col min="3124" max="3124" width="8.88671875" style="423"/>
    <col min="3125" max="3125" width="9.5546875" style="423" customWidth="1"/>
    <col min="3126" max="3127" width="8.88671875" style="423"/>
    <col min="3128" max="3128" width="9.5546875" style="423" bestFit="1" customWidth="1"/>
    <col min="3129" max="3129" width="11" style="423" customWidth="1"/>
    <col min="3130" max="3130" width="8.88671875" style="423"/>
    <col min="3131" max="3131" width="9.5546875" style="423" customWidth="1"/>
    <col min="3132" max="3133" width="8.88671875" style="423"/>
    <col min="3134" max="3134" width="9.5546875" style="423" bestFit="1" customWidth="1"/>
    <col min="3135" max="3135" width="10.21875" style="423" customWidth="1"/>
    <col min="3136" max="3136" width="8.88671875" style="423"/>
    <col min="3137" max="3137" width="9.44140625" style="423" customWidth="1"/>
    <col min="3138" max="3328" width="8.88671875" style="423"/>
    <col min="3329" max="3333" width="9.77734375" style="423" customWidth="1"/>
    <col min="3334" max="3334" width="10.6640625" style="423" customWidth="1"/>
    <col min="3335" max="3337" width="9.77734375" style="423" customWidth="1"/>
    <col min="3338" max="3338" width="7.6640625" style="423" customWidth="1"/>
    <col min="3339" max="3339" width="10.109375" style="423" bestFit="1" customWidth="1"/>
    <col min="3340" max="3340" width="9.77734375" style="423" customWidth="1"/>
    <col min="3341" max="3341" width="10.77734375" style="423" bestFit="1" customWidth="1"/>
    <col min="3342" max="3342" width="12.21875" style="423" customWidth="1"/>
    <col min="3343" max="3343" width="13.21875" style="423" bestFit="1" customWidth="1"/>
    <col min="3344" max="3344" width="8.88671875" style="423"/>
    <col min="3345" max="3345" width="10.77734375" style="423" customWidth="1"/>
    <col min="3346" max="3346" width="9" style="423" customWidth="1"/>
    <col min="3347" max="3347" width="8.88671875" style="423"/>
    <col min="3348" max="3348" width="9.6640625" style="423" bestFit="1" customWidth="1"/>
    <col min="3349" max="3349" width="10.109375" style="423" customWidth="1"/>
    <col min="3350" max="3350" width="11" style="423" customWidth="1"/>
    <col min="3351" max="3351" width="9.5546875" style="423" customWidth="1"/>
    <col min="3352" max="3353" width="8.88671875" style="423"/>
    <col min="3354" max="3354" width="9.5546875" style="423" bestFit="1" customWidth="1"/>
    <col min="3355" max="3355" width="10.44140625" style="423" customWidth="1"/>
    <col min="3356" max="3356" width="8.88671875" style="423"/>
    <col min="3357" max="3357" width="9.6640625" style="423" customWidth="1"/>
    <col min="3358" max="3359" width="8.88671875" style="423"/>
    <col min="3360" max="3360" width="9.5546875" style="423" bestFit="1" customWidth="1"/>
    <col min="3361" max="3361" width="10.21875" style="423" customWidth="1"/>
    <col min="3362" max="3362" width="8.88671875" style="423"/>
    <col min="3363" max="3363" width="9.5546875" style="423" customWidth="1"/>
    <col min="3364" max="3364" width="9.77734375" style="423" customWidth="1"/>
    <col min="3365" max="3365" width="8.88671875" style="423"/>
    <col min="3366" max="3366" width="9.5546875" style="423" bestFit="1" customWidth="1"/>
    <col min="3367" max="3367" width="10.109375" style="423" customWidth="1"/>
    <col min="3368" max="3368" width="8.88671875" style="423"/>
    <col min="3369" max="3369" width="9.44140625" style="423" customWidth="1"/>
    <col min="3370" max="3370" width="8.88671875" style="423"/>
    <col min="3371" max="3371" width="9.77734375" style="423" customWidth="1"/>
    <col min="3372" max="3372" width="9.5546875" style="423" bestFit="1" customWidth="1"/>
    <col min="3373" max="3373" width="10.33203125" style="423" customWidth="1"/>
    <col min="3374" max="3374" width="8.88671875" style="423"/>
    <col min="3375" max="3375" width="9.44140625" style="423" customWidth="1"/>
    <col min="3376" max="3377" width="8.88671875" style="423"/>
    <col min="3378" max="3378" width="10.109375" style="423" customWidth="1"/>
    <col min="3379" max="3379" width="9.77734375" style="423" customWidth="1"/>
    <col min="3380" max="3380" width="8.88671875" style="423"/>
    <col min="3381" max="3381" width="9.5546875" style="423" customWidth="1"/>
    <col min="3382" max="3383" width="8.88671875" style="423"/>
    <col min="3384" max="3384" width="9.5546875" style="423" bestFit="1" customWidth="1"/>
    <col min="3385" max="3385" width="11" style="423" customWidth="1"/>
    <col min="3386" max="3386" width="8.88671875" style="423"/>
    <col min="3387" max="3387" width="9.5546875" style="423" customWidth="1"/>
    <col min="3388" max="3389" width="8.88671875" style="423"/>
    <col min="3390" max="3390" width="9.5546875" style="423" bestFit="1" customWidth="1"/>
    <col min="3391" max="3391" width="10.21875" style="423" customWidth="1"/>
    <col min="3392" max="3392" width="8.88671875" style="423"/>
    <col min="3393" max="3393" width="9.44140625" style="423" customWidth="1"/>
    <col min="3394" max="3584" width="8.88671875" style="423"/>
    <col min="3585" max="3589" width="9.77734375" style="423" customWidth="1"/>
    <col min="3590" max="3590" width="10.6640625" style="423" customWidth="1"/>
    <col min="3591" max="3593" width="9.77734375" style="423" customWidth="1"/>
    <col min="3594" max="3594" width="7.6640625" style="423" customWidth="1"/>
    <col min="3595" max="3595" width="10.109375" style="423" bestFit="1" customWidth="1"/>
    <col min="3596" max="3596" width="9.77734375" style="423" customWidth="1"/>
    <col min="3597" max="3597" width="10.77734375" style="423" bestFit="1" customWidth="1"/>
    <col min="3598" max="3598" width="12.21875" style="423" customWidth="1"/>
    <col min="3599" max="3599" width="13.21875" style="423" bestFit="1" customWidth="1"/>
    <col min="3600" max="3600" width="8.88671875" style="423"/>
    <col min="3601" max="3601" width="10.77734375" style="423" customWidth="1"/>
    <col min="3602" max="3602" width="9" style="423" customWidth="1"/>
    <col min="3603" max="3603" width="8.88671875" style="423"/>
    <col min="3604" max="3604" width="9.6640625" style="423" bestFit="1" customWidth="1"/>
    <col min="3605" max="3605" width="10.109375" style="423" customWidth="1"/>
    <col min="3606" max="3606" width="11" style="423" customWidth="1"/>
    <col min="3607" max="3607" width="9.5546875" style="423" customWidth="1"/>
    <col min="3608" max="3609" width="8.88671875" style="423"/>
    <col min="3610" max="3610" width="9.5546875" style="423" bestFit="1" customWidth="1"/>
    <col min="3611" max="3611" width="10.44140625" style="423" customWidth="1"/>
    <col min="3612" max="3612" width="8.88671875" style="423"/>
    <col min="3613" max="3613" width="9.6640625" style="423" customWidth="1"/>
    <col min="3614" max="3615" width="8.88671875" style="423"/>
    <col min="3616" max="3616" width="9.5546875" style="423" bestFit="1" customWidth="1"/>
    <col min="3617" max="3617" width="10.21875" style="423" customWidth="1"/>
    <col min="3618" max="3618" width="8.88671875" style="423"/>
    <col min="3619" max="3619" width="9.5546875" style="423" customWidth="1"/>
    <col min="3620" max="3620" width="9.77734375" style="423" customWidth="1"/>
    <col min="3621" max="3621" width="8.88671875" style="423"/>
    <col min="3622" max="3622" width="9.5546875" style="423" bestFit="1" customWidth="1"/>
    <col min="3623" max="3623" width="10.109375" style="423" customWidth="1"/>
    <col min="3624" max="3624" width="8.88671875" style="423"/>
    <col min="3625" max="3625" width="9.44140625" style="423" customWidth="1"/>
    <col min="3626" max="3626" width="8.88671875" style="423"/>
    <col min="3627" max="3627" width="9.77734375" style="423" customWidth="1"/>
    <col min="3628" max="3628" width="9.5546875" style="423" bestFit="1" customWidth="1"/>
    <col min="3629" max="3629" width="10.33203125" style="423" customWidth="1"/>
    <col min="3630" max="3630" width="8.88671875" style="423"/>
    <col min="3631" max="3631" width="9.44140625" style="423" customWidth="1"/>
    <col min="3632" max="3633" width="8.88671875" style="423"/>
    <col min="3634" max="3634" width="10.109375" style="423" customWidth="1"/>
    <col min="3635" max="3635" width="9.77734375" style="423" customWidth="1"/>
    <col min="3636" max="3636" width="8.88671875" style="423"/>
    <col min="3637" max="3637" width="9.5546875" style="423" customWidth="1"/>
    <col min="3638" max="3639" width="8.88671875" style="423"/>
    <col min="3640" max="3640" width="9.5546875" style="423" bestFit="1" customWidth="1"/>
    <col min="3641" max="3641" width="11" style="423" customWidth="1"/>
    <col min="3642" max="3642" width="8.88671875" style="423"/>
    <col min="3643" max="3643" width="9.5546875" style="423" customWidth="1"/>
    <col min="3644" max="3645" width="8.88671875" style="423"/>
    <col min="3646" max="3646" width="9.5546875" style="423" bestFit="1" customWidth="1"/>
    <col min="3647" max="3647" width="10.21875" style="423" customWidth="1"/>
    <col min="3648" max="3648" width="8.88671875" style="423"/>
    <col min="3649" max="3649" width="9.44140625" style="423" customWidth="1"/>
    <col min="3650" max="3840" width="8.88671875" style="423"/>
    <col min="3841" max="3845" width="9.77734375" style="423" customWidth="1"/>
    <col min="3846" max="3846" width="10.6640625" style="423" customWidth="1"/>
    <col min="3847" max="3849" width="9.77734375" style="423" customWidth="1"/>
    <col min="3850" max="3850" width="7.6640625" style="423" customWidth="1"/>
    <col min="3851" max="3851" width="10.109375" style="423" bestFit="1" customWidth="1"/>
    <col min="3852" max="3852" width="9.77734375" style="423" customWidth="1"/>
    <col min="3853" max="3853" width="10.77734375" style="423" bestFit="1" customWidth="1"/>
    <col min="3854" max="3854" width="12.21875" style="423" customWidth="1"/>
    <col min="3855" max="3855" width="13.21875" style="423" bestFit="1" customWidth="1"/>
    <col min="3856" max="3856" width="8.88671875" style="423"/>
    <col min="3857" max="3857" width="10.77734375" style="423" customWidth="1"/>
    <col min="3858" max="3858" width="9" style="423" customWidth="1"/>
    <col min="3859" max="3859" width="8.88671875" style="423"/>
    <col min="3860" max="3860" width="9.6640625" style="423" bestFit="1" customWidth="1"/>
    <col min="3861" max="3861" width="10.109375" style="423" customWidth="1"/>
    <col min="3862" max="3862" width="11" style="423" customWidth="1"/>
    <col min="3863" max="3863" width="9.5546875" style="423" customWidth="1"/>
    <col min="3864" max="3865" width="8.88671875" style="423"/>
    <col min="3866" max="3866" width="9.5546875" style="423" bestFit="1" customWidth="1"/>
    <col min="3867" max="3867" width="10.44140625" style="423" customWidth="1"/>
    <col min="3868" max="3868" width="8.88671875" style="423"/>
    <col min="3869" max="3869" width="9.6640625" style="423" customWidth="1"/>
    <col min="3870" max="3871" width="8.88671875" style="423"/>
    <col min="3872" max="3872" width="9.5546875" style="423" bestFit="1" customWidth="1"/>
    <col min="3873" max="3873" width="10.21875" style="423" customWidth="1"/>
    <col min="3874" max="3874" width="8.88671875" style="423"/>
    <col min="3875" max="3875" width="9.5546875" style="423" customWidth="1"/>
    <col min="3876" max="3876" width="9.77734375" style="423" customWidth="1"/>
    <col min="3877" max="3877" width="8.88671875" style="423"/>
    <col min="3878" max="3878" width="9.5546875" style="423" bestFit="1" customWidth="1"/>
    <col min="3879" max="3879" width="10.109375" style="423" customWidth="1"/>
    <col min="3880" max="3880" width="8.88671875" style="423"/>
    <col min="3881" max="3881" width="9.44140625" style="423" customWidth="1"/>
    <col min="3882" max="3882" width="8.88671875" style="423"/>
    <col min="3883" max="3883" width="9.77734375" style="423" customWidth="1"/>
    <col min="3884" max="3884" width="9.5546875" style="423" bestFit="1" customWidth="1"/>
    <col min="3885" max="3885" width="10.33203125" style="423" customWidth="1"/>
    <col min="3886" max="3886" width="8.88671875" style="423"/>
    <col min="3887" max="3887" width="9.44140625" style="423" customWidth="1"/>
    <col min="3888" max="3889" width="8.88671875" style="423"/>
    <col min="3890" max="3890" width="10.109375" style="423" customWidth="1"/>
    <col min="3891" max="3891" width="9.77734375" style="423" customWidth="1"/>
    <col min="3892" max="3892" width="8.88671875" style="423"/>
    <col min="3893" max="3893" width="9.5546875" style="423" customWidth="1"/>
    <col min="3894" max="3895" width="8.88671875" style="423"/>
    <col min="3896" max="3896" width="9.5546875" style="423" bestFit="1" customWidth="1"/>
    <col min="3897" max="3897" width="11" style="423" customWidth="1"/>
    <col min="3898" max="3898" width="8.88671875" style="423"/>
    <col min="3899" max="3899" width="9.5546875" style="423" customWidth="1"/>
    <col min="3900" max="3901" width="8.88671875" style="423"/>
    <col min="3902" max="3902" width="9.5546875" style="423" bestFit="1" customWidth="1"/>
    <col min="3903" max="3903" width="10.21875" style="423" customWidth="1"/>
    <col min="3904" max="3904" width="8.88671875" style="423"/>
    <col min="3905" max="3905" width="9.44140625" style="423" customWidth="1"/>
    <col min="3906" max="4096" width="8.88671875" style="423"/>
    <col min="4097" max="4101" width="9.77734375" style="423" customWidth="1"/>
    <col min="4102" max="4102" width="10.6640625" style="423" customWidth="1"/>
    <col min="4103" max="4105" width="9.77734375" style="423" customWidth="1"/>
    <col min="4106" max="4106" width="7.6640625" style="423" customWidth="1"/>
    <col min="4107" max="4107" width="10.109375" style="423" bestFit="1" customWidth="1"/>
    <col min="4108" max="4108" width="9.77734375" style="423" customWidth="1"/>
    <col min="4109" max="4109" width="10.77734375" style="423" bestFit="1" customWidth="1"/>
    <col min="4110" max="4110" width="12.21875" style="423" customWidth="1"/>
    <col min="4111" max="4111" width="13.21875" style="423" bestFit="1" customWidth="1"/>
    <col min="4112" max="4112" width="8.88671875" style="423"/>
    <col min="4113" max="4113" width="10.77734375" style="423" customWidth="1"/>
    <col min="4114" max="4114" width="9" style="423" customWidth="1"/>
    <col min="4115" max="4115" width="8.88671875" style="423"/>
    <col min="4116" max="4116" width="9.6640625" style="423" bestFit="1" customWidth="1"/>
    <col min="4117" max="4117" width="10.109375" style="423" customWidth="1"/>
    <col min="4118" max="4118" width="11" style="423" customWidth="1"/>
    <col min="4119" max="4119" width="9.5546875" style="423" customWidth="1"/>
    <col min="4120" max="4121" width="8.88671875" style="423"/>
    <col min="4122" max="4122" width="9.5546875" style="423" bestFit="1" customWidth="1"/>
    <col min="4123" max="4123" width="10.44140625" style="423" customWidth="1"/>
    <col min="4124" max="4124" width="8.88671875" style="423"/>
    <col min="4125" max="4125" width="9.6640625" style="423" customWidth="1"/>
    <col min="4126" max="4127" width="8.88671875" style="423"/>
    <col min="4128" max="4128" width="9.5546875" style="423" bestFit="1" customWidth="1"/>
    <col min="4129" max="4129" width="10.21875" style="423" customWidth="1"/>
    <col min="4130" max="4130" width="8.88671875" style="423"/>
    <col min="4131" max="4131" width="9.5546875" style="423" customWidth="1"/>
    <col min="4132" max="4132" width="9.77734375" style="423" customWidth="1"/>
    <col min="4133" max="4133" width="8.88671875" style="423"/>
    <col min="4134" max="4134" width="9.5546875" style="423" bestFit="1" customWidth="1"/>
    <col min="4135" max="4135" width="10.109375" style="423" customWidth="1"/>
    <col min="4136" max="4136" width="8.88671875" style="423"/>
    <col min="4137" max="4137" width="9.44140625" style="423" customWidth="1"/>
    <col min="4138" max="4138" width="8.88671875" style="423"/>
    <col min="4139" max="4139" width="9.77734375" style="423" customWidth="1"/>
    <col min="4140" max="4140" width="9.5546875" style="423" bestFit="1" customWidth="1"/>
    <col min="4141" max="4141" width="10.33203125" style="423" customWidth="1"/>
    <col min="4142" max="4142" width="8.88671875" style="423"/>
    <col min="4143" max="4143" width="9.44140625" style="423" customWidth="1"/>
    <col min="4144" max="4145" width="8.88671875" style="423"/>
    <col min="4146" max="4146" width="10.109375" style="423" customWidth="1"/>
    <col min="4147" max="4147" width="9.77734375" style="423" customWidth="1"/>
    <col min="4148" max="4148" width="8.88671875" style="423"/>
    <col min="4149" max="4149" width="9.5546875" style="423" customWidth="1"/>
    <col min="4150" max="4151" width="8.88671875" style="423"/>
    <col min="4152" max="4152" width="9.5546875" style="423" bestFit="1" customWidth="1"/>
    <col min="4153" max="4153" width="11" style="423" customWidth="1"/>
    <col min="4154" max="4154" width="8.88671875" style="423"/>
    <col min="4155" max="4155" width="9.5546875" style="423" customWidth="1"/>
    <col min="4156" max="4157" width="8.88671875" style="423"/>
    <col min="4158" max="4158" width="9.5546875" style="423" bestFit="1" customWidth="1"/>
    <col min="4159" max="4159" width="10.21875" style="423" customWidth="1"/>
    <col min="4160" max="4160" width="8.88671875" style="423"/>
    <col min="4161" max="4161" width="9.44140625" style="423" customWidth="1"/>
    <col min="4162" max="4352" width="8.88671875" style="423"/>
    <col min="4353" max="4357" width="9.77734375" style="423" customWidth="1"/>
    <col min="4358" max="4358" width="10.6640625" style="423" customWidth="1"/>
    <col min="4359" max="4361" width="9.77734375" style="423" customWidth="1"/>
    <col min="4362" max="4362" width="7.6640625" style="423" customWidth="1"/>
    <col min="4363" max="4363" width="10.109375" style="423" bestFit="1" customWidth="1"/>
    <col min="4364" max="4364" width="9.77734375" style="423" customWidth="1"/>
    <col min="4365" max="4365" width="10.77734375" style="423" bestFit="1" customWidth="1"/>
    <col min="4366" max="4366" width="12.21875" style="423" customWidth="1"/>
    <col min="4367" max="4367" width="13.21875" style="423" bestFit="1" customWidth="1"/>
    <col min="4368" max="4368" width="8.88671875" style="423"/>
    <col min="4369" max="4369" width="10.77734375" style="423" customWidth="1"/>
    <col min="4370" max="4370" width="9" style="423" customWidth="1"/>
    <col min="4371" max="4371" width="8.88671875" style="423"/>
    <col min="4372" max="4372" width="9.6640625" style="423" bestFit="1" customWidth="1"/>
    <col min="4373" max="4373" width="10.109375" style="423" customWidth="1"/>
    <col min="4374" max="4374" width="11" style="423" customWidth="1"/>
    <col min="4375" max="4375" width="9.5546875" style="423" customWidth="1"/>
    <col min="4376" max="4377" width="8.88671875" style="423"/>
    <col min="4378" max="4378" width="9.5546875" style="423" bestFit="1" customWidth="1"/>
    <col min="4379" max="4379" width="10.44140625" style="423" customWidth="1"/>
    <col min="4380" max="4380" width="8.88671875" style="423"/>
    <col min="4381" max="4381" width="9.6640625" style="423" customWidth="1"/>
    <col min="4382" max="4383" width="8.88671875" style="423"/>
    <col min="4384" max="4384" width="9.5546875" style="423" bestFit="1" customWidth="1"/>
    <col min="4385" max="4385" width="10.21875" style="423" customWidth="1"/>
    <col min="4386" max="4386" width="8.88671875" style="423"/>
    <col min="4387" max="4387" width="9.5546875" style="423" customWidth="1"/>
    <col min="4388" max="4388" width="9.77734375" style="423" customWidth="1"/>
    <col min="4389" max="4389" width="8.88671875" style="423"/>
    <col min="4390" max="4390" width="9.5546875" style="423" bestFit="1" customWidth="1"/>
    <col min="4391" max="4391" width="10.109375" style="423" customWidth="1"/>
    <col min="4392" max="4392" width="8.88671875" style="423"/>
    <col min="4393" max="4393" width="9.44140625" style="423" customWidth="1"/>
    <col min="4394" max="4394" width="8.88671875" style="423"/>
    <col min="4395" max="4395" width="9.77734375" style="423" customWidth="1"/>
    <col min="4396" max="4396" width="9.5546875" style="423" bestFit="1" customWidth="1"/>
    <col min="4397" max="4397" width="10.33203125" style="423" customWidth="1"/>
    <col min="4398" max="4398" width="8.88671875" style="423"/>
    <col min="4399" max="4399" width="9.44140625" style="423" customWidth="1"/>
    <col min="4400" max="4401" width="8.88671875" style="423"/>
    <col min="4402" max="4402" width="10.109375" style="423" customWidth="1"/>
    <col min="4403" max="4403" width="9.77734375" style="423" customWidth="1"/>
    <col min="4404" max="4404" width="8.88671875" style="423"/>
    <col min="4405" max="4405" width="9.5546875" style="423" customWidth="1"/>
    <col min="4406" max="4407" width="8.88671875" style="423"/>
    <col min="4408" max="4408" width="9.5546875" style="423" bestFit="1" customWidth="1"/>
    <col min="4409" max="4409" width="11" style="423" customWidth="1"/>
    <col min="4410" max="4410" width="8.88671875" style="423"/>
    <col min="4411" max="4411" width="9.5546875" style="423" customWidth="1"/>
    <col min="4412" max="4413" width="8.88671875" style="423"/>
    <col min="4414" max="4414" width="9.5546875" style="423" bestFit="1" customWidth="1"/>
    <col min="4415" max="4415" width="10.21875" style="423" customWidth="1"/>
    <col min="4416" max="4416" width="8.88671875" style="423"/>
    <col min="4417" max="4417" width="9.44140625" style="423" customWidth="1"/>
    <col min="4418" max="4608" width="8.88671875" style="423"/>
    <col min="4609" max="4613" width="9.77734375" style="423" customWidth="1"/>
    <col min="4614" max="4614" width="10.6640625" style="423" customWidth="1"/>
    <col min="4615" max="4617" width="9.77734375" style="423" customWidth="1"/>
    <col min="4618" max="4618" width="7.6640625" style="423" customWidth="1"/>
    <col min="4619" max="4619" width="10.109375" style="423" bestFit="1" customWidth="1"/>
    <col min="4620" max="4620" width="9.77734375" style="423" customWidth="1"/>
    <col min="4621" max="4621" width="10.77734375" style="423" bestFit="1" customWidth="1"/>
    <col min="4622" max="4622" width="12.21875" style="423" customWidth="1"/>
    <col min="4623" max="4623" width="13.21875" style="423" bestFit="1" customWidth="1"/>
    <col min="4624" max="4624" width="8.88671875" style="423"/>
    <col min="4625" max="4625" width="10.77734375" style="423" customWidth="1"/>
    <col min="4626" max="4626" width="9" style="423" customWidth="1"/>
    <col min="4627" max="4627" width="8.88671875" style="423"/>
    <col min="4628" max="4628" width="9.6640625" style="423" bestFit="1" customWidth="1"/>
    <col min="4629" max="4629" width="10.109375" style="423" customWidth="1"/>
    <col min="4630" max="4630" width="11" style="423" customWidth="1"/>
    <col min="4631" max="4631" width="9.5546875" style="423" customWidth="1"/>
    <col min="4632" max="4633" width="8.88671875" style="423"/>
    <col min="4634" max="4634" width="9.5546875" style="423" bestFit="1" customWidth="1"/>
    <col min="4635" max="4635" width="10.44140625" style="423" customWidth="1"/>
    <col min="4636" max="4636" width="8.88671875" style="423"/>
    <col min="4637" max="4637" width="9.6640625" style="423" customWidth="1"/>
    <col min="4638" max="4639" width="8.88671875" style="423"/>
    <col min="4640" max="4640" width="9.5546875" style="423" bestFit="1" customWidth="1"/>
    <col min="4641" max="4641" width="10.21875" style="423" customWidth="1"/>
    <col min="4642" max="4642" width="8.88671875" style="423"/>
    <col min="4643" max="4643" width="9.5546875" style="423" customWidth="1"/>
    <col min="4644" max="4644" width="9.77734375" style="423" customWidth="1"/>
    <col min="4645" max="4645" width="8.88671875" style="423"/>
    <col min="4646" max="4646" width="9.5546875" style="423" bestFit="1" customWidth="1"/>
    <col min="4647" max="4647" width="10.109375" style="423" customWidth="1"/>
    <col min="4648" max="4648" width="8.88671875" style="423"/>
    <col min="4649" max="4649" width="9.44140625" style="423" customWidth="1"/>
    <col min="4650" max="4650" width="8.88671875" style="423"/>
    <col min="4651" max="4651" width="9.77734375" style="423" customWidth="1"/>
    <col min="4652" max="4652" width="9.5546875" style="423" bestFit="1" customWidth="1"/>
    <col min="4653" max="4653" width="10.33203125" style="423" customWidth="1"/>
    <col min="4654" max="4654" width="8.88671875" style="423"/>
    <col min="4655" max="4655" width="9.44140625" style="423" customWidth="1"/>
    <col min="4656" max="4657" width="8.88671875" style="423"/>
    <col min="4658" max="4658" width="10.109375" style="423" customWidth="1"/>
    <col min="4659" max="4659" width="9.77734375" style="423" customWidth="1"/>
    <col min="4660" max="4660" width="8.88671875" style="423"/>
    <col min="4661" max="4661" width="9.5546875" style="423" customWidth="1"/>
    <col min="4662" max="4663" width="8.88671875" style="423"/>
    <col min="4664" max="4664" width="9.5546875" style="423" bestFit="1" customWidth="1"/>
    <col min="4665" max="4665" width="11" style="423" customWidth="1"/>
    <col min="4666" max="4666" width="8.88671875" style="423"/>
    <col min="4667" max="4667" width="9.5546875" style="423" customWidth="1"/>
    <col min="4668" max="4669" width="8.88671875" style="423"/>
    <col min="4670" max="4670" width="9.5546875" style="423" bestFit="1" customWidth="1"/>
    <col min="4671" max="4671" width="10.21875" style="423" customWidth="1"/>
    <col min="4672" max="4672" width="8.88671875" style="423"/>
    <col min="4673" max="4673" width="9.44140625" style="423" customWidth="1"/>
    <col min="4674" max="4864" width="8.88671875" style="423"/>
    <col min="4865" max="4869" width="9.77734375" style="423" customWidth="1"/>
    <col min="4870" max="4870" width="10.6640625" style="423" customWidth="1"/>
    <col min="4871" max="4873" width="9.77734375" style="423" customWidth="1"/>
    <col min="4874" max="4874" width="7.6640625" style="423" customWidth="1"/>
    <col min="4875" max="4875" width="10.109375" style="423" bestFit="1" customWidth="1"/>
    <col min="4876" max="4876" width="9.77734375" style="423" customWidth="1"/>
    <col min="4877" max="4877" width="10.77734375" style="423" bestFit="1" customWidth="1"/>
    <col min="4878" max="4878" width="12.21875" style="423" customWidth="1"/>
    <col min="4879" max="4879" width="13.21875" style="423" bestFit="1" customWidth="1"/>
    <col min="4880" max="4880" width="8.88671875" style="423"/>
    <col min="4881" max="4881" width="10.77734375" style="423" customWidth="1"/>
    <col min="4882" max="4882" width="9" style="423" customWidth="1"/>
    <col min="4883" max="4883" width="8.88671875" style="423"/>
    <col min="4884" max="4884" width="9.6640625" style="423" bestFit="1" customWidth="1"/>
    <col min="4885" max="4885" width="10.109375" style="423" customWidth="1"/>
    <col min="4886" max="4886" width="11" style="423" customWidth="1"/>
    <col min="4887" max="4887" width="9.5546875" style="423" customWidth="1"/>
    <col min="4888" max="4889" width="8.88671875" style="423"/>
    <col min="4890" max="4890" width="9.5546875" style="423" bestFit="1" customWidth="1"/>
    <col min="4891" max="4891" width="10.44140625" style="423" customWidth="1"/>
    <col min="4892" max="4892" width="8.88671875" style="423"/>
    <col min="4893" max="4893" width="9.6640625" style="423" customWidth="1"/>
    <col min="4894" max="4895" width="8.88671875" style="423"/>
    <col min="4896" max="4896" width="9.5546875" style="423" bestFit="1" customWidth="1"/>
    <col min="4897" max="4897" width="10.21875" style="423" customWidth="1"/>
    <col min="4898" max="4898" width="8.88671875" style="423"/>
    <col min="4899" max="4899" width="9.5546875" style="423" customWidth="1"/>
    <col min="4900" max="4900" width="9.77734375" style="423" customWidth="1"/>
    <col min="4901" max="4901" width="8.88671875" style="423"/>
    <col min="4902" max="4902" width="9.5546875" style="423" bestFit="1" customWidth="1"/>
    <col min="4903" max="4903" width="10.109375" style="423" customWidth="1"/>
    <col min="4904" max="4904" width="8.88671875" style="423"/>
    <col min="4905" max="4905" width="9.44140625" style="423" customWidth="1"/>
    <col min="4906" max="4906" width="8.88671875" style="423"/>
    <col min="4907" max="4907" width="9.77734375" style="423" customWidth="1"/>
    <col min="4908" max="4908" width="9.5546875" style="423" bestFit="1" customWidth="1"/>
    <col min="4909" max="4909" width="10.33203125" style="423" customWidth="1"/>
    <col min="4910" max="4910" width="8.88671875" style="423"/>
    <col min="4911" max="4911" width="9.44140625" style="423" customWidth="1"/>
    <col min="4912" max="4913" width="8.88671875" style="423"/>
    <col min="4914" max="4914" width="10.109375" style="423" customWidth="1"/>
    <col min="4915" max="4915" width="9.77734375" style="423" customWidth="1"/>
    <col min="4916" max="4916" width="8.88671875" style="423"/>
    <col min="4917" max="4917" width="9.5546875" style="423" customWidth="1"/>
    <col min="4918" max="4919" width="8.88671875" style="423"/>
    <col min="4920" max="4920" width="9.5546875" style="423" bestFit="1" customWidth="1"/>
    <col min="4921" max="4921" width="11" style="423" customWidth="1"/>
    <col min="4922" max="4922" width="8.88671875" style="423"/>
    <col min="4923" max="4923" width="9.5546875" style="423" customWidth="1"/>
    <col min="4924" max="4925" width="8.88671875" style="423"/>
    <col min="4926" max="4926" width="9.5546875" style="423" bestFit="1" customWidth="1"/>
    <col min="4927" max="4927" width="10.21875" style="423" customWidth="1"/>
    <col min="4928" max="4928" width="8.88671875" style="423"/>
    <col min="4929" max="4929" width="9.44140625" style="423" customWidth="1"/>
    <col min="4930" max="5120" width="8.88671875" style="423"/>
    <col min="5121" max="5125" width="9.77734375" style="423" customWidth="1"/>
    <col min="5126" max="5126" width="10.6640625" style="423" customWidth="1"/>
    <col min="5127" max="5129" width="9.77734375" style="423" customWidth="1"/>
    <col min="5130" max="5130" width="7.6640625" style="423" customWidth="1"/>
    <col min="5131" max="5131" width="10.109375" style="423" bestFit="1" customWidth="1"/>
    <col min="5132" max="5132" width="9.77734375" style="423" customWidth="1"/>
    <col min="5133" max="5133" width="10.77734375" style="423" bestFit="1" customWidth="1"/>
    <col min="5134" max="5134" width="12.21875" style="423" customWidth="1"/>
    <col min="5135" max="5135" width="13.21875" style="423" bestFit="1" customWidth="1"/>
    <col min="5136" max="5136" width="8.88671875" style="423"/>
    <col min="5137" max="5137" width="10.77734375" style="423" customWidth="1"/>
    <col min="5138" max="5138" width="9" style="423" customWidth="1"/>
    <col min="5139" max="5139" width="8.88671875" style="423"/>
    <col min="5140" max="5140" width="9.6640625" style="423" bestFit="1" customWidth="1"/>
    <col min="5141" max="5141" width="10.109375" style="423" customWidth="1"/>
    <col min="5142" max="5142" width="11" style="423" customWidth="1"/>
    <col min="5143" max="5143" width="9.5546875" style="423" customWidth="1"/>
    <col min="5144" max="5145" width="8.88671875" style="423"/>
    <col min="5146" max="5146" width="9.5546875" style="423" bestFit="1" customWidth="1"/>
    <col min="5147" max="5147" width="10.44140625" style="423" customWidth="1"/>
    <col min="5148" max="5148" width="8.88671875" style="423"/>
    <col min="5149" max="5149" width="9.6640625" style="423" customWidth="1"/>
    <col min="5150" max="5151" width="8.88671875" style="423"/>
    <col min="5152" max="5152" width="9.5546875" style="423" bestFit="1" customWidth="1"/>
    <col min="5153" max="5153" width="10.21875" style="423" customWidth="1"/>
    <col min="5154" max="5154" width="8.88671875" style="423"/>
    <col min="5155" max="5155" width="9.5546875" style="423" customWidth="1"/>
    <col min="5156" max="5156" width="9.77734375" style="423" customWidth="1"/>
    <col min="5157" max="5157" width="8.88671875" style="423"/>
    <col min="5158" max="5158" width="9.5546875" style="423" bestFit="1" customWidth="1"/>
    <col min="5159" max="5159" width="10.109375" style="423" customWidth="1"/>
    <col min="5160" max="5160" width="8.88671875" style="423"/>
    <col min="5161" max="5161" width="9.44140625" style="423" customWidth="1"/>
    <col min="5162" max="5162" width="8.88671875" style="423"/>
    <col min="5163" max="5163" width="9.77734375" style="423" customWidth="1"/>
    <col min="5164" max="5164" width="9.5546875" style="423" bestFit="1" customWidth="1"/>
    <col min="5165" max="5165" width="10.33203125" style="423" customWidth="1"/>
    <col min="5166" max="5166" width="8.88671875" style="423"/>
    <col min="5167" max="5167" width="9.44140625" style="423" customWidth="1"/>
    <col min="5168" max="5169" width="8.88671875" style="423"/>
    <col min="5170" max="5170" width="10.109375" style="423" customWidth="1"/>
    <col min="5171" max="5171" width="9.77734375" style="423" customWidth="1"/>
    <col min="5172" max="5172" width="8.88671875" style="423"/>
    <col min="5173" max="5173" width="9.5546875" style="423" customWidth="1"/>
    <col min="5174" max="5175" width="8.88671875" style="423"/>
    <col min="5176" max="5176" width="9.5546875" style="423" bestFit="1" customWidth="1"/>
    <col min="5177" max="5177" width="11" style="423" customWidth="1"/>
    <col min="5178" max="5178" width="8.88671875" style="423"/>
    <col min="5179" max="5179" width="9.5546875" style="423" customWidth="1"/>
    <col min="5180" max="5181" width="8.88671875" style="423"/>
    <col min="5182" max="5182" width="9.5546875" style="423" bestFit="1" customWidth="1"/>
    <col min="5183" max="5183" width="10.21875" style="423" customWidth="1"/>
    <col min="5184" max="5184" width="8.88671875" style="423"/>
    <col min="5185" max="5185" width="9.44140625" style="423" customWidth="1"/>
    <col min="5186" max="5376" width="8.88671875" style="423"/>
    <col min="5377" max="5381" width="9.77734375" style="423" customWidth="1"/>
    <col min="5382" max="5382" width="10.6640625" style="423" customWidth="1"/>
    <col min="5383" max="5385" width="9.77734375" style="423" customWidth="1"/>
    <col min="5386" max="5386" width="7.6640625" style="423" customWidth="1"/>
    <col min="5387" max="5387" width="10.109375" style="423" bestFit="1" customWidth="1"/>
    <col min="5388" max="5388" width="9.77734375" style="423" customWidth="1"/>
    <col min="5389" max="5389" width="10.77734375" style="423" bestFit="1" customWidth="1"/>
    <col min="5390" max="5390" width="12.21875" style="423" customWidth="1"/>
    <col min="5391" max="5391" width="13.21875" style="423" bestFit="1" customWidth="1"/>
    <col min="5392" max="5392" width="8.88671875" style="423"/>
    <col min="5393" max="5393" width="10.77734375" style="423" customWidth="1"/>
    <col min="5394" max="5394" width="9" style="423" customWidth="1"/>
    <col min="5395" max="5395" width="8.88671875" style="423"/>
    <col min="5396" max="5396" width="9.6640625" style="423" bestFit="1" customWidth="1"/>
    <col min="5397" max="5397" width="10.109375" style="423" customWidth="1"/>
    <col min="5398" max="5398" width="11" style="423" customWidth="1"/>
    <col min="5399" max="5399" width="9.5546875" style="423" customWidth="1"/>
    <col min="5400" max="5401" width="8.88671875" style="423"/>
    <col min="5402" max="5402" width="9.5546875" style="423" bestFit="1" customWidth="1"/>
    <col min="5403" max="5403" width="10.44140625" style="423" customWidth="1"/>
    <col min="5404" max="5404" width="8.88671875" style="423"/>
    <col min="5405" max="5405" width="9.6640625" style="423" customWidth="1"/>
    <col min="5406" max="5407" width="8.88671875" style="423"/>
    <col min="5408" max="5408" width="9.5546875" style="423" bestFit="1" customWidth="1"/>
    <col min="5409" max="5409" width="10.21875" style="423" customWidth="1"/>
    <col min="5410" max="5410" width="8.88671875" style="423"/>
    <col min="5411" max="5411" width="9.5546875" style="423" customWidth="1"/>
    <col min="5412" max="5412" width="9.77734375" style="423" customWidth="1"/>
    <col min="5413" max="5413" width="8.88671875" style="423"/>
    <col min="5414" max="5414" width="9.5546875" style="423" bestFit="1" customWidth="1"/>
    <col min="5415" max="5415" width="10.109375" style="423" customWidth="1"/>
    <col min="5416" max="5416" width="8.88671875" style="423"/>
    <col min="5417" max="5417" width="9.44140625" style="423" customWidth="1"/>
    <col min="5418" max="5418" width="8.88671875" style="423"/>
    <col min="5419" max="5419" width="9.77734375" style="423" customWidth="1"/>
    <col min="5420" max="5420" width="9.5546875" style="423" bestFit="1" customWidth="1"/>
    <col min="5421" max="5421" width="10.33203125" style="423" customWidth="1"/>
    <col min="5422" max="5422" width="8.88671875" style="423"/>
    <col min="5423" max="5423" width="9.44140625" style="423" customWidth="1"/>
    <col min="5424" max="5425" width="8.88671875" style="423"/>
    <col min="5426" max="5426" width="10.109375" style="423" customWidth="1"/>
    <col min="5427" max="5427" width="9.77734375" style="423" customWidth="1"/>
    <col min="5428" max="5428" width="8.88671875" style="423"/>
    <col min="5429" max="5429" width="9.5546875" style="423" customWidth="1"/>
    <col min="5430" max="5431" width="8.88671875" style="423"/>
    <col min="5432" max="5432" width="9.5546875" style="423" bestFit="1" customWidth="1"/>
    <col min="5433" max="5433" width="11" style="423" customWidth="1"/>
    <col min="5434" max="5434" width="8.88671875" style="423"/>
    <col min="5435" max="5435" width="9.5546875" style="423" customWidth="1"/>
    <col min="5436" max="5437" width="8.88671875" style="423"/>
    <col min="5438" max="5438" width="9.5546875" style="423" bestFit="1" customWidth="1"/>
    <col min="5439" max="5439" width="10.21875" style="423" customWidth="1"/>
    <col min="5440" max="5440" width="8.88671875" style="423"/>
    <col min="5441" max="5441" width="9.44140625" style="423" customWidth="1"/>
    <col min="5442" max="5632" width="8.88671875" style="423"/>
    <col min="5633" max="5637" width="9.77734375" style="423" customWidth="1"/>
    <col min="5638" max="5638" width="10.6640625" style="423" customWidth="1"/>
    <col min="5639" max="5641" width="9.77734375" style="423" customWidth="1"/>
    <col min="5642" max="5642" width="7.6640625" style="423" customWidth="1"/>
    <col min="5643" max="5643" width="10.109375" style="423" bestFit="1" customWidth="1"/>
    <col min="5644" max="5644" width="9.77734375" style="423" customWidth="1"/>
    <col min="5645" max="5645" width="10.77734375" style="423" bestFit="1" customWidth="1"/>
    <col min="5646" max="5646" width="12.21875" style="423" customWidth="1"/>
    <col min="5647" max="5647" width="13.21875" style="423" bestFit="1" customWidth="1"/>
    <col min="5648" max="5648" width="8.88671875" style="423"/>
    <col min="5649" max="5649" width="10.77734375" style="423" customWidth="1"/>
    <col min="5650" max="5650" width="9" style="423" customWidth="1"/>
    <col min="5651" max="5651" width="8.88671875" style="423"/>
    <col min="5652" max="5652" width="9.6640625" style="423" bestFit="1" customWidth="1"/>
    <col min="5653" max="5653" width="10.109375" style="423" customWidth="1"/>
    <col min="5654" max="5654" width="11" style="423" customWidth="1"/>
    <col min="5655" max="5655" width="9.5546875" style="423" customWidth="1"/>
    <col min="5656" max="5657" width="8.88671875" style="423"/>
    <col min="5658" max="5658" width="9.5546875" style="423" bestFit="1" customWidth="1"/>
    <col min="5659" max="5659" width="10.44140625" style="423" customWidth="1"/>
    <col min="5660" max="5660" width="8.88671875" style="423"/>
    <col min="5661" max="5661" width="9.6640625" style="423" customWidth="1"/>
    <col min="5662" max="5663" width="8.88671875" style="423"/>
    <col min="5664" max="5664" width="9.5546875" style="423" bestFit="1" customWidth="1"/>
    <col min="5665" max="5665" width="10.21875" style="423" customWidth="1"/>
    <col min="5666" max="5666" width="8.88671875" style="423"/>
    <col min="5667" max="5667" width="9.5546875" style="423" customWidth="1"/>
    <col min="5668" max="5668" width="9.77734375" style="423" customWidth="1"/>
    <col min="5669" max="5669" width="8.88671875" style="423"/>
    <col min="5670" max="5670" width="9.5546875" style="423" bestFit="1" customWidth="1"/>
    <col min="5671" max="5671" width="10.109375" style="423" customWidth="1"/>
    <col min="5672" max="5672" width="8.88671875" style="423"/>
    <col min="5673" max="5673" width="9.44140625" style="423" customWidth="1"/>
    <col min="5674" max="5674" width="8.88671875" style="423"/>
    <col min="5675" max="5675" width="9.77734375" style="423" customWidth="1"/>
    <col min="5676" max="5676" width="9.5546875" style="423" bestFit="1" customWidth="1"/>
    <col min="5677" max="5677" width="10.33203125" style="423" customWidth="1"/>
    <col min="5678" max="5678" width="8.88671875" style="423"/>
    <col min="5679" max="5679" width="9.44140625" style="423" customWidth="1"/>
    <col min="5680" max="5681" width="8.88671875" style="423"/>
    <col min="5682" max="5682" width="10.109375" style="423" customWidth="1"/>
    <col min="5683" max="5683" width="9.77734375" style="423" customWidth="1"/>
    <col min="5684" max="5684" width="8.88671875" style="423"/>
    <col min="5685" max="5685" width="9.5546875" style="423" customWidth="1"/>
    <col min="5686" max="5687" width="8.88671875" style="423"/>
    <col min="5688" max="5688" width="9.5546875" style="423" bestFit="1" customWidth="1"/>
    <col min="5689" max="5689" width="11" style="423" customWidth="1"/>
    <col min="5690" max="5690" width="8.88671875" style="423"/>
    <col min="5691" max="5691" width="9.5546875" style="423" customWidth="1"/>
    <col min="5692" max="5693" width="8.88671875" style="423"/>
    <col min="5694" max="5694" width="9.5546875" style="423" bestFit="1" customWidth="1"/>
    <col min="5695" max="5695" width="10.21875" style="423" customWidth="1"/>
    <col min="5696" max="5696" width="8.88671875" style="423"/>
    <col min="5697" max="5697" width="9.44140625" style="423" customWidth="1"/>
    <col min="5698" max="5888" width="8.88671875" style="423"/>
    <col min="5889" max="5893" width="9.77734375" style="423" customWidth="1"/>
    <col min="5894" max="5894" width="10.6640625" style="423" customWidth="1"/>
    <col min="5895" max="5897" width="9.77734375" style="423" customWidth="1"/>
    <col min="5898" max="5898" width="7.6640625" style="423" customWidth="1"/>
    <col min="5899" max="5899" width="10.109375" style="423" bestFit="1" customWidth="1"/>
    <col min="5900" max="5900" width="9.77734375" style="423" customWidth="1"/>
    <col min="5901" max="5901" width="10.77734375" style="423" bestFit="1" customWidth="1"/>
    <col min="5902" max="5902" width="12.21875" style="423" customWidth="1"/>
    <col min="5903" max="5903" width="13.21875" style="423" bestFit="1" customWidth="1"/>
    <col min="5904" max="5904" width="8.88671875" style="423"/>
    <col min="5905" max="5905" width="10.77734375" style="423" customWidth="1"/>
    <col min="5906" max="5906" width="9" style="423" customWidth="1"/>
    <col min="5907" max="5907" width="8.88671875" style="423"/>
    <col min="5908" max="5908" width="9.6640625" style="423" bestFit="1" customWidth="1"/>
    <col min="5909" max="5909" width="10.109375" style="423" customWidth="1"/>
    <col min="5910" max="5910" width="11" style="423" customWidth="1"/>
    <col min="5911" max="5911" width="9.5546875" style="423" customWidth="1"/>
    <col min="5912" max="5913" width="8.88671875" style="423"/>
    <col min="5914" max="5914" width="9.5546875" style="423" bestFit="1" customWidth="1"/>
    <col min="5915" max="5915" width="10.44140625" style="423" customWidth="1"/>
    <col min="5916" max="5916" width="8.88671875" style="423"/>
    <col min="5917" max="5917" width="9.6640625" style="423" customWidth="1"/>
    <col min="5918" max="5919" width="8.88671875" style="423"/>
    <col min="5920" max="5920" width="9.5546875" style="423" bestFit="1" customWidth="1"/>
    <col min="5921" max="5921" width="10.21875" style="423" customWidth="1"/>
    <col min="5922" max="5922" width="8.88671875" style="423"/>
    <col min="5923" max="5923" width="9.5546875" style="423" customWidth="1"/>
    <col min="5924" max="5924" width="9.77734375" style="423" customWidth="1"/>
    <col min="5925" max="5925" width="8.88671875" style="423"/>
    <col min="5926" max="5926" width="9.5546875" style="423" bestFit="1" customWidth="1"/>
    <col min="5927" max="5927" width="10.109375" style="423" customWidth="1"/>
    <col min="5928" max="5928" width="8.88671875" style="423"/>
    <col min="5929" max="5929" width="9.44140625" style="423" customWidth="1"/>
    <col min="5930" max="5930" width="8.88671875" style="423"/>
    <col min="5931" max="5931" width="9.77734375" style="423" customWidth="1"/>
    <col min="5932" max="5932" width="9.5546875" style="423" bestFit="1" customWidth="1"/>
    <col min="5933" max="5933" width="10.33203125" style="423" customWidth="1"/>
    <col min="5934" max="5934" width="8.88671875" style="423"/>
    <col min="5935" max="5935" width="9.44140625" style="423" customWidth="1"/>
    <col min="5936" max="5937" width="8.88671875" style="423"/>
    <col min="5938" max="5938" width="10.109375" style="423" customWidth="1"/>
    <col min="5939" max="5939" width="9.77734375" style="423" customWidth="1"/>
    <col min="5940" max="5940" width="8.88671875" style="423"/>
    <col min="5941" max="5941" width="9.5546875" style="423" customWidth="1"/>
    <col min="5942" max="5943" width="8.88671875" style="423"/>
    <col min="5944" max="5944" width="9.5546875" style="423" bestFit="1" customWidth="1"/>
    <col min="5945" max="5945" width="11" style="423" customWidth="1"/>
    <col min="5946" max="5946" width="8.88671875" style="423"/>
    <col min="5947" max="5947" width="9.5546875" style="423" customWidth="1"/>
    <col min="5948" max="5949" width="8.88671875" style="423"/>
    <col min="5950" max="5950" width="9.5546875" style="423" bestFit="1" customWidth="1"/>
    <col min="5951" max="5951" width="10.21875" style="423" customWidth="1"/>
    <col min="5952" max="5952" width="8.88671875" style="423"/>
    <col min="5953" max="5953" width="9.44140625" style="423" customWidth="1"/>
    <col min="5954" max="6144" width="8.88671875" style="423"/>
    <col min="6145" max="6149" width="9.77734375" style="423" customWidth="1"/>
    <col min="6150" max="6150" width="10.6640625" style="423" customWidth="1"/>
    <col min="6151" max="6153" width="9.77734375" style="423" customWidth="1"/>
    <col min="6154" max="6154" width="7.6640625" style="423" customWidth="1"/>
    <col min="6155" max="6155" width="10.109375" style="423" bestFit="1" customWidth="1"/>
    <col min="6156" max="6156" width="9.77734375" style="423" customWidth="1"/>
    <col min="6157" max="6157" width="10.77734375" style="423" bestFit="1" customWidth="1"/>
    <col min="6158" max="6158" width="12.21875" style="423" customWidth="1"/>
    <col min="6159" max="6159" width="13.21875" style="423" bestFit="1" customWidth="1"/>
    <col min="6160" max="6160" width="8.88671875" style="423"/>
    <col min="6161" max="6161" width="10.77734375" style="423" customWidth="1"/>
    <col min="6162" max="6162" width="9" style="423" customWidth="1"/>
    <col min="6163" max="6163" width="8.88671875" style="423"/>
    <col min="6164" max="6164" width="9.6640625" style="423" bestFit="1" customWidth="1"/>
    <col min="6165" max="6165" width="10.109375" style="423" customWidth="1"/>
    <col min="6166" max="6166" width="11" style="423" customWidth="1"/>
    <col min="6167" max="6167" width="9.5546875" style="423" customWidth="1"/>
    <col min="6168" max="6169" width="8.88671875" style="423"/>
    <col min="6170" max="6170" width="9.5546875" style="423" bestFit="1" customWidth="1"/>
    <col min="6171" max="6171" width="10.44140625" style="423" customWidth="1"/>
    <col min="6172" max="6172" width="8.88671875" style="423"/>
    <col min="6173" max="6173" width="9.6640625" style="423" customWidth="1"/>
    <col min="6174" max="6175" width="8.88671875" style="423"/>
    <col min="6176" max="6176" width="9.5546875" style="423" bestFit="1" customWidth="1"/>
    <col min="6177" max="6177" width="10.21875" style="423" customWidth="1"/>
    <col min="6178" max="6178" width="8.88671875" style="423"/>
    <col min="6179" max="6179" width="9.5546875" style="423" customWidth="1"/>
    <col min="6180" max="6180" width="9.77734375" style="423" customWidth="1"/>
    <col min="6181" max="6181" width="8.88671875" style="423"/>
    <col min="6182" max="6182" width="9.5546875" style="423" bestFit="1" customWidth="1"/>
    <col min="6183" max="6183" width="10.109375" style="423" customWidth="1"/>
    <col min="6184" max="6184" width="8.88671875" style="423"/>
    <col min="6185" max="6185" width="9.44140625" style="423" customWidth="1"/>
    <col min="6186" max="6186" width="8.88671875" style="423"/>
    <col min="6187" max="6187" width="9.77734375" style="423" customWidth="1"/>
    <col min="6188" max="6188" width="9.5546875" style="423" bestFit="1" customWidth="1"/>
    <col min="6189" max="6189" width="10.33203125" style="423" customWidth="1"/>
    <col min="6190" max="6190" width="8.88671875" style="423"/>
    <col min="6191" max="6191" width="9.44140625" style="423" customWidth="1"/>
    <col min="6192" max="6193" width="8.88671875" style="423"/>
    <col min="6194" max="6194" width="10.109375" style="423" customWidth="1"/>
    <col min="6195" max="6195" width="9.77734375" style="423" customWidth="1"/>
    <col min="6196" max="6196" width="8.88671875" style="423"/>
    <col min="6197" max="6197" width="9.5546875" style="423" customWidth="1"/>
    <col min="6198" max="6199" width="8.88671875" style="423"/>
    <col min="6200" max="6200" width="9.5546875" style="423" bestFit="1" customWidth="1"/>
    <col min="6201" max="6201" width="11" style="423" customWidth="1"/>
    <col min="6202" max="6202" width="8.88671875" style="423"/>
    <col min="6203" max="6203" width="9.5546875" style="423" customWidth="1"/>
    <col min="6204" max="6205" width="8.88671875" style="423"/>
    <col min="6206" max="6206" width="9.5546875" style="423" bestFit="1" customWidth="1"/>
    <col min="6207" max="6207" width="10.21875" style="423" customWidth="1"/>
    <col min="6208" max="6208" width="8.88671875" style="423"/>
    <col min="6209" max="6209" width="9.44140625" style="423" customWidth="1"/>
    <col min="6210" max="6400" width="8.88671875" style="423"/>
    <col min="6401" max="6405" width="9.77734375" style="423" customWidth="1"/>
    <col min="6406" max="6406" width="10.6640625" style="423" customWidth="1"/>
    <col min="6407" max="6409" width="9.77734375" style="423" customWidth="1"/>
    <col min="6410" max="6410" width="7.6640625" style="423" customWidth="1"/>
    <col min="6411" max="6411" width="10.109375" style="423" bestFit="1" customWidth="1"/>
    <col min="6412" max="6412" width="9.77734375" style="423" customWidth="1"/>
    <col min="6413" max="6413" width="10.77734375" style="423" bestFit="1" customWidth="1"/>
    <col min="6414" max="6414" width="12.21875" style="423" customWidth="1"/>
    <col min="6415" max="6415" width="13.21875" style="423" bestFit="1" customWidth="1"/>
    <col min="6416" max="6416" width="8.88671875" style="423"/>
    <col min="6417" max="6417" width="10.77734375" style="423" customWidth="1"/>
    <col min="6418" max="6418" width="9" style="423" customWidth="1"/>
    <col min="6419" max="6419" width="8.88671875" style="423"/>
    <col min="6420" max="6420" width="9.6640625" style="423" bestFit="1" customWidth="1"/>
    <col min="6421" max="6421" width="10.109375" style="423" customWidth="1"/>
    <col min="6422" max="6422" width="11" style="423" customWidth="1"/>
    <col min="6423" max="6423" width="9.5546875" style="423" customWidth="1"/>
    <col min="6424" max="6425" width="8.88671875" style="423"/>
    <col min="6426" max="6426" width="9.5546875" style="423" bestFit="1" customWidth="1"/>
    <col min="6427" max="6427" width="10.44140625" style="423" customWidth="1"/>
    <col min="6428" max="6428" width="8.88671875" style="423"/>
    <col min="6429" max="6429" width="9.6640625" style="423" customWidth="1"/>
    <col min="6430" max="6431" width="8.88671875" style="423"/>
    <col min="6432" max="6432" width="9.5546875" style="423" bestFit="1" customWidth="1"/>
    <col min="6433" max="6433" width="10.21875" style="423" customWidth="1"/>
    <col min="6434" max="6434" width="8.88671875" style="423"/>
    <col min="6435" max="6435" width="9.5546875" style="423" customWidth="1"/>
    <col min="6436" max="6436" width="9.77734375" style="423" customWidth="1"/>
    <col min="6437" max="6437" width="8.88671875" style="423"/>
    <col min="6438" max="6438" width="9.5546875" style="423" bestFit="1" customWidth="1"/>
    <col min="6439" max="6439" width="10.109375" style="423" customWidth="1"/>
    <col min="6440" max="6440" width="8.88671875" style="423"/>
    <col min="6441" max="6441" width="9.44140625" style="423" customWidth="1"/>
    <col min="6442" max="6442" width="8.88671875" style="423"/>
    <col min="6443" max="6443" width="9.77734375" style="423" customWidth="1"/>
    <col min="6444" max="6444" width="9.5546875" style="423" bestFit="1" customWidth="1"/>
    <col min="6445" max="6445" width="10.33203125" style="423" customWidth="1"/>
    <col min="6446" max="6446" width="8.88671875" style="423"/>
    <col min="6447" max="6447" width="9.44140625" style="423" customWidth="1"/>
    <col min="6448" max="6449" width="8.88671875" style="423"/>
    <col min="6450" max="6450" width="10.109375" style="423" customWidth="1"/>
    <col min="6451" max="6451" width="9.77734375" style="423" customWidth="1"/>
    <col min="6452" max="6452" width="8.88671875" style="423"/>
    <col min="6453" max="6453" width="9.5546875" style="423" customWidth="1"/>
    <col min="6454" max="6455" width="8.88671875" style="423"/>
    <col min="6456" max="6456" width="9.5546875" style="423" bestFit="1" customWidth="1"/>
    <col min="6457" max="6457" width="11" style="423" customWidth="1"/>
    <col min="6458" max="6458" width="8.88671875" style="423"/>
    <col min="6459" max="6459" width="9.5546875" style="423" customWidth="1"/>
    <col min="6460" max="6461" width="8.88671875" style="423"/>
    <col min="6462" max="6462" width="9.5546875" style="423" bestFit="1" customWidth="1"/>
    <col min="6463" max="6463" width="10.21875" style="423" customWidth="1"/>
    <col min="6464" max="6464" width="8.88671875" style="423"/>
    <col min="6465" max="6465" width="9.44140625" style="423" customWidth="1"/>
    <col min="6466" max="6656" width="8.88671875" style="423"/>
    <col min="6657" max="6661" width="9.77734375" style="423" customWidth="1"/>
    <col min="6662" max="6662" width="10.6640625" style="423" customWidth="1"/>
    <col min="6663" max="6665" width="9.77734375" style="423" customWidth="1"/>
    <col min="6666" max="6666" width="7.6640625" style="423" customWidth="1"/>
    <col min="6667" max="6667" width="10.109375" style="423" bestFit="1" customWidth="1"/>
    <col min="6668" max="6668" width="9.77734375" style="423" customWidth="1"/>
    <col min="6669" max="6669" width="10.77734375" style="423" bestFit="1" customWidth="1"/>
    <col min="6670" max="6670" width="12.21875" style="423" customWidth="1"/>
    <col min="6671" max="6671" width="13.21875" style="423" bestFit="1" customWidth="1"/>
    <col min="6672" max="6672" width="8.88671875" style="423"/>
    <col min="6673" max="6673" width="10.77734375" style="423" customWidth="1"/>
    <col min="6674" max="6674" width="9" style="423" customWidth="1"/>
    <col min="6675" max="6675" width="8.88671875" style="423"/>
    <col min="6676" max="6676" width="9.6640625" style="423" bestFit="1" customWidth="1"/>
    <col min="6677" max="6677" width="10.109375" style="423" customWidth="1"/>
    <col min="6678" max="6678" width="11" style="423" customWidth="1"/>
    <col min="6679" max="6679" width="9.5546875" style="423" customWidth="1"/>
    <col min="6680" max="6681" width="8.88671875" style="423"/>
    <col min="6682" max="6682" width="9.5546875" style="423" bestFit="1" customWidth="1"/>
    <col min="6683" max="6683" width="10.44140625" style="423" customWidth="1"/>
    <col min="6684" max="6684" width="8.88671875" style="423"/>
    <col min="6685" max="6685" width="9.6640625" style="423" customWidth="1"/>
    <col min="6686" max="6687" width="8.88671875" style="423"/>
    <col min="6688" max="6688" width="9.5546875" style="423" bestFit="1" customWidth="1"/>
    <col min="6689" max="6689" width="10.21875" style="423" customWidth="1"/>
    <col min="6690" max="6690" width="8.88671875" style="423"/>
    <col min="6691" max="6691" width="9.5546875" style="423" customWidth="1"/>
    <col min="6692" max="6692" width="9.77734375" style="423" customWidth="1"/>
    <col min="6693" max="6693" width="8.88671875" style="423"/>
    <col min="6694" max="6694" width="9.5546875" style="423" bestFit="1" customWidth="1"/>
    <col min="6695" max="6695" width="10.109375" style="423" customWidth="1"/>
    <col min="6696" max="6696" width="8.88671875" style="423"/>
    <col min="6697" max="6697" width="9.44140625" style="423" customWidth="1"/>
    <col min="6698" max="6698" width="8.88671875" style="423"/>
    <col min="6699" max="6699" width="9.77734375" style="423" customWidth="1"/>
    <col min="6700" max="6700" width="9.5546875" style="423" bestFit="1" customWidth="1"/>
    <col min="6701" max="6701" width="10.33203125" style="423" customWidth="1"/>
    <col min="6702" max="6702" width="8.88671875" style="423"/>
    <col min="6703" max="6703" width="9.44140625" style="423" customWidth="1"/>
    <col min="6704" max="6705" width="8.88671875" style="423"/>
    <col min="6706" max="6706" width="10.109375" style="423" customWidth="1"/>
    <col min="6707" max="6707" width="9.77734375" style="423" customWidth="1"/>
    <col min="6708" max="6708" width="8.88671875" style="423"/>
    <col min="6709" max="6709" width="9.5546875" style="423" customWidth="1"/>
    <col min="6710" max="6711" width="8.88671875" style="423"/>
    <col min="6712" max="6712" width="9.5546875" style="423" bestFit="1" customWidth="1"/>
    <col min="6713" max="6713" width="11" style="423" customWidth="1"/>
    <col min="6714" max="6714" width="8.88671875" style="423"/>
    <col min="6715" max="6715" width="9.5546875" style="423" customWidth="1"/>
    <col min="6716" max="6717" width="8.88671875" style="423"/>
    <col min="6718" max="6718" width="9.5546875" style="423" bestFit="1" customWidth="1"/>
    <col min="6719" max="6719" width="10.21875" style="423" customWidth="1"/>
    <col min="6720" max="6720" width="8.88671875" style="423"/>
    <col min="6721" max="6721" width="9.44140625" style="423" customWidth="1"/>
    <col min="6722" max="6912" width="8.88671875" style="423"/>
    <col min="6913" max="6917" width="9.77734375" style="423" customWidth="1"/>
    <col min="6918" max="6918" width="10.6640625" style="423" customWidth="1"/>
    <col min="6919" max="6921" width="9.77734375" style="423" customWidth="1"/>
    <col min="6922" max="6922" width="7.6640625" style="423" customWidth="1"/>
    <col min="6923" max="6923" width="10.109375" style="423" bestFit="1" customWidth="1"/>
    <col min="6924" max="6924" width="9.77734375" style="423" customWidth="1"/>
    <col min="6925" max="6925" width="10.77734375" style="423" bestFit="1" customWidth="1"/>
    <col min="6926" max="6926" width="12.21875" style="423" customWidth="1"/>
    <col min="6927" max="6927" width="13.21875" style="423" bestFit="1" customWidth="1"/>
    <col min="6928" max="6928" width="8.88671875" style="423"/>
    <col min="6929" max="6929" width="10.77734375" style="423" customWidth="1"/>
    <col min="6930" max="6930" width="9" style="423" customWidth="1"/>
    <col min="6931" max="6931" width="8.88671875" style="423"/>
    <col min="6932" max="6932" width="9.6640625" style="423" bestFit="1" customWidth="1"/>
    <col min="6933" max="6933" width="10.109375" style="423" customWidth="1"/>
    <col min="6934" max="6934" width="11" style="423" customWidth="1"/>
    <col min="6935" max="6935" width="9.5546875" style="423" customWidth="1"/>
    <col min="6936" max="6937" width="8.88671875" style="423"/>
    <col min="6938" max="6938" width="9.5546875" style="423" bestFit="1" customWidth="1"/>
    <col min="6939" max="6939" width="10.44140625" style="423" customWidth="1"/>
    <col min="6940" max="6940" width="8.88671875" style="423"/>
    <col min="6941" max="6941" width="9.6640625" style="423" customWidth="1"/>
    <col min="6942" max="6943" width="8.88671875" style="423"/>
    <col min="6944" max="6944" width="9.5546875" style="423" bestFit="1" customWidth="1"/>
    <col min="6945" max="6945" width="10.21875" style="423" customWidth="1"/>
    <col min="6946" max="6946" width="8.88671875" style="423"/>
    <col min="6947" max="6947" width="9.5546875" style="423" customWidth="1"/>
    <col min="6948" max="6948" width="9.77734375" style="423" customWidth="1"/>
    <col min="6949" max="6949" width="8.88671875" style="423"/>
    <col min="6950" max="6950" width="9.5546875" style="423" bestFit="1" customWidth="1"/>
    <col min="6951" max="6951" width="10.109375" style="423" customWidth="1"/>
    <col min="6952" max="6952" width="8.88671875" style="423"/>
    <col min="6953" max="6953" width="9.44140625" style="423" customWidth="1"/>
    <col min="6954" max="6954" width="8.88671875" style="423"/>
    <col min="6955" max="6955" width="9.77734375" style="423" customWidth="1"/>
    <col min="6956" max="6956" width="9.5546875" style="423" bestFit="1" customWidth="1"/>
    <col min="6957" max="6957" width="10.33203125" style="423" customWidth="1"/>
    <col min="6958" max="6958" width="8.88671875" style="423"/>
    <col min="6959" max="6959" width="9.44140625" style="423" customWidth="1"/>
    <col min="6960" max="6961" width="8.88671875" style="423"/>
    <col min="6962" max="6962" width="10.109375" style="423" customWidth="1"/>
    <col min="6963" max="6963" width="9.77734375" style="423" customWidth="1"/>
    <col min="6964" max="6964" width="8.88671875" style="423"/>
    <col min="6965" max="6965" width="9.5546875" style="423" customWidth="1"/>
    <col min="6966" max="6967" width="8.88671875" style="423"/>
    <col min="6968" max="6968" width="9.5546875" style="423" bestFit="1" customWidth="1"/>
    <col min="6969" max="6969" width="11" style="423" customWidth="1"/>
    <col min="6970" max="6970" width="8.88671875" style="423"/>
    <col min="6971" max="6971" width="9.5546875" style="423" customWidth="1"/>
    <col min="6972" max="6973" width="8.88671875" style="423"/>
    <col min="6974" max="6974" width="9.5546875" style="423" bestFit="1" customWidth="1"/>
    <col min="6975" max="6975" width="10.21875" style="423" customWidth="1"/>
    <col min="6976" max="6976" width="8.88671875" style="423"/>
    <col min="6977" max="6977" width="9.44140625" style="423" customWidth="1"/>
    <col min="6978" max="7168" width="8.88671875" style="423"/>
    <col min="7169" max="7173" width="9.77734375" style="423" customWidth="1"/>
    <col min="7174" max="7174" width="10.6640625" style="423" customWidth="1"/>
    <col min="7175" max="7177" width="9.77734375" style="423" customWidth="1"/>
    <col min="7178" max="7178" width="7.6640625" style="423" customWidth="1"/>
    <col min="7179" max="7179" width="10.109375" style="423" bestFit="1" customWidth="1"/>
    <col min="7180" max="7180" width="9.77734375" style="423" customWidth="1"/>
    <col min="7181" max="7181" width="10.77734375" style="423" bestFit="1" customWidth="1"/>
    <col min="7182" max="7182" width="12.21875" style="423" customWidth="1"/>
    <col min="7183" max="7183" width="13.21875" style="423" bestFit="1" customWidth="1"/>
    <col min="7184" max="7184" width="8.88671875" style="423"/>
    <col min="7185" max="7185" width="10.77734375" style="423" customWidth="1"/>
    <col min="7186" max="7186" width="9" style="423" customWidth="1"/>
    <col min="7187" max="7187" width="8.88671875" style="423"/>
    <col min="7188" max="7188" width="9.6640625" style="423" bestFit="1" customWidth="1"/>
    <col min="7189" max="7189" width="10.109375" style="423" customWidth="1"/>
    <col min="7190" max="7190" width="11" style="423" customWidth="1"/>
    <col min="7191" max="7191" width="9.5546875" style="423" customWidth="1"/>
    <col min="7192" max="7193" width="8.88671875" style="423"/>
    <col min="7194" max="7194" width="9.5546875" style="423" bestFit="1" customWidth="1"/>
    <col min="7195" max="7195" width="10.44140625" style="423" customWidth="1"/>
    <col min="7196" max="7196" width="8.88671875" style="423"/>
    <col min="7197" max="7197" width="9.6640625" style="423" customWidth="1"/>
    <col min="7198" max="7199" width="8.88671875" style="423"/>
    <col min="7200" max="7200" width="9.5546875" style="423" bestFit="1" customWidth="1"/>
    <col min="7201" max="7201" width="10.21875" style="423" customWidth="1"/>
    <col min="7202" max="7202" width="8.88671875" style="423"/>
    <col min="7203" max="7203" width="9.5546875" style="423" customWidth="1"/>
    <col min="7204" max="7204" width="9.77734375" style="423" customWidth="1"/>
    <col min="7205" max="7205" width="8.88671875" style="423"/>
    <col min="7206" max="7206" width="9.5546875" style="423" bestFit="1" customWidth="1"/>
    <col min="7207" max="7207" width="10.109375" style="423" customWidth="1"/>
    <col min="7208" max="7208" width="8.88671875" style="423"/>
    <col min="7209" max="7209" width="9.44140625" style="423" customWidth="1"/>
    <col min="7210" max="7210" width="8.88671875" style="423"/>
    <col min="7211" max="7211" width="9.77734375" style="423" customWidth="1"/>
    <col min="7212" max="7212" width="9.5546875" style="423" bestFit="1" customWidth="1"/>
    <col min="7213" max="7213" width="10.33203125" style="423" customWidth="1"/>
    <col min="7214" max="7214" width="8.88671875" style="423"/>
    <col min="7215" max="7215" width="9.44140625" style="423" customWidth="1"/>
    <col min="7216" max="7217" width="8.88671875" style="423"/>
    <col min="7218" max="7218" width="10.109375" style="423" customWidth="1"/>
    <col min="7219" max="7219" width="9.77734375" style="423" customWidth="1"/>
    <col min="7220" max="7220" width="8.88671875" style="423"/>
    <col min="7221" max="7221" width="9.5546875" style="423" customWidth="1"/>
    <col min="7222" max="7223" width="8.88671875" style="423"/>
    <col min="7224" max="7224" width="9.5546875" style="423" bestFit="1" customWidth="1"/>
    <col min="7225" max="7225" width="11" style="423" customWidth="1"/>
    <col min="7226" max="7226" width="8.88671875" style="423"/>
    <col min="7227" max="7227" width="9.5546875" style="423" customWidth="1"/>
    <col min="7228" max="7229" width="8.88671875" style="423"/>
    <col min="7230" max="7230" width="9.5546875" style="423" bestFit="1" customWidth="1"/>
    <col min="7231" max="7231" width="10.21875" style="423" customWidth="1"/>
    <col min="7232" max="7232" width="8.88671875" style="423"/>
    <col min="7233" max="7233" width="9.44140625" style="423" customWidth="1"/>
    <col min="7234" max="7424" width="8.88671875" style="423"/>
    <col min="7425" max="7429" width="9.77734375" style="423" customWidth="1"/>
    <col min="7430" max="7430" width="10.6640625" style="423" customWidth="1"/>
    <col min="7431" max="7433" width="9.77734375" style="423" customWidth="1"/>
    <col min="7434" max="7434" width="7.6640625" style="423" customWidth="1"/>
    <col min="7435" max="7435" width="10.109375" style="423" bestFit="1" customWidth="1"/>
    <col min="7436" max="7436" width="9.77734375" style="423" customWidth="1"/>
    <col min="7437" max="7437" width="10.77734375" style="423" bestFit="1" customWidth="1"/>
    <col min="7438" max="7438" width="12.21875" style="423" customWidth="1"/>
    <col min="7439" max="7439" width="13.21875" style="423" bestFit="1" customWidth="1"/>
    <col min="7440" max="7440" width="8.88671875" style="423"/>
    <col min="7441" max="7441" width="10.77734375" style="423" customWidth="1"/>
    <col min="7442" max="7442" width="9" style="423" customWidth="1"/>
    <col min="7443" max="7443" width="8.88671875" style="423"/>
    <col min="7444" max="7444" width="9.6640625" style="423" bestFit="1" customWidth="1"/>
    <col min="7445" max="7445" width="10.109375" style="423" customWidth="1"/>
    <col min="7446" max="7446" width="11" style="423" customWidth="1"/>
    <col min="7447" max="7447" width="9.5546875" style="423" customWidth="1"/>
    <col min="7448" max="7449" width="8.88671875" style="423"/>
    <col min="7450" max="7450" width="9.5546875" style="423" bestFit="1" customWidth="1"/>
    <col min="7451" max="7451" width="10.44140625" style="423" customWidth="1"/>
    <col min="7452" max="7452" width="8.88671875" style="423"/>
    <col min="7453" max="7453" width="9.6640625" style="423" customWidth="1"/>
    <col min="7454" max="7455" width="8.88671875" style="423"/>
    <col min="7456" max="7456" width="9.5546875" style="423" bestFit="1" customWidth="1"/>
    <col min="7457" max="7457" width="10.21875" style="423" customWidth="1"/>
    <col min="7458" max="7458" width="8.88671875" style="423"/>
    <col min="7459" max="7459" width="9.5546875" style="423" customWidth="1"/>
    <col min="7460" max="7460" width="9.77734375" style="423" customWidth="1"/>
    <col min="7461" max="7461" width="8.88671875" style="423"/>
    <col min="7462" max="7462" width="9.5546875" style="423" bestFit="1" customWidth="1"/>
    <col min="7463" max="7463" width="10.109375" style="423" customWidth="1"/>
    <col min="7464" max="7464" width="8.88671875" style="423"/>
    <col min="7465" max="7465" width="9.44140625" style="423" customWidth="1"/>
    <col min="7466" max="7466" width="8.88671875" style="423"/>
    <col min="7467" max="7467" width="9.77734375" style="423" customWidth="1"/>
    <col min="7468" max="7468" width="9.5546875" style="423" bestFit="1" customWidth="1"/>
    <col min="7469" max="7469" width="10.33203125" style="423" customWidth="1"/>
    <col min="7470" max="7470" width="8.88671875" style="423"/>
    <col min="7471" max="7471" width="9.44140625" style="423" customWidth="1"/>
    <col min="7472" max="7473" width="8.88671875" style="423"/>
    <col min="7474" max="7474" width="10.109375" style="423" customWidth="1"/>
    <col min="7475" max="7475" width="9.77734375" style="423" customWidth="1"/>
    <col min="7476" max="7476" width="8.88671875" style="423"/>
    <col min="7477" max="7477" width="9.5546875" style="423" customWidth="1"/>
    <col min="7478" max="7479" width="8.88671875" style="423"/>
    <col min="7480" max="7480" width="9.5546875" style="423" bestFit="1" customWidth="1"/>
    <col min="7481" max="7481" width="11" style="423" customWidth="1"/>
    <col min="7482" max="7482" width="8.88671875" style="423"/>
    <col min="7483" max="7483" width="9.5546875" style="423" customWidth="1"/>
    <col min="7484" max="7485" width="8.88671875" style="423"/>
    <col min="7486" max="7486" width="9.5546875" style="423" bestFit="1" customWidth="1"/>
    <col min="7487" max="7487" width="10.21875" style="423" customWidth="1"/>
    <col min="7488" max="7488" width="8.88671875" style="423"/>
    <col min="7489" max="7489" width="9.44140625" style="423" customWidth="1"/>
    <col min="7490" max="7680" width="8.88671875" style="423"/>
    <col min="7681" max="7685" width="9.77734375" style="423" customWidth="1"/>
    <col min="7686" max="7686" width="10.6640625" style="423" customWidth="1"/>
    <col min="7687" max="7689" width="9.77734375" style="423" customWidth="1"/>
    <col min="7690" max="7690" width="7.6640625" style="423" customWidth="1"/>
    <col min="7691" max="7691" width="10.109375" style="423" bestFit="1" customWidth="1"/>
    <col min="7692" max="7692" width="9.77734375" style="423" customWidth="1"/>
    <col min="7693" max="7693" width="10.77734375" style="423" bestFit="1" customWidth="1"/>
    <col min="7694" max="7694" width="12.21875" style="423" customWidth="1"/>
    <col min="7695" max="7695" width="13.21875" style="423" bestFit="1" customWidth="1"/>
    <col min="7696" max="7696" width="8.88671875" style="423"/>
    <col min="7697" max="7697" width="10.77734375" style="423" customWidth="1"/>
    <col min="7698" max="7698" width="9" style="423" customWidth="1"/>
    <col min="7699" max="7699" width="8.88671875" style="423"/>
    <col min="7700" max="7700" width="9.6640625" style="423" bestFit="1" customWidth="1"/>
    <col min="7701" max="7701" width="10.109375" style="423" customWidth="1"/>
    <col min="7702" max="7702" width="11" style="423" customWidth="1"/>
    <col min="7703" max="7703" width="9.5546875" style="423" customWidth="1"/>
    <col min="7704" max="7705" width="8.88671875" style="423"/>
    <col min="7706" max="7706" width="9.5546875" style="423" bestFit="1" customWidth="1"/>
    <col min="7707" max="7707" width="10.44140625" style="423" customWidth="1"/>
    <col min="7708" max="7708" width="8.88671875" style="423"/>
    <col min="7709" max="7709" width="9.6640625" style="423" customWidth="1"/>
    <col min="7710" max="7711" width="8.88671875" style="423"/>
    <col min="7712" max="7712" width="9.5546875" style="423" bestFit="1" customWidth="1"/>
    <col min="7713" max="7713" width="10.21875" style="423" customWidth="1"/>
    <col min="7714" max="7714" width="8.88671875" style="423"/>
    <col min="7715" max="7715" width="9.5546875" style="423" customWidth="1"/>
    <col min="7716" max="7716" width="9.77734375" style="423" customWidth="1"/>
    <col min="7717" max="7717" width="8.88671875" style="423"/>
    <col min="7718" max="7718" width="9.5546875" style="423" bestFit="1" customWidth="1"/>
    <col min="7719" max="7719" width="10.109375" style="423" customWidth="1"/>
    <col min="7720" max="7720" width="8.88671875" style="423"/>
    <col min="7721" max="7721" width="9.44140625" style="423" customWidth="1"/>
    <col min="7722" max="7722" width="8.88671875" style="423"/>
    <col min="7723" max="7723" width="9.77734375" style="423" customWidth="1"/>
    <col min="7724" max="7724" width="9.5546875" style="423" bestFit="1" customWidth="1"/>
    <col min="7725" max="7725" width="10.33203125" style="423" customWidth="1"/>
    <col min="7726" max="7726" width="8.88671875" style="423"/>
    <col min="7727" max="7727" width="9.44140625" style="423" customWidth="1"/>
    <col min="7728" max="7729" width="8.88671875" style="423"/>
    <col min="7730" max="7730" width="10.109375" style="423" customWidth="1"/>
    <col min="7731" max="7731" width="9.77734375" style="423" customWidth="1"/>
    <col min="7732" max="7732" width="8.88671875" style="423"/>
    <col min="7733" max="7733" width="9.5546875" style="423" customWidth="1"/>
    <col min="7734" max="7735" width="8.88671875" style="423"/>
    <col min="7736" max="7736" width="9.5546875" style="423" bestFit="1" customWidth="1"/>
    <col min="7737" max="7737" width="11" style="423" customWidth="1"/>
    <col min="7738" max="7738" width="8.88671875" style="423"/>
    <col min="7739" max="7739" width="9.5546875" style="423" customWidth="1"/>
    <col min="7740" max="7741" width="8.88671875" style="423"/>
    <col min="7742" max="7742" width="9.5546875" style="423" bestFit="1" customWidth="1"/>
    <col min="7743" max="7743" width="10.21875" style="423" customWidth="1"/>
    <col min="7744" max="7744" width="8.88671875" style="423"/>
    <col min="7745" max="7745" width="9.44140625" style="423" customWidth="1"/>
    <col min="7746" max="7936" width="8.88671875" style="423"/>
    <col min="7937" max="7941" width="9.77734375" style="423" customWidth="1"/>
    <col min="7942" max="7942" width="10.6640625" style="423" customWidth="1"/>
    <col min="7943" max="7945" width="9.77734375" style="423" customWidth="1"/>
    <col min="7946" max="7946" width="7.6640625" style="423" customWidth="1"/>
    <col min="7947" max="7947" width="10.109375" style="423" bestFit="1" customWidth="1"/>
    <col min="7948" max="7948" width="9.77734375" style="423" customWidth="1"/>
    <col min="7949" max="7949" width="10.77734375" style="423" bestFit="1" customWidth="1"/>
    <col min="7950" max="7950" width="12.21875" style="423" customWidth="1"/>
    <col min="7951" max="7951" width="13.21875" style="423" bestFit="1" customWidth="1"/>
    <col min="7952" max="7952" width="8.88671875" style="423"/>
    <col min="7953" max="7953" width="10.77734375" style="423" customWidth="1"/>
    <col min="7954" max="7954" width="9" style="423" customWidth="1"/>
    <col min="7955" max="7955" width="8.88671875" style="423"/>
    <col min="7956" max="7956" width="9.6640625" style="423" bestFit="1" customWidth="1"/>
    <col min="7957" max="7957" width="10.109375" style="423" customWidth="1"/>
    <col min="7958" max="7958" width="11" style="423" customWidth="1"/>
    <col min="7959" max="7959" width="9.5546875" style="423" customWidth="1"/>
    <col min="7960" max="7961" width="8.88671875" style="423"/>
    <col min="7962" max="7962" width="9.5546875" style="423" bestFit="1" customWidth="1"/>
    <col min="7963" max="7963" width="10.44140625" style="423" customWidth="1"/>
    <col min="7964" max="7964" width="8.88671875" style="423"/>
    <col min="7965" max="7965" width="9.6640625" style="423" customWidth="1"/>
    <col min="7966" max="7967" width="8.88671875" style="423"/>
    <col min="7968" max="7968" width="9.5546875" style="423" bestFit="1" customWidth="1"/>
    <col min="7969" max="7969" width="10.21875" style="423" customWidth="1"/>
    <col min="7970" max="7970" width="8.88671875" style="423"/>
    <col min="7971" max="7971" width="9.5546875" style="423" customWidth="1"/>
    <col min="7972" max="7972" width="9.77734375" style="423" customWidth="1"/>
    <col min="7973" max="7973" width="8.88671875" style="423"/>
    <col min="7974" max="7974" width="9.5546875" style="423" bestFit="1" customWidth="1"/>
    <col min="7975" max="7975" width="10.109375" style="423" customWidth="1"/>
    <col min="7976" max="7976" width="8.88671875" style="423"/>
    <col min="7977" max="7977" width="9.44140625" style="423" customWidth="1"/>
    <col min="7978" max="7978" width="8.88671875" style="423"/>
    <col min="7979" max="7979" width="9.77734375" style="423" customWidth="1"/>
    <col min="7980" max="7980" width="9.5546875" style="423" bestFit="1" customWidth="1"/>
    <col min="7981" max="7981" width="10.33203125" style="423" customWidth="1"/>
    <col min="7982" max="7982" width="8.88671875" style="423"/>
    <col min="7983" max="7983" width="9.44140625" style="423" customWidth="1"/>
    <col min="7984" max="7985" width="8.88671875" style="423"/>
    <col min="7986" max="7986" width="10.109375" style="423" customWidth="1"/>
    <col min="7987" max="7987" width="9.77734375" style="423" customWidth="1"/>
    <col min="7988" max="7988" width="8.88671875" style="423"/>
    <col min="7989" max="7989" width="9.5546875" style="423" customWidth="1"/>
    <col min="7990" max="7991" width="8.88671875" style="423"/>
    <col min="7992" max="7992" width="9.5546875" style="423" bestFit="1" customWidth="1"/>
    <col min="7993" max="7993" width="11" style="423" customWidth="1"/>
    <col min="7994" max="7994" width="8.88671875" style="423"/>
    <col min="7995" max="7995" width="9.5546875" style="423" customWidth="1"/>
    <col min="7996" max="7997" width="8.88671875" style="423"/>
    <col min="7998" max="7998" width="9.5546875" style="423" bestFit="1" customWidth="1"/>
    <col min="7999" max="7999" width="10.21875" style="423" customWidth="1"/>
    <col min="8000" max="8000" width="8.88671875" style="423"/>
    <col min="8001" max="8001" width="9.44140625" style="423" customWidth="1"/>
    <col min="8002" max="8192" width="8.88671875" style="423"/>
    <col min="8193" max="8197" width="9.77734375" style="423" customWidth="1"/>
    <col min="8198" max="8198" width="10.6640625" style="423" customWidth="1"/>
    <col min="8199" max="8201" width="9.77734375" style="423" customWidth="1"/>
    <col min="8202" max="8202" width="7.6640625" style="423" customWidth="1"/>
    <col min="8203" max="8203" width="10.109375" style="423" bestFit="1" customWidth="1"/>
    <col min="8204" max="8204" width="9.77734375" style="423" customWidth="1"/>
    <col min="8205" max="8205" width="10.77734375" style="423" bestFit="1" customWidth="1"/>
    <col min="8206" max="8206" width="12.21875" style="423" customWidth="1"/>
    <col min="8207" max="8207" width="13.21875" style="423" bestFit="1" customWidth="1"/>
    <col min="8208" max="8208" width="8.88671875" style="423"/>
    <col min="8209" max="8209" width="10.77734375" style="423" customWidth="1"/>
    <col min="8210" max="8210" width="9" style="423" customWidth="1"/>
    <col min="8211" max="8211" width="8.88671875" style="423"/>
    <col min="8212" max="8212" width="9.6640625" style="423" bestFit="1" customWidth="1"/>
    <col min="8213" max="8213" width="10.109375" style="423" customWidth="1"/>
    <col min="8214" max="8214" width="11" style="423" customWidth="1"/>
    <col min="8215" max="8215" width="9.5546875" style="423" customWidth="1"/>
    <col min="8216" max="8217" width="8.88671875" style="423"/>
    <col min="8218" max="8218" width="9.5546875" style="423" bestFit="1" customWidth="1"/>
    <col min="8219" max="8219" width="10.44140625" style="423" customWidth="1"/>
    <col min="8220" max="8220" width="8.88671875" style="423"/>
    <col min="8221" max="8221" width="9.6640625" style="423" customWidth="1"/>
    <col min="8222" max="8223" width="8.88671875" style="423"/>
    <col min="8224" max="8224" width="9.5546875" style="423" bestFit="1" customWidth="1"/>
    <col min="8225" max="8225" width="10.21875" style="423" customWidth="1"/>
    <col min="8226" max="8226" width="8.88671875" style="423"/>
    <col min="8227" max="8227" width="9.5546875" style="423" customWidth="1"/>
    <col min="8228" max="8228" width="9.77734375" style="423" customWidth="1"/>
    <col min="8229" max="8229" width="8.88671875" style="423"/>
    <col min="8230" max="8230" width="9.5546875" style="423" bestFit="1" customWidth="1"/>
    <col min="8231" max="8231" width="10.109375" style="423" customWidth="1"/>
    <col min="8232" max="8232" width="8.88671875" style="423"/>
    <col min="8233" max="8233" width="9.44140625" style="423" customWidth="1"/>
    <col min="8234" max="8234" width="8.88671875" style="423"/>
    <col min="8235" max="8235" width="9.77734375" style="423" customWidth="1"/>
    <col min="8236" max="8236" width="9.5546875" style="423" bestFit="1" customWidth="1"/>
    <col min="8237" max="8237" width="10.33203125" style="423" customWidth="1"/>
    <col min="8238" max="8238" width="8.88671875" style="423"/>
    <col min="8239" max="8239" width="9.44140625" style="423" customWidth="1"/>
    <col min="8240" max="8241" width="8.88671875" style="423"/>
    <col min="8242" max="8242" width="10.109375" style="423" customWidth="1"/>
    <col min="8243" max="8243" width="9.77734375" style="423" customWidth="1"/>
    <col min="8244" max="8244" width="8.88671875" style="423"/>
    <col min="8245" max="8245" width="9.5546875" style="423" customWidth="1"/>
    <col min="8246" max="8247" width="8.88671875" style="423"/>
    <col min="8248" max="8248" width="9.5546875" style="423" bestFit="1" customWidth="1"/>
    <col min="8249" max="8249" width="11" style="423" customWidth="1"/>
    <col min="8250" max="8250" width="8.88671875" style="423"/>
    <col min="8251" max="8251" width="9.5546875" style="423" customWidth="1"/>
    <col min="8252" max="8253" width="8.88671875" style="423"/>
    <col min="8254" max="8254" width="9.5546875" style="423" bestFit="1" customWidth="1"/>
    <col min="8255" max="8255" width="10.21875" style="423" customWidth="1"/>
    <col min="8256" max="8256" width="8.88671875" style="423"/>
    <col min="8257" max="8257" width="9.44140625" style="423" customWidth="1"/>
    <col min="8258" max="8448" width="8.88671875" style="423"/>
    <col min="8449" max="8453" width="9.77734375" style="423" customWidth="1"/>
    <col min="8454" max="8454" width="10.6640625" style="423" customWidth="1"/>
    <col min="8455" max="8457" width="9.77734375" style="423" customWidth="1"/>
    <col min="8458" max="8458" width="7.6640625" style="423" customWidth="1"/>
    <col min="8459" max="8459" width="10.109375" style="423" bestFit="1" customWidth="1"/>
    <col min="8460" max="8460" width="9.77734375" style="423" customWidth="1"/>
    <col min="8461" max="8461" width="10.77734375" style="423" bestFit="1" customWidth="1"/>
    <col min="8462" max="8462" width="12.21875" style="423" customWidth="1"/>
    <col min="8463" max="8463" width="13.21875" style="423" bestFit="1" customWidth="1"/>
    <col min="8464" max="8464" width="8.88671875" style="423"/>
    <col min="8465" max="8465" width="10.77734375" style="423" customWidth="1"/>
    <col min="8466" max="8466" width="9" style="423" customWidth="1"/>
    <col min="8467" max="8467" width="8.88671875" style="423"/>
    <col min="8468" max="8468" width="9.6640625" style="423" bestFit="1" customWidth="1"/>
    <col min="8469" max="8469" width="10.109375" style="423" customWidth="1"/>
    <col min="8470" max="8470" width="11" style="423" customWidth="1"/>
    <col min="8471" max="8471" width="9.5546875" style="423" customWidth="1"/>
    <col min="8472" max="8473" width="8.88671875" style="423"/>
    <col min="8474" max="8474" width="9.5546875" style="423" bestFit="1" customWidth="1"/>
    <col min="8475" max="8475" width="10.44140625" style="423" customWidth="1"/>
    <col min="8476" max="8476" width="8.88671875" style="423"/>
    <col min="8477" max="8477" width="9.6640625" style="423" customWidth="1"/>
    <col min="8478" max="8479" width="8.88671875" style="423"/>
    <col min="8480" max="8480" width="9.5546875" style="423" bestFit="1" customWidth="1"/>
    <col min="8481" max="8481" width="10.21875" style="423" customWidth="1"/>
    <col min="8482" max="8482" width="8.88671875" style="423"/>
    <col min="8483" max="8483" width="9.5546875" style="423" customWidth="1"/>
    <col min="8484" max="8484" width="9.77734375" style="423" customWidth="1"/>
    <col min="8485" max="8485" width="8.88671875" style="423"/>
    <col min="8486" max="8486" width="9.5546875" style="423" bestFit="1" customWidth="1"/>
    <col min="8487" max="8487" width="10.109375" style="423" customWidth="1"/>
    <col min="8488" max="8488" width="8.88671875" style="423"/>
    <col min="8489" max="8489" width="9.44140625" style="423" customWidth="1"/>
    <col min="8490" max="8490" width="8.88671875" style="423"/>
    <col min="8491" max="8491" width="9.77734375" style="423" customWidth="1"/>
    <col min="8492" max="8492" width="9.5546875" style="423" bestFit="1" customWidth="1"/>
    <col min="8493" max="8493" width="10.33203125" style="423" customWidth="1"/>
    <col min="8494" max="8494" width="8.88671875" style="423"/>
    <col min="8495" max="8495" width="9.44140625" style="423" customWidth="1"/>
    <col min="8496" max="8497" width="8.88671875" style="423"/>
    <col min="8498" max="8498" width="10.109375" style="423" customWidth="1"/>
    <col min="8499" max="8499" width="9.77734375" style="423" customWidth="1"/>
    <col min="8500" max="8500" width="8.88671875" style="423"/>
    <col min="8501" max="8501" width="9.5546875" style="423" customWidth="1"/>
    <col min="8502" max="8503" width="8.88671875" style="423"/>
    <col min="8504" max="8504" width="9.5546875" style="423" bestFit="1" customWidth="1"/>
    <col min="8505" max="8505" width="11" style="423" customWidth="1"/>
    <col min="8506" max="8506" width="8.88671875" style="423"/>
    <col min="8507" max="8507" width="9.5546875" style="423" customWidth="1"/>
    <col min="8508" max="8509" width="8.88671875" style="423"/>
    <col min="8510" max="8510" width="9.5546875" style="423" bestFit="1" customWidth="1"/>
    <col min="8511" max="8511" width="10.21875" style="423" customWidth="1"/>
    <col min="8512" max="8512" width="8.88671875" style="423"/>
    <col min="8513" max="8513" width="9.44140625" style="423" customWidth="1"/>
    <col min="8514" max="8704" width="8.88671875" style="423"/>
    <col min="8705" max="8709" width="9.77734375" style="423" customWidth="1"/>
    <col min="8710" max="8710" width="10.6640625" style="423" customWidth="1"/>
    <col min="8711" max="8713" width="9.77734375" style="423" customWidth="1"/>
    <col min="8714" max="8714" width="7.6640625" style="423" customWidth="1"/>
    <col min="8715" max="8715" width="10.109375" style="423" bestFit="1" customWidth="1"/>
    <col min="8716" max="8716" width="9.77734375" style="423" customWidth="1"/>
    <col min="8717" max="8717" width="10.77734375" style="423" bestFit="1" customWidth="1"/>
    <col min="8718" max="8718" width="12.21875" style="423" customWidth="1"/>
    <col min="8719" max="8719" width="13.21875" style="423" bestFit="1" customWidth="1"/>
    <col min="8720" max="8720" width="8.88671875" style="423"/>
    <col min="8721" max="8721" width="10.77734375" style="423" customWidth="1"/>
    <col min="8722" max="8722" width="9" style="423" customWidth="1"/>
    <col min="8723" max="8723" width="8.88671875" style="423"/>
    <col min="8724" max="8724" width="9.6640625" style="423" bestFit="1" customWidth="1"/>
    <col min="8725" max="8725" width="10.109375" style="423" customWidth="1"/>
    <col min="8726" max="8726" width="11" style="423" customWidth="1"/>
    <col min="8727" max="8727" width="9.5546875" style="423" customWidth="1"/>
    <col min="8728" max="8729" width="8.88671875" style="423"/>
    <col min="8730" max="8730" width="9.5546875" style="423" bestFit="1" customWidth="1"/>
    <col min="8731" max="8731" width="10.44140625" style="423" customWidth="1"/>
    <col min="8732" max="8732" width="8.88671875" style="423"/>
    <col min="8733" max="8733" width="9.6640625" style="423" customWidth="1"/>
    <col min="8734" max="8735" width="8.88671875" style="423"/>
    <col min="8736" max="8736" width="9.5546875" style="423" bestFit="1" customWidth="1"/>
    <col min="8737" max="8737" width="10.21875" style="423" customWidth="1"/>
    <col min="8738" max="8738" width="8.88671875" style="423"/>
    <col min="8739" max="8739" width="9.5546875" style="423" customWidth="1"/>
    <col min="8740" max="8740" width="9.77734375" style="423" customWidth="1"/>
    <col min="8741" max="8741" width="8.88671875" style="423"/>
    <col min="8742" max="8742" width="9.5546875" style="423" bestFit="1" customWidth="1"/>
    <col min="8743" max="8743" width="10.109375" style="423" customWidth="1"/>
    <col min="8744" max="8744" width="8.88671875" style="423"/>
    <col min="8745" max="8745" width="9.44140625" style="423" customWidth="1"/>
    <col min="8746" max="8746" width="8.88671875" style="423"/>
    <col min="8747" max="8747" width="9.77734375" style="423" customWidth="1"/>
    <col min="8748" max="8748" width="9.5546875" style="423" bestFit="1" customWidth="1"/>
    <col min="8749" max="8749" width="10.33203125" style="423" customWidth="1"/>
    <col min="8750" max="8750" width="8.88671875" style="423"/>
    <col min="8751" max="8751" width="9.44140625" style="423" customWidth="1"/>
    <col min="8752" max="8753" width="8.88671875" style="423"/>
    <col min="8754" max="8754" width="10.109375" style="423" customWidth="1"/>
    <col min="8755" max="8755" width="9.77734375" style="423" customWidth="1"/>
    <col min="8756" max="8756" width="8.88671875" style="423"/>
    <col min="8757" max="8757" width="9.5546875" style="423" customWidth="1"/>
    <col min="8758" max="8759" width="8.88671875" style="423"/>
    <col min="8760" max="8760" width="9.5546875" style="423" bestFit="1" customWidth="1"/>
    <col min="8761" max="8761" width="11" style="423" customWidth="1"/>
    <col min="8762" max="8762" width="8.88671875" style="423"/>
    <col min="8763" max="8763" width="9.5546875" style="423" customWidth="1"/>
    <col min="8764" max="8765" width="8.88671875" style="423"/>
    <col min="8766" max="8766" width="9.5546875" style="423" bestFit="1" customWidth="1"/>
    <col min="8767" max="8767" width="10.21875" style="423" customWidth="1"/>
    <col min="8768" max="8768" width="8.88671875" style="423"/>
    <col min="8769" max="8769" width="9.44140625" style="423" customWidth="1"/>
    <col min="8770" max="8960" width="8.88671875" style="423"/>
    <col min="8961" max="8965" width="9.77734375" style="423" customWidth="1"/>
    <col min="8966" max="8966" width="10.6640625" style="423" customWidth="1"/>
    <col min="8967" max="8969" width="9.77734375" style="423" customWidth="1"/>
    <col min="8970" max="8970" width="7.6640625" style="423" customWidth="1"/>
    <col min="8971" max="8971" width="10.109375" style="423" bestFit="1" customWidth="1"/>
    <col min="8972" max="8972" width="9.77734375" style="423" customWidth="1"/>
    <col min="8973" max="8973" width="10.77734375" style="423" bestFit="1" customWidth="1"/>
    <col min="8974" max="8974" width="12.21875" style="423" customWidth="1"/>
    <col min="8975" max="8975" width="13.21875" style="423" bestFit="1" customWidth="1"/>
    <col min="8976" max="8976" width="8.88671875" style="423"/>
    <col min="8977" max="8977" width="10.77734375" style="423" customWidth="1"/>
    <col min="8978" max="8978" width="9" style="423" customWidth="1"/>
    <col min="8979" max="8979" width="8.88671875" style="423"/>
    <col min="8980" max="8980" width="9.6640625" style="423" bestFit="1" customWidth="1"/>
    <col min="8981" max="8981" width="10.109375" style="423" customWidth="1"/>
    <col min="8982" max="8982" width="11" style="423" customWidth="1"/>
    <col min="8983" max="8983" width="9.5546875" style="423" customWidth="1"/>
    <col min="8984" max="8985" width="8.88671875" style="423"/>
    <col min="8986" max="8986" width="9.5546875" style="423" bestFit="1" customWidth="1"/>
    <col min="8987" max="8987" width="10.44140625" style="423" customWidth="1"/>
    <col min="8988" max="8988" width="8.88671875" style="423"/>
    <col min="8989" max="8989" width="9.6640625" style="423" customWidth="1"/>
    <col min="8990" max="8991" width="8.88671875" style="423"/>
    <col min="8992" max="8992" width="9.5546875" style="423" bestFit="1" customWidth="1"/>
    <col min="8993" max="8993" width="10.21875" style="423" customWidth="1"/>
    <col min="8994" max="8994" width="8.88671875" style="423"/>
    <col min="8995" max="8995" width="9.5546875" style="423" customWidth="1"/>
    <col min="8996" max="8996" width="9.77734375" style="423" customWidth="1"/>
    <col min="8997" max="8997" width="8.88671875" style="423"/>
    <col min="8998" max="8998" width="9.5546875" style="423" bestFit="1" customWidth="1"/>
    <col min="8999" max="8999" width="10.109375" style="423" customWidth="1"/>
    <col min="9000" max="9000" width="8.88671875" style="423"/>
    <col min="9001" max="9001" width="9.44140625" style="423" customWidth="1"/>
    <col min="9002" max="9002" width="8.88671875" style="423"/>
    <col min="9003" max="9003" width="9.77734375" style="423" customWidth="1"/>
    <col min="9004" max="9004" width="9.5546875" style="423" bestFit="1" customWidth="1"/>
    <col min="9005" max="9005" width="10.33203125" style="423" customWidth="1"/>
    <col min="9006" max="9006" width="8.88671875" style="423"/>
    <col min="9007" max="9007" width="9.44140625" style="423" customWidth="1"/>
    <col min="9008" max="9009" width="8.88671875" style="423"/>
    <col min="9010" max="9010" width="10.109375" style="423" customWidth="1"/>
    <col min="9011" max="9011" width="9.77734375" style="423" customWidth="1"/>
    <col min="9012" max="9012" width="8.88671875" style="423"/>
    <col min="9013" max="9013" width="9.5546875" style="423" customWidth="1"/>
    <col min="9014" max="9015" width="8.88671875" style="423"/>
    <col min="9016" max="9016" width="9.5546875" style="423" bestFit="1" customWidth="1"/>
    <col min="9017" max="9017" width="11" style="423" customWidth="1"/>
    <col min="9018" max="9018" width="8.88671875" style="423"/>
    <col min="9019" max="9019" width="9.5546875" style="423" customWidth="1"/>
    <col min="9020" max="9021" width="8.88671875" style="423"/>
    <col min="9022" max="9022" width="9.5546875" style="423" bestFit="1" customWidth="1"/>
    <col min="9023" max="9023" width="10.21875" style="423" customWidth="1"/>
    <col min="9024" max="9024" width="8.88671875" style="423"/>
    <col min="9025" max="9025" width="9.44140625" style="423" customWidth="1"/>
    <col min="9026" max="9216" width="8.88671875" style="423"/>
    <col min="9217" max="9221" width="9.77734375" style="423" customWidth="1"/>
    <col min="9222" max="9222" width="10.6640625" style="423" customWidth="1"/>
    <col min="9223" max="9225" width="9.77734375" style="423" customWidth="1"/>
    <col min="9226" max="9226" width="7.6640625" style="423" customWidth="1"/>
    <col min="9227" max="9227" width="10.109375" style="423" bestFit="1" customWidth="1"/>
    <col min="9228" max="9228" width="9.77734375" style="423" customWidth="1"/>
    <col min="9229" max="9229" width="10.77734375" style="423" bestFit="1" customWidth="1"/>
    <col min="9230" max="9230" width="12.21875" style="423" customWidth="1"/>
    <col min="9231" max="9231" width="13.21875" style="423" bestFit="1" customWidth="1"/>
    <col min="9232" max="9232" width="8.88671875" style="423"/>
    <col min="9233" max="9233" width="10.77734375" style="423" customWidth="1"/>
    <col min="9234" max="9234" width="9" style="423" customWidth="1"/>
    <col min="9235" max="9235" width="8.88671875" style="423"/>
    <col min="9236" max="9236" width="9.6640625" style="423" bestFit="1" customWidth="1"/>
    <col min="9237" max="9237" width="10.109375" style="423" customWidth="1"/>
    <col min="9238" max="9238" width="11" style="423" customWidth="1"/>
    <col min="9239" max="9239" width="9.5546875" style="423" customWidth="1"/>
    <col min="9240" max="9241" width="8.88671875" style="423"/>
    <col min="9242" max="9242" width="9.5546875" style="423" bestFit="1" customWidth="1"/>
    <col min="9243" max="9243" width="10.44140625" style="423" customWidth="1"/>
    <col min="9244" max="9244" width="8.88671875" style="423"/>
    <col min="9245" max="9245" width="9.6640625" style="423" customWidth="1"/>
    <col min="9246" max="9247" width="8.88671875" style="423"/>
    <col min="9248" max="9248" width="9.5546875" style="423" bestFit="1" customWidth="1"/>
    <col min="9249" max="9249" width="10.21875" style="423" customWidth="1"/>
    <col min="9250" max="9250" width="8.88671875" style="423"/>
    <col min="9251" max="9251" width="9.5546875" style="423" customWidth="1"/>
    <col min="9252" max="9252" width="9.77734375" style="423" customWidth="1"/>
    <col min="9253" max="9253" width="8.88671875" style="423"/>
    <col min="9254" max="9254" width="9.5546875" style="423" bestFit="1" customWidth="1"/>
    <col min="9255" max="9255" width="10.109375" style="423" customWidth="1"/>
    <col min="9256" max="9256" width="8.88671875" style="423"/>
    <col min="9257" max="9257" width="9.44140625" style="423" customWidth="1"/>
    <col min="9258" max="9258" width="8.88671875" style="423"/>
    <col min="9259" max="9259" width="9.77734375" style="423" customWidth="1"/>
    <col min="9260" max="9260" width="9.5546875" style="423" bestFit="1" customWidth="1"/>
    <col min="9261" max="9261" width="10.33203125" style="423" customWidth="1"/>
    <col min="9262" max="9262" width="8.88671875" style="423"/>
    <col min="9263" max="9263" width="9.44140625" style="423" customWidth="1"/>
    <col min="9264" max="9265" width="8.88671875" style="423"/>
    <col min="9266" max="9266" width="10.109375" style="423" customWidth="1"/>
    <col min="9267" max="9267" width="9.77734375" style="423" customWidth="1"/>
    <col min="9268" max="9268" width="8.88671875" style="423"/>
    <col min="9269" max="9269" width="9.5546875" style="423" customWidth="1"/>
    <col min="9270" max="9271" width="8.88671875" style="423"/>
    <col min="9272" max="9272" width="9.5546875" style="423" bestFit="1" customWidth="1"/>
    <col min="9273" max="9273" width="11" style="423" customWidth="1"/>
    <col min="9274" max="9274" width="8.88671875" style="423"/>
    <col min="9275" max="9275" width="9.5546875" style="423" customWidth="1"/>
    <col min="9276" max="9277" width="8.88671875" style="423"/>
    <col min="9278" max="9278" width="9.5546875" style="423" bestFit="1" customWidth="1"/>
    <col min="9279" max="9279" width="10.21875" style="423" customWidth="1"/>
    <col min="9280" max="9280" width="8.88671875" style="423"/>
    <col min="9281" max="9281" width="9.44140625" style="423" customWidth="1"/>
    <col min="9282" max="9472" width="8.88671875" style="423"/>
    <col min="9473" max="9477" width="9.77734375" style="423" customWidth="1"/>
    <col min="9478" max="9478" width="10.6640625" style="423" customWidth="1"/>
    <col min="9479" max="9481" width="9.77734375" style="423" customWidth="1"/>
    <col min="9482" max="9482" width="7.6640625" style="423" customWidth="1"/>
    <col min="9483" max="9483" width="10.109375" style="423" bestFit="1" customWidth="1"/>
    <col min="9484" max="9484" width="9.77734375" style="423" customWidth="1"/>
    <col min="9485" max="9485" width="10.77734375" style="423" bestFit="1" customWidth="1"/>
    <col min="9486" max="9486" width="12.21875" style="423" customWidth="1"/>
    <col min="9487" max="9487" width="13.21875" style="423" bestFit="1" customWidth="1"/>
    <col min="9488" max="9488" width="8.88671875" style="423"/>
    <col min="9489" max="9489" width="10.77734375" style="423" customWidth="1"/>
    <col min="9490" max="9490" width="9" style="423" customWidth="1"/>
    <col min="9491" max="9491" width="8.88671875" style="423"/>
    <col min="9492" max="9492" width="9.6640625" style="423" bestFit="1" customWidth="1"/>
    <col min="9493" max="9493" width="10.109375" style="423" customWidth="1"/>
    <col min="9494" max="9494" width="11" style="423" customWidth="1"/>
    <col min="9495" max="9495" width="9.5546875" style="423" customWidth="1"/>
    <col min="9496" max="9497" width="8.88671875" style="423"/>
    <col min="9498" max="9498" width="9.5546875" style="423" bestFit="1" customWidth="1"/>
    <col min="9499" max="9499" width="10.44140625" style="423" customWidth="1"/>
    <col min="9500" max="9500" width="8.88671875" style="423"/>
    <col min="9501" max="9501" width="9.6640625" style="423" customWidth="1"/>
    <col min="9502" max="9503" width="8.88671875" style="423"/>
    <col min="9504" max="9504" width="9.5546875" style="423" bestFit="1" customWidth="1"/>
    <col min="9505" max="9505" width="10.21875" style="423" customWidth="1"/>
    <col min="9506" max="9506" width="8.88671875" style="423"/>
    <col min="9507" max="9507" width="9.5546875" style="423" customWidth="1"/>
    <col min="9508" max="9508" width="9.77734375" style="423" customWidth="1"/>
    <col min="9509" max="9509" width="8.88671875" style="423"/>
    <col min="9510" max="9510" width="9.5546875" style="423" bestFit="1" customWidth="1"/>
    <col min="9511" max="9511" width="10.109375" style="423" customWidth="1"/>
    <col min="9512" max="9512" width="8.88671875" style="423"/>
    <col min="9513" max="9513" width="9.44140625" style="423" customWidth="1"/>
    <col min="9514" max="9514" width="8.88671875" style="423"/>
    <col min="9515" max="9515" width="9.77734375" style="423" customWidth="1"/>
    <col min="9516" max="9516" width="9.5546875" style="423" bestFit="1" customWidth="1"/>
    <col min="9517" max="9517" width="10.33203125" style="423" customWidth="1"/>
    <col min="9518" max="9518" width="8.88671875" style="423"/>
    <col min="9519" max="9519" width="9.44140625" style="423" customWidth="1"/>
    <col min="9520" max="9521" width="8.88671875" style="423"/>
    <col min="9522" max="9522" width="10.109375" style="423" customWidth="1"/>
    <col min="9523" max="9523" width="9.77734375" style="423" customWidth="1"/>
    <col min="9524" max="9524" width="8.88671875" style="423"/>
    <col min="9525" max="9525" width="9.5546875" style="423" customWidth="1"/>
    <col min="9526" max="9527" width="8.88671875" style="423"/>
    <col min="9528" max="9528" width="9.5546875" style="423" bestFit="1" customWidth="1"/>
    <col min="9529" max="9529" width="11" style="423" customWidth="1"/>
    <col min="9530" max="9530" width="8.88671875" style="423"/>
    <col min="9531" max="9531" width="9.5546875" style="423" customWidth="1"/>
    <col min="9532" max="9533" width="8.88671875" style="423"/>
    <col min="9534" max="9534" width="9.5546875" style="423" bestFit="1" customWidth="1"/>
    <col min="9535" max="9535" width="10.21875" style="423" customWidth="1"/>
    <col min="9536" max="9536" width="8.88671875" style="423"/>
    <col min="9537" max="9537" width="9.44140625" style="423" customWidth="1"/>
    <col min="9538" max="9728" width="8.88671875" style="423"/>
    <col min="9729" max="9733" width="9.77734375" style="423" customWidth="1"/>
    <col min="9734" max="9734" width="10.6640625" style="423" customWidth="1"/>
    <col min="9735" max="9737" width="9.77734375" style="423" customWidth="1"/>
    <col min="9738" max="9738" width="7.6640625" style="423" customWidth="1"/>
    <col min="9739" max="9739" width="10.109375" style="423" bestFit="1" customWidth="1"/>
    <col min="9740" max="9740" width="9.77734375" style="423" customWidth="1"/>
    <col min="9741" max="9741" width="10.77734375" style="423" bestFit="1" customWidth="1"/>
    <col min="9742" max="9742" width="12.21875" style="423" customWidth="1"/>
    <col min="9743" max="9743" width="13.21875" style="423" bestFit="1" customWidth="1"/>
    <col min="9744" max="9744" width="8.88671875" style="423"/>
    <col min="9745" max="9745" width="10.77734375" style="423" customWidth="1"/>
    <col min="9746" max="9746" width="9" style="423" customWidth="1"/>
    <col min="9747" max="9747" width="8.88671875" style="423"/>
    <col min="9748" max="9748" width="9.6640625" style="423" bestFit="1" customWidth="1"/>
    <col min="9749" max="9749" width="10.109375" style="423" customWidth="1"/>
    <col min="9750" max="9750" width="11" style="423" customWidth="1"/>
    <col min="9751" max="9751" width="9.5546875" style="423" customWidth="1"/>
    <col min="9752" max="9753" width="8.88671875" style="423"/>
    <col min="9754" max="9754" width="9.5546875" style="423" bestFit="1" customWidth="1"/>
    <col min="9755" max="9755" width="10.44140625" style="423" customWidth="1"/>
    <col min="9756" max="9756" width="8.88671875" style="423"/>
    <col min="9757" max="9757" width="9.6640625" style="423" customWidth="1"/>
    <col min="9758" max="9759" width="8.88671875" style="423"/>
    <col min="9760" max="9760" width="9.5546875" style="423" bestFit="1" customWidth="1"/>
    <col min="9761" max="9761" width="10.21875" style="423" customWidth="1"/>
    <col min="9762" max="9762" width="8.88671875" style="423"/>
    <col min="9763" max="9763" width="9.5546875" style="423" customWidth="1"/>
    <col min="9764" max="9764" width="9.77734375" style="423" customWidth="1"/>
    <col min="9765" max="9765" width="8.88671875" style="423"/>
    <col min="9766" max="9766" width="9.5546875" style="423" bestFit="1" customWidth="1"/>
    <col min="9767" max="9767" width="10.109375" style="423" customWidth="1"/>
    <col min="9768" max="9768" width="8.88671875" style="423"/>
    <col min="9769" max="9769" width="9.44140625" style="423" customWidth="1"/>
    <col min="9770" max="9770" width="8.88671875" style="423"/>
    <col min="9771" max="9771" width="9.77734375" style="423" customWidth="1"/>
    <col min="9772" max="9772" width="9.5546875" style="423" bestFit="1" customWidth="1"/>
    <col min="9773" max="9773" width="10.33203125" style="423" customWidth="1"/>
    <col min="9774" max="9774" width="8.88671875" style="423"/>
    <col min="9775" max="9775" width="9.44140625" style="423" customWidth="1"/>
    <col min="9776" max="9777" width="8.88671875" style="423"/>
    <col min="9778" max="9778" width="10.109375" style="423" customWidth="1"/>
    <col min="9779" max="9779" width="9.77734375" style="423" customWidth="1"/>
    <col min="9780" max="9780" width="8.88671875" style="423"/>
    <col min="9781" max="9781" width="9.5546875" style="423" customWidth="1"/>
    <col min="9782" max="9783" width="8.88671875" style="423"/>
    <col min="9784" max="9784" width="9.5546875" style="423" bestFit="1" customWidth="1"/>
    <col min="9785" max="9785" width="11" style="423" customWidth="1"/>
    <col min="9786" max="9786" width="8.88671875" style="423"/>
    <col min="9787" max="9787" width="9.5546875" style="423" customWidth="1"/>
    <col min="9788" max="9789" width="8.88671875" style="423"/>
    <col min="9790" max="9790" width="9.5546875" style="423" bestFit="1" customWidth="1"/>
    <col min="9791" max="9791" width="10.21875" style="423" customWidth="1"/>
    <col min="9792" max="9792" width="8.88671875" style="423"/>
    <col min="9793" max="9793" width="9.44140625" style="423" customWidth="1"/>
    <col min="9794" max="9984" width="8.88671875" style="423"/>
    <col min="9985" max="9989" width="9.77734375" style="423" customWidth="1"/>
    <col min="9990" max="9990" width="10.6640625" style="423" customWidth="1"/>
    <col min="9991" max="9993" width="9.77734375" style="423" customWidth="1"/>
    <col min="9994" max="9994" width="7.6640625" style="423" customWidth="1"/>
    <col min="9995" max="9995" width="10.109375" style="423" bestFit="1" customWidth="1"/>
    <col min="9996" max="9996" width="9.77734375" style="423" customWidth="1"/>
    <col min="9997" max="9997" width="10.77734375" style="423" bestFit="1" customWidth="1"/>
    <col min="9998" max="9998" width="12.21875" style="423" customWidth="1"/>
    <col min="9999" max="9999" width="13.21875" style="423" bestFit="1" customWidth="1"/>
    <col min="10000" max="10000" width="8.88671875" style="423"/>
    <col min="10001" max="10001" width="10.77734375" style="423" customWidth="1"/>
    <col min="10002" max="10002" width="9" style="423" customWidth="1"/>
    <col min="10003" max="10003" width="8.88671875" style="423"/>
    <col min="10004" max="10004" width="9.6640625" style="423" bestFit="1" customWidth="1"/>
    <col min="10005" max="10005" width="10.109375" style="423" customWidth="1"/>
    <col min="10006" max="10006" width="11" style="423" customWidth="1"/>
    <col min="10007" max="10007" width="9.5546875" style="423" customWidth="1"/>
    <col min="10008" max="10009" width="8.88671875" style="423"/>
    <col min="10010" max="10010" width="9.5546875" style="423" bestFit="1" customWidth="1"/>
    <col min="10011" max="10011" width="10.44140625" style="423" customWidth="1"/>
    <col min="10012" max="10012" width="8.88671875" style="423"/>
    <col min="10013" max="10013" width="9.6640625" style="423" customWidth="1"/>
    <col min="10014" max="10015" width="8.88671875" style="423"/>
    <col min="10016" max="10016" width="9.5546875" style="423" bestFit="1" customWidth="1"/>
    <col min="10017" max="10017" width="10.21875" style="423" customWidth="1"/>
    <col min="10018" max="10018" width="8.88671875" style="423"/>
    <col min="10019" max="10019" width="9.5546875" style="423" customWidth="1"/>
    <col min="10020" max="10020" width="9.77734375" style="423" customWidth="1"/>
    <col min="10021" max="10021" width="8.88671875" style="423"/>
    <col min="10022" max="10022" width="9.5546875" style="423" bestFit="1" customWidth="1"/>
    <col min="10023" max="10023" width="10.109375" style="423" customWidth="1"/>
    <col min="10024" max="10024" width="8.88671875" style="423"/>
    <col min="10025" max="10025" width="9.44140625" style="423" customWidth="1"/>
    <col min="10026" max="10026" width="8.88671875" style="423"/>
    <col min="10027" max="10027" width="9.77734375" style="423" customWidth="1"/>
    <col min="10028" max="10028" width="9.5546875" style="423" bestFit="1" customWidth="1"/>
    <col min="10029" max="10029" width="10.33203125" style="423" customWidth="1"/>
    <col min="10030" max="10030" width="8.88671875" style="423"/>
    <col min="10031" max="10031" width="9.44140625" style="423" customWidth="1"/>
    <col min="10032" max="10033" width="8.88671875" style="423"/>
    <col min="10034" max="10034" width="10.109375" style="423" customWidth="1"/>
    <col min="10035" max="10035" width="9.77734375" style="423" customWidth="1"/>
    <col min="10036" max="10036" width="8.88671875" style="423"/>
    <col min="10037" max="10037" width="9.5546875" style="423" customWidth="1"/>
    <col min="10038" max="10039" width="8.88671875" style="423"/>
    <col min="10040" max="10040" width="9.5546875" style="423" bestFit="1" customWidth="1"/>
    <col min="10041" max="10041" width="11" style="423" customWidth="1"/>
    <col min="10042" max="10042" width="8.88671875" style="423"/>
    <col min="10043" max="10043" width="9.5546875" style="423" customWidth="1"/>
    <col min="10044" max="10045" width="8.88671875" style="423"/>
    <col min="10046" max="10046" width="9.5546875" style="423" bestFit="1" customWidth="1"/>
    <col min="10047" max="10047" width="10.21875" style="423" customWidth="1"/>
    <col min="10048" max="10048" width="8.88671875" style="423"/>
    <col min="10049" max="10049" width="9.44140625" style="423" customWidth="1"/>
    <col min="10050" max="10240" width="8.88671875" style="423"/>
    <col min="10241" max="10245" width="9.77734375" style="423" customWidth="1"/>
    <col min="10246" max="10246" width="10.6640625" style="423" customWidth="1"/>
    <col min="10247" max="10249" width="9.77734375" style="423" customWidth="1"/>
    <col min="10250" max="10250" width="7.6640625" style="423" customWidth="1"/>
    <col min="10251" max="10251" width="10.109375" style="423" bestFit="1" customWidth="1"/>
    <col min="10252" max="10252" width="9.77734375" style="423" customWidth="1"/>
    <col min="10253" max="10253" width="10.77734375" style="423" bestFit="1" customWidth="1"/>
    <col min="10254" max="10254" width="12.21875" style="423" customWidth="1"/>
    <col min="10255" max="10255" width="13.21875" style="423" bestFit="1" customWidth="1"/>
    <col min="10256" max="10256" width="8.88671875" style="423"/>
    <col min="10257" max="10257" width="10.77734375" style="423" customWidth="1"/>
    <col min="10258" max="10258" width="9" style="423" customWidth="1"/>
    <col min="10259" max="10259" width="8.88671875" style="423"/>
    <col min="10260" max="10260" width="9.6640625" style="423" bestFit="1" customWidth="1"/>
    <col min="10261" max="10261" width="10.109375" style="423" customWidth="1"/>
    <col min="10262" max="10262" width="11" style="423" customWidth="1"/>
    <col min="10263" max="10263" width="9.5546875" style="423" customWidth="1"/>
    <col min="10264" max="10265" width="8.88671875" style="423"/>
    <col min="10266" max="10266" width="9.5546875" style="423" bestFit="1" customWidth="1"/>
    <col min="10267" max="10267" width="10.44140625" style="423" customWidth="1"/>
    <col min="10268" max="10268" width="8.88671875" style="423"/>
    <col min="10269" max="10269" width="9.6640625" style="423" customWidth="1"/>
    <col min="10270" max="10271" width="8.88671875" style="423"/>
    <col min="10272" max="10272" width="9.5546875" style="423" bestFit="1" customWidth="1"/>
    <col min="10273" max="10273" width="10.21875" style="423" customWidth="1"/>
    <col min="10274" max="10274" width="8.88671875" style="423"/>
    <col min="10275" max="10275" width="9.5546875" style="423" customWidth="1"/>
    <col min="10276" max="10276" width="9.77734375" style="423" customWidth="1"/>
    <col min="10277" max="10277" width="8.88671875" style="423"/>
    <col min="10278" max="10278" width="9.5546875" style="423" bestFit="1" customWidth="1"/>
    <col min="10279" max="10279" width="10.109375" style="423" customWidth="1"/>
    <col min="10280" max="10280" width="8.88671875" style="423"/>
    <col min="10281" max="10281" width="9.44140625" style="423" customWidth="1"/>
    <col min="10282" max="10282" width="8.88671875" style="423"/>
    <col min="10283" max="10283" width="9.77734375" style="423" customWidth="1"/>
    <col min="10284" max="10284" width="9.5546875" style="423" bestFit="1" customWidth="1"/>
    <col min="10285" max="10285" width="10.33203125" style="423" customWidth="1"/>
    <col min="10286" max="10286" width="8.88671875" style="423"/>
    <col min="10287" max="10287" width="9.44140625" style="423" customWidth="1"/>
    <col min="10288" max="10289" width="8.88671875" style="423"/>
    <col min="10290" max="10290" width="10.109375" style="423" customWidth="1"/>
    <col min="10291" max="10291" width="9.77734375" style="423" customWidth="1"/>
    <col min="10292" max="10292" width="8.88671875" style="423"/>
    <col min="10293" max="10293" width="9.5546875" style="423" customWidth="1"/>
    <col min="10294" max="10295" width="8.88671875" style="423"/>
    <col min="10296" max="10296" width="9.5546875" style="423" bestFit="1" customWidth="1"/>
    <col min="10297" max="10297" width="11" style="423" customWidth="1"/>
    <col min="10298" max="10298" width="8.88671875" style="423"/>
    <col min="10299" max="10299" width="9.5546875" style="423" customWidth="1"/>
    <col min="10300" max="10301" width="8.88671875" style="423"/>
    <col min="10302" max="10302" width="9.5546875" style="423" bestFit="1" customWidth="1"/>
    <col min="10303" max="10303" width="10.21875" style="423" customWidth="1"/>
    <col min="10304" max="10304" width="8.88671875" style="423"/>
    <col min="10305" max="10305" width="9.44140625" style="423" customWidth="1"/>
    <col min="10306" max="10496" width="8.88671875" style="423"/>
    <col min="10497" max="10501" width="9.77734375" style="423" customWidth="1"/>
    <col min="10502" max="10502" width="10.6640625" style="423" customWidth="1"/>
    <col min="10503" max="10505" width="9.77734375" style="423" customWidth="1"/>
    <col min="10506" max="10506" width="7.6640625" style="423" customWidth="1"/>
    <col min="10507" max="10507" width="10.109375" style="423" bestFit="1" customWidth="1"/>
    <col min="10508" max="10508" width="9.77734375" style="423" customWidth="1"/>
    <col min="10509" max="10509" width="10.77734375" style="423" bestFit="1" customWidth="1"/>
    <col min="10510" max="10510" width="12.21875" style="423" customWidth="1"/>
    <col min="10511" max="10511" width="13.21875" style="423" bestFit="1" customWidth="1"/>
    <col min="10512" max="10512" width="8.88671875" style="423"/>
    <col min="10513" max="10513" width="10.77734375" style="423" customWidth="1"/>
    <col min="10514" max="10514" width="9" style="423" customWidth="1"/>
    <col min="10515" max="10515" width="8.88671875" style="423"/>
    <col min="10516" max="10516" width="9.6640625" style="423" bestFit="1" customWidth="1"/>
    <col min="10517" max="10517" width="10.109375" style="423" customWidth="1"/>
    <col min="10518" max="10518" width="11" style="423" customWidth="1"/>
    <col min="10519" max="10519" width="9.5546875" style="423" customWidth="1"/>
    <col min="10520" max="10521" width="8.88671875" style="423"/>
    <col min="10522" max="10522" width="9.5546875" style="423" bestFit="1" customWidth="1"/>
    <col min="10523" max="10523" width="10.44140625" style="423" customWidth="1"/>
    <col min="10524" max="10524" width="8.88671875" style="423"/>
    <col min="10525" max="10525" width="9.6640625" style="423" customWidth="1"/>
    <col min="10526" max="10527" width="8.88671875" style="423"/>
    <col min="10528" max="10528" width="9.5546875" style="423" bestFit="1" customWidth="1"/>
    <col min="10529" max="10529" width="10.21875" style="423" customWidth="1"/>
    <col min="10530" max="10530" width="8.88671875" style="423"/>
    <col min="10531" max="10531" width="9.5546875" style="423" customWidth="1"/>
    <col min="10532" max="10532" width="9.77734375" style="423" customWidth="1"/>
    <col min="10533" max="10533" width="8.88671875" style="423"/>
    <col min="10534" max="10534" width="9.5546875" style="423" bestFit="1" customWidth="1"/>
    <col min="10535" max="10535" width="10.109375" style="423" customWidth="1"/>
    <col min="10536" max="10536" width="8.88671875" style="423"/>
    <col min="10537" max="10537" width="9.44140625" style="423" customWidth="1"/>
    <col min="10538" max="10538" width="8.88671875" style="423"/>
    <col min="10539" max="10539" width="9.77734375" style="423" customWidth="1"/>
    <col min="10540" max="10540" width="9.5546875" style="423" bestFit="1" customWidth="1"/>
    <col min="10541" max="10541" width="10.33203125" style="423" customWidth="1"/>
    <col min="10542" max="10542" width="8.88671875" style="423"/>
    <col min="10543" max="10543" width="9.44140625" style="423" customWidth="1"/>
    <col min="10544" max="10545" width="8.88671875" style="423"/>
    <col min="10546" max="10546" width="10.109375" style="423" customWidth="1"/>
    <col min="10547" max="10547" width="9.77734375" style="423" customWidth="1"/>
    <col min="10548" max="10548" width="8.88671875" style="423"/>
    <col min="10549" max="10549" width="9.5546875" style="423" customWidth="1"/>
    <col min="10550" max="10551" width="8.88671875" style="423"/>
    <col min="10552" max="10552" width="9.5546875" style="423" bestFit="1" customWidth="1"/>
    <col min="10553" max="10553" width="11" style="423" customWidth="1"/>
    <col min="10554" max="10554" width="8.88671875" style="423"/>
    <col min="10555" max="10555" width="9.5546875" style="423" customWidth="1"/>
    <col min="10556" max="10557" width="8.88671875" style="423"/>
    <col min="10558" max="10558" width="9.5546875" style="423" bestFit="1" customWidth="1"/>
    <col min="10559" max="10559" width="10.21875" style="423" customWidth="1"/>
    <col min="10560" max="10560" width="8.88671875" style="423"/>
    <col min="10561" max="10561" width="9.44140625" style="423" customWidth="1"/>
    <col min="10562" max="10752" width="8.88671875" style="423"/>
    <col min="10753" max="10757" width="9.77734375" style="423" customWidth="1"/>
    <col min="10758" max="10758" width="10.6640625" style="423" customWidth="1"/>
    <col min="10759" max="10761" width="9.77734375" style="423" customWidth="1"/>
    <col min="10762" max="10762" width="7.6640625" style="423" customWidth="1"/>
    <col min="10763" max="10763" width="10.109375" style="423" bestFit="1" customWidth="1"/>
    <col min="10764" max="10764" width="9.77734375" style="423" customWidth="1"/>
    <col min="10765" max="10765" width="10.77734375" style="423" bestFit="1" customWidth="1"/>
    <col min="10766" max="10766" width="12.21875" style="423" customWidth="1"/>
    <col min="10767" max="10767" width="13.21875" style="423" bestFit="1" customWidth="1"/>
    <col min="10768" max="10768" width="8.88671875" style="423"/>
    <col min="10769" max="10769" width="10.77734375" style="423" customWidth="1"/>
    <col min="10770" max="10770" width="9" style="423" customWidth="1"/>
    <col min="10771" max="10771" width="8.88671875" style="423"/>
    <col min="10772" max="10772" width="9.6640625" style="423" bestFit="1" customWidth="1"/>
    <col min="10773" max="10773" width="10.109375" style="423" customWidth="1"/>
    <col min="10774" max="10774" width="11" style="423" customWidth="1"/>
    <col min="10775" max="10775" width="9.5546875" style="423" customWidth="1"/>
    <col min="10776" max="10777" width="8.88671875" style="423"/>
    <col min="10778" max="10778" width="9.5546875" style="423" bestFit="1" customWidth="1"/>
    <col min="10779" max="10779" width="10.44140625" style="423" customWidth="1"/>
    <col min="10780" max="10780" width="8.88671875" style="423"/>
    <col min="10781" max="10781" width="9.6640625" style="423" customWidth="1"/>
    <col min="10782" max="10783" width="8.88671875" style="423"/>
    <col min="10784" max="10784" width="9.5546875" style="423" bestFit="1" customWidth="1"/>
    <col min="10785" max="10785" width="10.21875" style="423" customWidth="1"/>
    <col min="10786" max="10786" width="8.88671875" style="423"/>
    <col min="10787" max="10787" width="9.5546875" style="423" customWidth="1"/>
    <col min="10788" max="10788" width="9.77734375" style="423" customWidth="1"/>
    <col min="10789" max="10789" width="8.88671875" style="423"/>
    <col min="10790" max="10790" width="9.5546875" style="423" bestFit="1" customWidth="1"/>
    <col min="10791" max="10791" width="10.109375" style="423" customWidth="1"/>
    <col min="10792" max="10792" width="8.88671875" style="423"/>
    <col min="10793" max="10793" width="9.44140625" style="423" customWidth="1"/>
    <col min="10794" max="10794" width="8.88671875" style="423"/>
    <col min="10795" max="10795" width="9.77734375" style="423" customWidth="1"/>
    <col min="10796" max="10796" width="9.5546875" style="423" bestFit="1" customWidth="1"/>
    <col min="10797" max="10797" width="10.33203125" style="423" customWidth="1"/>
    <col min="10798" max="10798" width="8.88671875" style="423"/>
    <col min="10799" max="10799" width="9.44140625" style="423" customWidth="1"/>
    <col min="10800" max="10801" width="8.88671875" style="423"/>
    <col min="10802" max="10802" width="10.109375" style="423" customWidth="1"/>
    <col min="10803" max="10803" width="9.77734375" style="423" customWidth="1"/>
    <col min="10804" max="10804" width="8.88671875" style="423"/>
    <col min="10805" max="10805" width="9.5546875" style="423" customWidth="1"/>
    <col min="10806" max="10807" width="8.88671875" style="423"/>
    <col min="10808" max="10808" width="9.5546875" style="423" bestFit="1" customWidth="1"/>
    <col min="10809" max="10809" width="11" style="423" customWidth="1"/>
    <col min="10810" max="10810" width="8.88671875" style="423"/>
    <col min="10811" max="10811" width="9.5546875" style="423" customWidth="1"/>
    <col min="10812" max="10813" width="8.88671875" style="423"/>
    <col min="10814" max="10814" width="9.5546875" style="423" bestFit="1" customWidth="1"/>
    <col min="10815" max="10815" width="10.21875" style="423" customWidth="1"/>
    <col min="10816" max="10816" width="8.88671875" style="423"/>
    <col min="10817" max="10817" width="9.44140625" style="423" customWidth="1"/>
    <col min="10818" max="11008" width="8.88671875" style="423"/>
    <col min="11009" max="11013" width="9.77734375" style="423" customWidth="1"/>
    <col min="11014" max="11014" width="10.6640625" style="423" customWidth="1"/>
    <col min="11015" max="11017" width="9.77734375" style="423" customWidth="1"/>
    <col min="11018" max="11018" width="7.6640625" style="423" customWidth="1"/>
    <col min="11019" max="11019" width="10.109375" style="423" bestFit="1" customWidth="1"/>
    <col min="11020" max="11020" width="9.77734375" style="423" customWidth="1"/>
    <col min="11021" max="11021" width="10.77734375" style="423" bestFit="1" customWidth="1"/>
    <col min="11022" max="11022" width="12.21875" style="423" customWidth="1"/>
    <col min="11023" max="11023" width="13.21875" style="423" bestFit="1" customWidth="1"/>
    <col min="11024" max="11024" width="8.88671875" style="423"/>
    <col min="11025" max="11025" width="10.77734375" style="423" customWidth="1"/>
    <col min="11026" max="11026" width="9" style="423" customWidth="1"/>
    <col min="11027" max="11027" width="8.88671875" style="423"/>
    <col min="11028" max="11028" width="9.6640625" style="423" bestFit="1" customWidth="1"/>
    <col min="11029" max="11029" width="10.109375" style="423" customWidth="1"/>
    <col min="11030" max="11030" width="11" style="423" customWidth="1"/>
    <col min="11031" max="11031" width="9.5546875" style="423" customWidth="1"/>
    <col min="11032" max="11033" width="8.88671875" style="423"/>
    <col min="11034" max="11034" width="9.5546875" style="423" bestFit="1" customWidth="1"/>
    <col min="11035" max="11035" width="10.44140625" style="423" customWidth="1"/>
    <col min="11036" max="11036" width="8.88671875" style="423"/>
    <col min="11037" max="11037" width="9.6640625" style="423" customWidth="1"/>
    <col min="11038" max="11039" width="8.88671875" style="423"/>
    <col min="11040" max="11040" width="9.5546875" style="423" bestFit="1" customWidth="1"/>
    <col min="11041" max="11041" width="10.21875" style="423" customWidth="1"/>
    <col min="11042" max="11042" width="8.88671875" style="423"/>
    <col min="11043" max="11043" width="9.5546875" style="423" customWidth="1"/>
    <col min="11044" max="11044" width="9.77734375" style="423" customWidth="1"/>
    <col min="11045" max="11045" width="8.88671875" style="423"/>
    <col min="11046" max="11046" width="9.5546875" style="423" bestFit="1" customWidth="1"/>
    <col min="11047" max="11047" width="10.109375" style="423" customWidth="1"/>
    <col min="11048" max="11048" width="8.88671875" style="423"/>
    <col min="11049" max="11049" width="9.44140625" style="423" customWidth="1"/>
    <col min="11050" max="11050" width="8.88671875" style="423"/>
    <col min="11051" max="11051" width="9.77734375" style="423" customWidth="1"/>
    <col min="11052" max="11052" width="9.5546875" style="423" bestFit="1" customWidth="1"/>
    <col min="11053" max="11053" width="10.33203125" style="423" customWidth="1"/>
    <col min="11054" max="11054" width="8.88671875" style="423"/>
    <col min="11055" max="11055" width="9.44140625" style="423" customWidth="1"/>
    <col min="11056" max="11057" width="8.88671875" style="423"/>
    <col min="11058" max="11058" width="10.109375" style="423" customWidth="1"/>
    <col min="11059" max="11059" width="9.77734375" style="423" customWidth="1"/>
    <col min="11060" max="11060" width="8.88671875" style="423"/>
    <col min="11061" max="11061" width="9.5546875" style="423" customWidth="1"/>
    <col min="11062" max="11063" width="8.88671875" style="423"/>
    <col min="11064" max="11064" width="9.5546875" style="423" bestFit="1" customWidth="1"/>
    <col min="11065" max="11065" width="11" style="423" customWidth="1"/>
    <col min="11066" max="11066" width="8.88671875" style="423"/>
    <col min="11067" max="11067" width="9.5546875" style="423" customWidth="1"/>
    <col min="11068" max="11069" width="8.88671875" style="423"/>
    <col min="11070" max="11070" width="9.5546875" style="423" bestFit="1" customWidth="1"/>
    <col min="11071" max="11071" width="10.21875" style="423" customWidth="1"/>
    <col min="11072" max="11072" width="8.88671875" style="423"/>
    <col min="11073" max="11073" width="9.44140625" style="423" customWidth="1"/>
    <col min="11074" max="11264" width="8.88671875" style="423"/>
    <col min="11265" max="11269" width="9.77734375" style="423" customWidth="1"/>
    <col min="11270" max="11270" width="10.6640625" style="423" customWidth="1"/>
    <col min="11271" max="11273" width="9.77734375" style="423" customWidth="1"/>
    <col min="11274" max="11274" width="7.6640625" style="423" customWidth="1"/>
    <col min="11275" max="11275" width="10.109375" style="423" bestFit="1" customWidth="1"/>
    <col min="11276" max="11276" width="9.77734375" style="423" customWidth="1"/>
    <col min="11277" max="11277" width="10.77734375" style="423" bestFit="1" customWidth="1"/>
    <col min="11278" max="11278" width="12.21875" style="423" customWidth="1"/>
    <col min="11279" max="11279" width="13.21875" style="423" bestFit="1" customWidth="1"/>
    <col min="11280" max="11280" width="8.88671875" style="423"/>
    <col min="11281" max="11281" width="10.77734375" style="423" customWidth="1"/>
    <col min="11282" max="11282" width="9" style="423" customWidth="1"/>
    <col min="11283" max="11283" width="8.88671875" style="423"/>
    <col min="11284" max="11284" width="9.6640625" style="423" bestFit="1" customWidth="1"/>
    <col min="11285" max="11285" width="10.109375" style="423" customWidth="1"/>
    <col min="11286" max="11286" width="11" style="423" customWidth="1"/>
    <col min="11287" max="11287" width="9.5546875" style="423" customWidth="1"/>
    <col min="11288" max="11289" width="8.88671875" style="423"/>
    <col min="11290" max="11290" width="9.5546875" style="423" bestFit="1" customWidth="1"/>
    <col min="11291" max="11291" width="10.44140625" style="423" customWidth="1"/>
    <col min="11292" max="11292" width="8.88671875" style="423"/>
    <col min="11293" max="11293" width="9.6640625" style="423" customWidth="1"/>
    <col min="11294" max="11295" width="8.88671875" style="423"/>
    <col min="11296" max="11296" width="9.5546875" style="423" bestFit="1" customWidth="1"/>
    <col min="11297" max="11297" width="10.21875" style="423" customWidth="1"/>
    <col min="11298" max="11298" width="8.88671875" style="423"/>
    <col min="11299" max="11299" width="9.5546875" style="423" customWidth="1"/>
    <col min="11300" max="11300" width="9.77734375" style="423" customWidth="1"/>
    <col min="11301" max="11301" width="8.88671875" style="423"/>
    <col min="11302" max="11302" width="9.5546875" style="423" bestFit="1" customWidth="1"/>
    <col min="11303" max="11303" width="10.109375" style="423" customWidth="1"/>
    <col min="11304" max="11304" width="8.88671875" style="423"/>
    <col min="11305" max="11305" width="9.44140625" style="423" customWidth="1"/>
    <col min="11306" max="11306" width="8.88671875" style="423"/>
    <col min="11307" max="11307" width="9.77734375" style="423" customWidth="1"/>
    <col min="11308" max="11308" width="9.5546875" style="423" bestFit="1" customWidth="1"/>
    <col min="11309" max="11309" width="10.33203125" style="423" customWidth="1"/>
    <col min="11310" max="11310" width="8.88671875" style="423"/>
    <col min="11311" max="11311" width="9.44140625" style="423" customWidth="1"/>
    <col min="11312" max="11313" width="8.88671875" style="423"/>
    <col min="11314" max="11314" width="10.109375" style="423" customWidth="1"/>
    <col min="11315" max="11315" width="9.77734375" style="423" customWidth="1"/>
    <col min="11316" max="11316" width="8.88671875" style="423"/>
    <col min="11317" max="11317" width="9.5546875" style="423" customWidth="1"/>
    <col min="11318" max="11319" width="8.88671875" style="423"/>
    <col min="11320" max="11320" width="9.5546875" style="423" bestFit="1" customWidth="1"/>
    <col min="11321" max="11321" width="11" style="423" customWidth="1"/>
    <col min="11322" max="11322" width="8.88671875" style="423"/>
    <col min="11323" max="11323" width="9.5546875" style="423" customWidth="1"/>
    <col min="11324" max="11325" width="8.88671875" style="423"/>
    <col min="11326" max="11326" width="9.5546875" style="423" bestFit="1" customWidth="1"/>
    <col min="11327" max="11327" width="10.21875" style="423" customWidth="1"/>
    <col min="11328" max="11328" width="8.88671875" style="423"/>
    <col min="11329" max="11329" width="9.44140625" style="423" customWidth="1"/>
    <col min="11330" max="11520" width="8.88671875" style="423"/>
    <col min="11521" max="11525" width="9.77734375" style="423" customWidth="1"/>
    <col min="11526" max="11526" width="10.6640625" style="423" customWidth="1"/>
    <col min="11527" max="11529" width="9.77734375" style="423" customWidth="1"/>
    <col min="11530" max="11530" width="7.6640625" style="423" customWidth="1"/>
    <col min="11531" max="11531" width="10.109375" style="423" bestFit="1" customWidth="1"/>
    <col min="11532" max="11532" width="9.77734375" style="423" customWidth="1"/>
    <col min="11533" max="11533" width="10.77734375" style="423" bestFit="1" customWidth="1"/>
    <col min="11534" max="11534" width="12.21875" style="423" customWidth="1"/>
    <col min="11535" max="11535" width="13.21875" style="423" bestFit="1" customWidth="1"/>
    <col min="11536" max="11536" width="8.88671875" style="423"/>
    <col min="11537" max="11537" width="10.77734375" style="423" customWidth="1"/>
    <col min="11538" max="11538" width="9" style="423" customWidth="1"/>
    <col min="11539" max="11539" width="8.88671875" style="423"/>
    <col min="11540" max="11540" width="9.6640625" style="423" bestFit="1" customWidth="1"/>
    <col min="11541" max="11541" width="10.109375" style="423" customWidth="1"/>
    <col min="11542" max="11542" width="11" style="423" customWidth="1"/>
    <col min="11543" max="11543" width="9.5546875" style="423" customWidth="1"/>
    <col min="11544" max="11545" width="8.88671875" style="423"/>
    <col min="11546" max="11546" width="9.5546875" style="423" bestFit="1" customWidth="1"/>
    <col min="11547" max="11547" width="10.44140625" style="423" customWidth="1"/>
    <col min="11548" max="11548" width="8.88671875" style="423"/>
    <col min="11549" max="11549" width="9.6640625" style="423" customWidth="1"/>
    <col min="11550" max="11551" width="8.88671875" style="423"/>
    <col min="11552" max="11552" width="9.5546875" style="423" bestFit="1" customWidth="1"/>
    <col min="11553" max="11553" width="10.21875" style="423" customWidth="1"/>
    <col min="11554" max="11554" width="8.88671875" style="423"/>
    <col min="11555" max="11555" width="9.5546875" style="423" customWidth="1"/>
    <col min="11556" max="11556" width="9.77734375" style="423" customWidth="1"/>
    <col min="11557" max="11557" width="8.88671875" style="423"/>
    <col min="11558" max="11558" width="9.5546875" style="423" bestFit="1" customWidth="1"/>
    <col min="11559" max="11559" width="10.109375" style="423" customWidth="1"/>
    <col min="11560" max="11560" width="8.88671875" style="423"/>
    <col min="11561" max="11561" width="9.44140625" style="423" customWidth="1"/>
    <col min="11562" max="11562" width="8.88671875" style="423"/>
    <col min="11563" max="11563" width="9.77734375" style="423" customWidth="1"/>
    <col min="11564" max="11564" width="9.5546875" style="423" bestFit="1" customWidth="1"/>
    <col min="11565" max="11565" width="10.33203125" style="423" customWidth="1"/>
    <col min="11566" max="11566" width="8.88671875" style="423"/>
    <col min="11567" max="11567" width="9.44140625" style="423" customWidth="1"/>
    <col min="11568" max="11569" width="8.88671875" style="423"/>
    <col min="11570" max="11570" width="10.109375" style="423" customWidth="1"/>
    <col min="11571" max="11571" width="9.77734375" style="423" customWidth="1"/>
    <col min="11572" max="11572" width="8.88671875" style="423"/>
    <col min="11573" max="11573" width="9.5546875" style="423" customWidth="1"/>
    <col min="11574" max="11575" width="8.88671875" style="423"/>
    <col min="11576" max="11576" width="9.5546875" style="423" bestFit="1" customWidth="1"/>
    <col min="11577" max="11577" width="11" style="423" customWidth="1"/>
    <col min="11578" max="11578" width="8.88671875" style="423"/>
    <col min="11579" max="11579" width="9.5546875" style="423" customWidth="1"/>
    <col min="11580" max="11581" width="8.88671875" style="423"/>
    <col min="11582" max="11582" width="9.5546875" style="423" bestFit="1" customWidth="1"/>
    <col min="11583" max="11583" width="10.21875" style="423" customWidth="1"/>
    <col min="11584" max="11584" width="8.88671875" style="423"/>
    <col min="11585" max="11585" width="9.44140625" style="423" customWidth="1"/>
    <col min="11586" max="11776" width="8.88671875" style="423"/>
    <col min="11777" max="11781" width="9.77734375" style="423" customWidth="1"/>
    <col min="11782" max="11782" width="10.6640625" style="423" customWidth="1"/>
    <col min="11783" max="11785" width="9.77734375" style="423" customWidth="1"/>
    <col min="11786" max="11786" width="7.6640625" style="423" customWidth="1"/>
    <col min="11787" max="11787" width="10.109375" style="423" bestFit="1" customWidth="1"/>
    <col min="11788" max="11788" width="9.77734375" style="423" customWidth="1"/>
    <col min="11789" max="11789" width="10.77734375" style="423" bestFit="1" customWidth="1"/>
    <col min="11790" max="11790" width="12.21875" style="423" customWidth="1"/>
    <col min="11791" max="11791" width="13.21875" style="423" bestFit="1" customWidth="1"/>
    <col min="11792" max="11792" width="8.88671875" style="423"/>
    <col min="11793" max="11793" width="10.77734375" style="423" customWidth="1"/>
    <col min="11794" max="11794" width="9" style="423" customWidth="1"/>
    <col min="11795" max="11795" width="8.88671875" style="423"/>
    <col min="11796" max="11796" width="9.6640625" style="423" bestFit="1" customWidth="1"/>
    <col min="11797" max="11797" width="10.109375" style="423" customWidth="1"/>
    <col min="11798" max="11798" width="11" style="423" customWidth="1"/>
    <col min="11799" max="11799" width="9.5546875" style="423" customWidth="1"/>
    <col min="11800" max="11801" width="8.88671875" style="423"/>
    <col min="11802" max="11802" width="9.5546875" style="423" bestFit="1" customWidth="1"/>
    <col min="11803" max="11803" width="10.44140625" style="423" customWidth="1"/>
    <col min="11804" max="11804" width="8.88671875" style="423"/>
    <col min="11805" max="11805" width="9.6640625" style="423" customWidth="1"/>
    <col min="11806" max="11807" width="8.88671875" style="423"/>
    <col min="11808" max="11808" width="9.5546875" style="423" bestFit="1" customWidth="1"/>
    <col min="11809" max="11809" width="10.21875" style="423" customWidth="1"/>
    <col min="11810" max="11810" width="8.88671875" style="423"/>
    <col min="11811" max="11811" width="9.5546875" style="423" customWidth="1"/>
    <col min="11812" max="11812" width="9.77734375" style="423" customWidth="1"/>
    <col min="11813" max="11813" width="8.88671875" style="423"/>
    <col min="11814" max="11814" width="9.5546875" style="423" bestFit="1" customWidth="1"/>
    <col min="11815" max="11815" width="10.109375" style="423" customWidth="1"/>
    <col min="11816" max="11816" width="8.88671875" style="423"/>
    <col min="11817" max="11817" width="9.44140625" style="423" customWidth="1"/>
    <col min="11818" max="11818" width="8.88671875" style="423"/>
    <col min="11819" max="11819" width="9.77734375" style="423" customWidth="1"/>
    <col min="11820" max="11820" width="9.5546875" style="423" bestFit="1" customWidth="1"/>
    <col min="11821" max="11821" width="10.33203125" style="423" customWidth="1"/>
    <col min="11822" max="11822" width="8.88671875" style="423"/>
    <col min="11823" max="11823" width="9.44140625" style="423" customWidth="1"/>
    <col min="11824" max="11825" width="8.88671875" style="423"/>
    <col min="11826" max="11826" width="10.109375" style="423" customWidth="1"/>
    <col min="11827" max="11827" width="9.77734375" style="423" customWidth="1"/>
    <col min="11828" max="11828" width="8.88671875" style="423"/>
    <col min="11829" max="11829" width="9.5546875" style="423" customWidth="1"/>
    <col min="11830" max="11831" width="8.88671875" style="423"/>
    <col min="11832" max="11832" width="9.5546875" style="423" bestFit="1" customWidth="1"/>
    <col min="11833" max="11833" width="11" style="423" customWidth="1"/>
    <col min="11834" max="11834" width="8.88671875" style="423"/>
    <col min="11835" max="11835" width="9.5546875" style="423" customWidth="1"/>
    <col min="11836" max="11837" width="8.88671875" style="423"/>
    <col min="11838" max="11838" width="9.5546875" style="423" bestFit="1" customWidth="1"/>
    <col min="11839" max="11839" width="10.21875" style="423" customWidth="1"/>
    <col min="11840" max="11840" width="8.88671875" style="423"/>
    <col min="11841" max="11841" width="9.44140625" style="423" customWidth="1"/>
    <col min="11842" max="12032" width="8.88671875" style="423"/>
    <col min="12033" max="12037" width="9.77734375" style="423" customWidth="1"/>
    <col min="12038" max="12038" width="10.6640625" style="423" customWidth="1"/>
    <col min="12039" max="12041" width="9.77734375" style="423" customWidth="1"/>
    <col min="12042" max="12042" width="7.6640625" style="423" customWidth="1"/>
    <col min="12043" max="12043" width="10.109375" style="423" bestFit="1" customWidth="1"/>
    <col min="12044" max="12044" width="9.77734375" style="423" customWidth="1"/>
    <col min="12045" max="12045" width="10.77734375" style="423" bestFit="1" customWidth="1"/>
    <col min="12046" max="12046" width="12.21875" style="423" customWidth="1"/>
    <col min="12047" max="12047" width="13.21875" style="423" bestFit="1" customWidth="1"/>
    <col min="12048" max="12048" width="8.88671875" style="423"/>
    <col min="12049" max="12049" width="10.77734375" style="423" customWidth="1"/>
    <col min="12050" max="12050" width="9" style="423" customWidth="1"/>
    <col min="12051" max="12051" width="8.88671875" style="423"/>
    <col min="12052" max="12052" width="9.6640625" style="423" bestFit="1" customWidth="1"/>
    <col min="12053" max="12053" width="10.109375" style="423" customWidth="1"/>
    <col min="12054" max="12054" width="11" style="423" customWidth="1"/>
    <col min="12055" max="12055" width="9.5546875" style="423" customWidth="1"/>
    <col min="12056" max="12057" width="8.88671875" style="423"/>
    <col min="12058" max="12058" width="9.5546875" style="423" bestFit="1" customWidth="1"/>
    <col min="12059" max="12059" width="10.44140625" style="423" customWidth="1"/>
    <col min="12060" max="12060" width="8.88671875" style="423"/>
    <col min="12061" max="12061" width="9.6640625" style="423" customWidth="1"/>
    <col min="12062" max="12063" width="8.88671875" style="423"/>
    <col min="12064" max="12064" width="9.5546875" style="423" bestFit="1" customWidth="1"/>
    <col min="12065" max="12065" width="10.21875" style="423" customWidth="1"/>
    <col min="12066" max="12066" width="8.88671875" style="423"/>
    <col min="12067" max="12067" width="9.5546875" style="423" customWidth="1"/>
    <col min="12068" max="12068" width="9.77734375" style="423" customWidth="1"/>
    <col min="12069" max="12069" width="8.88671875" style="423"/>
    <col min="12070" max="12070" width="9.5546875" style="423" bestFit="1" customWidth="1"/>
    <col min="12071" max="12071" width="10.109375" style="423" customWidth="1"/>
    <col min="12072" max="12072" width="8.88671875" style="423"/>
    <col min="12073" max="12073" width="9.44140625" style="423" customWidth="1"/>
    <col min="12074" max="12074" width="8.88671875" style="423"/>
    <col min="12075" max="12075" width="9.77734375" style="423" customWidth="1"/>
    <col min="12076" max="12076" width="9.5546875" style="423" bestFit="1" customWidth="1"/>
    <col min="12077" max="12077" width="10.33203125" style="423" customWidth="1"/>
    <col min="12078" max="12078" width="8.88671875" style="423"/>
    <col min="12079" max="12079" width="9.44140625" style="423" customWidth="1"/>
    <col min="12080" max="12081" width="8.88671875" style="423"/>
    <col min="12082" max="12082" width="10.109375" style="423" customWidth="1"/>
    <col min="12083" max="12083" width="9.77734375" style="423" customWidth="1"/>
    <col min="12084" max="12084" width="8.88671875" style="423"/>
    <col min="12085" max="12085" width="9.5546875" style="423" customWidth="1"/>
    <col min="12086" max="12087" width="8.88671875" style="423"/>
    <col min="12088" max="12088" width="9.5546875" style="423" bestFit="1" customWidth="1"/>
    <col min="12089" max="12089" width="11" style="423" customWidth="1"/>
    <col min="12090" max="12090" width="8.88671875" style="423"/>
    <col min="12091" max="12091" width="9.5546875" style="423" customWidth="1"/>
    <col min="12092" max="12093" width="8.88671875" style="423"/>
    <col min="12094" max="12094" width="9.5546875" style="423" bestFit="1" customWidth="1"/>
    <col min="12095" max="12095" width="10.21875" style="423" customWidth="1"/>
    <col min="12096" max="12096" width="8.88671875" style="423"/>
    <col min="12097" max="12097" width="9.44140625" style="423" customWidth="1"/>
    <col min="12098" max="12288" width="8.88671875" style="423"/>
    <col min="12289" max="12293" width="9.77734375" style="423" customWidth="1"/>
    <col min="12294" max="12294" width="10.6640625" style="423" customWidth="1"/>
    <col min="12295" max="12297" width="9.77734375" style="423" customWidth="1"/>
    <col min="12298" max="12298" width="7.6640625" style="423" customWidth="1"/>
    <col min="12299" max="12299" width="10.109375" style="423" bestFit="1" customWidth="1"/>
    <col min="12300" max="12300" width="9.77734375" style="423" customWidth="1"/>
    <col min="12301" max="12301" width="10.77734375" style="423" bestFit="1" customWidth="1"/>
    <col min="12302" max="12302" width="12.21875" style="423" customWidth="1"/>
    <col min="12303" max="12303" width="13.21875" style="423" bestFit="1" customWidth="1"/>
    <col min="12304" max="12304" width="8.88671875" style="423"/>
    <col min="12305" max="12305" width="10.77734375" style="423" customWidth="1"/>
    <col min="12306" max="12306" width="9" style="423" customWidth="1"/>
    <col min="12307" max="12307" width="8.88671875" style="423"/>
    <col min="12308" max="12308" width="9.6640625" style="423" bestFit="1" customWidth="1"/>
    <col min="12309" max="12309" width="10.109375" style="423" customWidth="1"/>
    <col min="12310" max="12310" width="11" style="423" customWidth="1"/>
    <col min="12311" max="12311" width="9.5546875" style="423" customWidth="1"/>
    <col min="12312" max="12313" width="8.88671875" style="423"/>
    <col min="12314" max="12314" width="9.5546875" style="423" bestFit="1" customWidth="1"/>
    <col min="12315" max="12315" width="10.44140625" style="423" customWidth="1"/>
    <col min="12316" max="12316" width="8.88671875" style="423"/>
    <col min="12317" max="12317" width="9.6640625" style="423" customWidth="1"/>
    <col min="12318" max="12319" width="8.88671875" style="423"/>
    <col min="12320" max="12320" width="9.5546875" style="423" bestFit="1" customWidth="1"/>
    <col min="12321" max="12321" width="10.21875" style="423" customWidth="1"/>
    <col min="12322" max="12322" width="8.88671875" style="423"/>
    <col min="12323" max="12323" width="9.5546875" style="423" customWidth="1"/>
    <col min="12324" max="12324" width="9.77734375" style="423" customWidth="1"/>
    <col min="12325" max="12325" width="8.88671875" style="423"/>
    <col min="12326" max="12326" width="9.5546875" style="423" bestFit="1" customWidth="1"/>
    <col min="12327" max="12327" width="10.109375" style="423" customWidth="1"/>
    <col min="12328" max="12328" width="8.88671875" style="423"/>
    <col min="12329" max="12329" width="9.44140625" style="423" customWidth="1"/>
    <col min="12330" max="12330" width="8.88671875" style="423"/>
    <col min="12331" max="12331" width="9.77734375" style="423" customWidth="1"/>
    <col min="12332" max="12332" width="9.5546875" style="423" bestFit="1" customWidth="1"/>
    <col min="12333" max="12333" width="10.33203125" style="423" customWidth="1"/>
    <col min="12334" max="12334" width="8.88671875" style="423"/>
    <col min="12335" max="12335" width="9.44140625" style="423" customWidth="1"/>
    <col min="12336" max="12337" width="8.88671875" style="423"/>
    <col min="12338" max="12338" width="10.109375" style="423" customWidth="1"/>
    <col min="12339" max="12339" width="9.77734375" style="423" customWidth="1"/>
    <col min="12340" max="12340" width="8.88671875" style="423"/>
    <col min="12341" max="12341" width="9.5546875" style="423" customWidth="1"/>
    <col min="12342" max="12343" width="8.88671875" style="423"/>
    <col min="12344" max="12344" width="9.5546875" style="423" bestFit="1" customWidth="1"/>
    <col min="12345" max="12345" width="11" style="423" customWidth="1"/>
    <col min="12346" max="12346" width="8.88671875" style="423"/>
    <col min="12347" max="12347" width="9.5546875" style="423" customWidth="1"/>
    <col min="12348" max="12349" width="8.88671875" style="423"/>
    <col min="12350" max="12350" width="9.5546875" style="423" bestFit="1" customWidth="1"/>
    <col min="12351" max="12351" width="10.21875" style="423" customWidth="1"/>
    <col min="12352" max="12352" width="8.88671875" style="423"/>
    <col min="12353" max="12353" width="9.44140625" style="423" customWidth="1"/>
    <col min="12354" max="12544" width="8.88671875" style="423"/>
    <col min="12545" max="12549" width="9.77734375" style="423" customWidth="1"/>
    <col min="12550" max="12550" width="10.6640625" style="423" customWidth="1"/>
    <col min="12551" max="12553" width="9.77734375" style="423" customWidth="1"/>
    <col min="12554" max="12554" width="7.6640625" style="423" customWidth="1"/>
    <col min="12555" max="12555" width="10.109375" style="423" bestFit="1" customWidth="1"/>
    <col min="12556" max="12556" width="9.77734375" style="423" customWidth="1"/>
    <col min="12557" max="12557" width="10.77734375" style="423" bestFit="1" customWidth="1"/>
    <col min="12558" max="12558" width="12.21875" style="423" customWidth="1"/>
    <col min="12559" max="12559" width="13.21875" style="423" bestFit="1" customWidth="1"/>
    <col min="12560" max="12560" width="8.88671875" style="423"/>
    <col min="12561" max="12561" width="10.77734375" style="423" customWidth="1"/>
    <col min="12562" max="12562" width="9" style="423" customWidth="1"/>
    <col min="12563" max="12563" width="8.88671875" style="423"/>
    <col min="12564" max="12564" width="9.6640625" style="423" bestFit="1" customWidth="1"/>
    <col min="12565" max="12565" width="10.109375" style="423" customWidth="1"/>
    <col min="12566" max="12566" width="11" style="423" customWidth="1"/>
    <col min="12567" max="12567" width="9.5546875" style="423" customWidth="1"/>
    <col min="12568" max="12569" width="8.88671875" style="423"/>
    <col min="12570" max="12570" width="9.5546875" style="423" bestFit="1" customWidth="1"/>
    <col min="12571" max="12571" width="10.44140625" style="423" customWidth="1"/>
    <col min="12572" max="12572" width="8.88671875" style="423"/>
    <col min="12573" max="12573" width="9.6640625" style="423" customWidth="1"/>
    <col min="12574" max="12575" width="8.88671875" style="423"/>
    <col min="12576" max="12576" width="9.5546875" style="423" bestFit="1" customWidth="1"/>
    <col min="12577" max="12577" width="10.21875" style="423" customWidth="1"/>
    <col min="12578" max="12578" width="8.88671875" style="423"/>
    <col min="12579" max="12579" width="9.5546875" style="423" customWidth="1"/>
    <col min="12580" max="12580" width="9.77734375" style="423" customWidth="1"/>
    <col min="12581" max="12581" width="8.88671875" style="423"/>
    <col min="12582" max="12582" width="9.5546875" style="423" bestFit="1" customWidth="1"/>
    <col min="12583" max="12583" width="10.109375" style="423" customWidth="1"/>
    <col min="12584" max="12584" width="8.88671875" style="423"/>
    <col min="12585" max="12585" width="9.44140625" style="423" customWidth="1"/>
    <col min="12586" max="12586" width="8.88671875" style="423"/>
    <col min="12587" max="12587" width="9.77734375" style="423" customWidth="1"/>
    <col min="12588" max="12588" width="9.5546875" style="423" bestFit="1" customWidth="1"/>
    <col min="12589" max="12589" width="10.33203125" style="423" customWidth="1"/>
    <col min="12590" max="12590" width="8.88671875" style="423"/>
    <col min="12591" max="12591" width="9.44140625" style="423" customWidth="1"/>
    <col min="12592" max="12593" width="8.88671875" style="423"/>
    <col min="12594" max="12594" width="10.109375" style="423" customWidth="1"/>
    <col min="12595" max="12595" width="9.77734375" style="423" customWidth="1"/>
    <col min="12596" max="12596" width="8.88671875" style="423"/>
    <col min="12597" max="12597" width="9.5546875" style="423" customWidth="1"/>
    <col min="12598" max="12599" width="8.88671875" style="423"/>
    <col min="12600" max="12600" width="9.5546875" style="423" bestFit="1" customWidth="1"/>
    <col min="12601" max="12601" width="11" style="423" customWidth="1"/>
    <col min="12602" max="12602" width="8.88671875" style="423"/>
    <col min="12603" max="12603" width="9.5546875" style="423" customWidth="1"/>
    <col min="12604" max="12605" width="8.88671875" style="423"/>
    <col min="12606" max="12606" width="9.5546875" style="423" bestFit="1" customWidth="1"/>
    <col min="12607" max="12607" width="10.21875" style="423" customWidth="1"/>
    <col min="12608" max="12608" width="8.88671875" style="423"/>
    <col min="12609" max="12609" width="9.44140625" style="423" customWidth="1"/>
    <col min="12610" max="12800" width="8.88671875" style="423"/>
    <col min="12801" max="12805" width="9.77734375" style="423" customWidth="1"/>
    <col min="12806" max="12806" width="10.6640625" style="423" customWidth="1"/>
    <col min="12807" max="12809" width="9.77734375" style="423" customWidth="1"/>
    <col min="12810" max="12810" width="7.6640625" style="423" customWidth="1"/>
    <col min="12811" max="12811" width="10.109375" style="423" bestFit="1" customWidth="1"/>
    <col min="12812" max="12812" width="9.77734375" style="423" customWidth="1"/>
    <col min="12813" max="12813" width="10.77734375" style="423" bestFit="1" customWidth="1"/>
    <col min="12814" max="12814" width="12.21875" style="423" customWidth="1"/>
    <col min="12815" max="12815" width="13.21875" style="423" bestFit="1" customWidth="1"/>
    <col min="12816" max="12816" width="8.88671875" style="423"/>
    <col min="12817" max="12817" width="10.77734375" style="423" customWidth="1"/>
    <col min="12818" max="12818" width="9" style="423" customWidth="1"/>
    <col min="12819" max="12819" width="8.88671875" style="423"/>
    <col min="12820" max="12820" width="9.6640625" style="423" bestFit="1" customWidth="1"/>
    <col min="12821" max="12821" width="10.109375" style="423" customWidth="1"/>
    <col min="12822" max="12822" width="11" style="423" customWidth="1"/>
    <col min="12823" max="12823" width="9.5546875" style="423" customWidth="1"/>
    <col min="12824" max="12825" width="8.88671875" style="423"/>
    <col min="12826" max="12826" width="9.5546875" style="423" bestFit="1" customWidth="1"/>
    <col min="12827" max="12827" width="10.44140625" style="423" customWidth="1"/>
    <col min="12828" max="12828" width="8.88671875" style="423"/>
    <col min="12829" max="12829" width="9.6640625" style="423" customWidth="1"/>
    <col min="12830" max="12831" width="8.88671875" style="423"/>
    <col min="12832" max="12832" width="9.5546875" style="423" bestFit="1" customWidth="1"/>
    <col min="12833" max="12833" width="10.21875" style="423" customWidth="1"/>
    <col min="12834" max="12834" width="8.88671875" style="423"/>
    <col min="12835" max="12835" width="9.5546875" style="423" customWidth="1"/>
    <col min="12836" max="12836" width="9.77734375" style="423" customWidth="1"/>
    <col min="12837" max="12837" width="8.88671875" style="423"/>
    <col min="12838" max="12838" width="9.5546875" style="423" bestFit="1" customWidth="1"/>
    <col min="12839" max="12839" width="10.109375" style="423" customWidth="1"/>
    <col min="12840" max="12840" width="8.88671875" style="423"/>
    <col min="12841" max="12841" width="9.44140625" style="423" customWidth="1"/>
    <col min="12842" max="12842" width="8.88671875" style="423"/>
    <col min="12843" max="12843" width="9.77734375" style="423" customWidth="1"/>
    <col min="12844" max="12844" width="9.5546875" style="423" bestFit="1" customWidth="1"/>
    <col min="12845" max="12845" width="10.33203125" style="423" customWidth="1"/>
    <col min="12846" max="12846" width="8.88671875" style="423"/>
    <col min="12847" max="12847" width="9.44140625" style="423" customWidth="1"/>
    <col min="12848" max="12849" width="8.88671875" style="423"/>
    <col min="12850" max="12850" width="10.109375" style="423" customWidth="1"/>
    <col min="12851" max="12851" width="9.77734375" style="423" customWidth="1"/>
    <col min="12852" max="12852" width="8.88671875" style="423"/>
    <col min="12853" max="12853" width="9.5546875" style="423" customWidth="1"/>
    <col min="12854" max="12855" width="8.88671875" style="423"/>
    <col min="12856" max="12856" width="9.5546875" style="423" bestFit="1" customWidth="1"/>
    <col min="12857" max="12857" width="11" style="423" customWidth="1"/>
    <col min="12858" max="12858" width="8.88671875" style="423"/>
    <col min="12859" max="12859" width="9.5546875" style="423" customWidth="1"/>
    <col min="12860" max="12861" width="8.88671875" style="423"/>
    <col min="12862" max="12862" width="9.5546875" style="423" bestFit="1" customWidth="1"/>
    <col min="12863" max="12863" width="10.21875" style="423" customWidth="1"/>
    <col min="12864" max="12864" width="8.88671875" style="423"/>
    <col min="12865" max="12865" width="9.44140625" style="423" customWidth="1"/>
    <col min="12866" max="13056" width="8.88671875" style="423"/>
    <col min="13057" max="13061" width="9.77734375" style="423" customWidth="1"/>
    <col min="13062" max="13062" width="10.6640625" style="423" customWidth="1"/>
    <col min="13063" max="13065" width="9.77734375" style="423" customWidth="1"/>
    <col min="13066" max="13066" width="7.6640625" style="423" customWidth="1"/>
    <col min="13067" max="13067" width="10.109375" style="423" bestFit="1" customWidth="1"/>
    <col min="13068" max="13068" width="9.77734375" style="423" customWidth="1"/>
    <col min="13069" max="13069" width="10.77734375" style="423" bestFit="1" customWidth="1"/>
    <col min="13070" max="13070" width="12.21875" style="423" customWidth="1"/>
    <col min="13071" max="13071" width="13.21875" style="423" bestFit="1" customWidth="1"/>
    <col min="13072" max="13072" width="8.88671875" style="423"/>
    <col min="13073" max="13073" width="10.77734375" style="423" customWidth="1"/>
    <col min="13074" max="13074" width="9" style="423" customWidth="1"/>
    <col min="13075" max="13075" width="8.88671875" style="423"/>
    <col min="13076" max="13076" width="9.6640625" style="423" bestFit="1" customWidth="1"/>
    <col min="13077" max="13077" width="10.109375" style="423" customWidth="1"/>
    <col min="13078" max="13078" width="11" style="423" customWidth="1"/>
    <col min="13079" max="13079" width="9.5546875" style="423" customWidth="1"/>
    <col min="13080" max="13081" width="8.88671875" style="423"/>
    <col min="13082" max="13082" width="9.5546875" style="423" bestFit="1" customWidth="1"/>
    <col min="13083" max="13083" width="10.44140625" style="423" customWidth="1"/>
    <col min="13084" max="13084" width="8.88671875" style="423"/>
    <col min="13085" max="13085" width="9.6640625" style="423" customWidth="1"/>
    <col min="13086" max="13087" width="8.88671875" style="423"/>
    <col min="13088" max="13088" width="9.5546875" style="423" bestFit="1" customWidth="1"/>
    <col min="13089" max="13089" width="10.21875" style="423" customWidth="1"/>
    <col min="13090" max="13090" width="8.88671875" style="423"/>
    <col min="13091" max="13091" width="9.5546875" style="423" customWidth="1"/>
    <col min="13092" max="13092" width="9.77734375" style="423" customWidth="1"/>
    <col min="13093" max="13093" width="8.88671875" style="423"/>
    <col min="13094" max="13094" width="9.5546875" style="423" bestFit="1" customWidth="1"/>
    <col min="13095" max="13095" width="10.109375" style="423" customWidth="1"/>
    <col min="13096" max="13096" width="8.88671875" style="423"/>
    <col min="13097" max="13097" width="9.44140625" style="423" customWidth="1"/>
    <col min="13098" max="13098" width="8.88671875" style="423"/>
    <col min="13099" max="13099" width="9.77734375" style="423" customWidth="1"/>
    <col min="13100" max="13100" width="9.5546875" style="423" bestFit="1" customWidth="1"/>
    <col min="13101" max="13101" width="10.33203125" style="423" customWidth="1"/>
    <col min="13102" max="13102" width="8.88671875" style="423"/>
    <col min="13103" max="13103" width="9.44140625" style="423" customWidth="1"/>
    <col min="13104" max="13105" width="8.88671875" style="423"/>
    <col min="13106" max="13106" width="10.109375" style="423" customWidth="1"/>
    <col min="13107" max="13107" width="9.77734375" style="423" customWidth="1"/>
    <col min="13108" max="13108" width="8.88671875" style="423"/>
    <col min="13109" max="13109" width="9.5546875" style="423" customWidth="1"/>
    <col min="13110" max="13111" width="8.88671875" style="423"/>
    <col min="13112" max="13112" width="9.5546875" style="423" bestFit="1" customWidth="1"/>
    <col min="13113" max="13113" width="11" style="423" customWidth="1"/>
    <col min="13114" max="13114" width="8.88671875" style="423"/>
    <col min="13115" max="13115" width="9.5546875" style="423" customWidth="1"/>
    <col min="13116" max="13117" width="8.88671875" style="423"/>
    <col min="13118" max="13118" width="9.5546875" style="423" bestFit="1" customWidth="1"/>
    <col min="13119" max="13119" width="10.21875" style="423" customWidth="1"/>
    <col min="13120" max="13120" width="8.88671875" style="423"/>
    <col min="13121" max="13121" width="9.44140625" style="423" customWidth="1"/>
    <col min="13122" max="13312" width="8.88671875" style="423"/>
    <col min="13313" max="13317" width="9.77734375" style="423" customWidth="1"/>
    <col min="13318" max="13318" width="10.6640625" style="423" customWidth="1"/>
    <col min="13319" max="13321" width="9.77734375" style="423" customWidth="1"/>
    <col min="13322" max="13322" width="7.6640625" style="423" customWidth="1"/>
    <col min="13323" max="13323" width="10.109375" style="423" bestFit="1" customWidth="1"/>
    <col min="13324" max="13324" width="9.77734375" style="423" customWidth="1"/>
    <col min="13325" max="13325" width="10.77734375" style="423" bestFit="1" customWidth="1"/>
    <col min="13326" max="13326" width="12.21875" style="423" customWidth="1"/>
    <col min="13327" max="13327" width="13.21875" style="423" bestFit="1" customWidth="1"/>
    <col min="13328" max="13328" width="8.88671875" style="423"/>
    <col min="13329" max="13329" width="10.77734375" style="423" customWidth="1"/>
    <col min="13330" max="13330" width="9" style="423" customWidth="1"/>
    <col min="13331" max="13331" width="8.88671875" style="423"/>
    <col min="13332" max="13332" width="9.6640625" style="423" bestFit="1" customWidth="1"/>
    <col min="13333" max="13333" width="10.109375" style="423" customWidth="1"/>
    <col min="13334" max="13334" width="11" style="423" customWidth="1"/>
    <col min="13335" max="13335" width="9.5546875" style="423" customWidth="1"/>
    <col min="13336" max="13337" width="8.88671875" style="423"/>
    <col min="13338" max="13338" width="9.5546875" style="423" bestFit="1" customWidth="1"/>
    <col min="13339" max="13339" width="10.44140625" style="423" customWidth="1"/>
    <col min="13340" max="13340" width="8.88671875" style="423"/>
    <col min="13341" max="13341" width="9.6640625" style="423" customWidth="1"/>
    <col min="13342" max="13343" width="8.88671875" style="423"/>
    <col min="13344" max="13344" width="9.5546875" style="423" bestFit="1" customWidth="1"/>
    <col min="13345" max="13345" width="10.21875" style="423" customWidth="1"/>
    <col min="13346" max="13346" width="8.88671875" style="423"/>
    <col min="13347" max="13347" width="9.5546875" style="423" customWidth="1"/>
    <col min="13348" max="13348" width="9.77734375" style="423" customWidth="1"/>
    <col min="13349" max="13349" width="8.88671875" style="423"/>
    <col min="13350" max="13350" width="9.5546875" style="423" bestFit="1" customWidth="1"/>
    <col min="13351" max="13351" width="10.109375" style="423" customWidth="1"/>
    <col min="13352" max="13352" width="8.88671875" style="423"/>
    <col min="13353" max="13353" width="9.44140625" style="423" customWidth="1"/>
    <col min="13354" max="13354" width="8.88671875" style="423"/>
    <col min="13355" max="13355" width="9.77734375" style="423" customWidth="1"/>
    <col min="13356" max="13356" width="9.5546875" style="423" bestFit="1" customWidth="1"/>
    <col min="13357" max="13357" width="10.33203125" style="423" customWidth="1"/>
    <col min="13358" max="13358" width="8.88671875" style="423"/>
    <col min="13359" max="13359" width="9.44140625" style="423" customWidth="1"/>
    <col min="13360" max="13361" width="8.88671875" style="423"/>
    <col min="13362" max="13362" width="10.109375" style="423" customWidth="1"/>
    <col min="13363" max="13363" width="9.77734375" style="423" customWidth="1"/>
    <col min="13364" max="13364" width="8.88671875" style="423"/>
    <col min="13365" max="13365" width="9.5546875" style="423" customWidth="1"/>
    <col min="13366" max="13367" width="8.88671875" style="423"/>
    <col min="13368" max="13368" width="9.5546875" style="423" bestFit="1" customWidth="1"/>
    <col min="13369" max="13369" width="11" style="423" customWidth="1"/>
    <col min="13370" max="13370" width="8.88671875" style="423"/>
    <col min="13371" max="13371" width="9.5546875" style="423" customWidth="1"/>
    <col min="13372" max="13373" width="8.88671875" style="423"/>
    <col min="13374" max="13374" width="9.5546875" style="423" bestFit="1" customWidth="1"/>
    <col min="13375" max="13375" width="10.21875" style="423" customWidth="1"/>
    <col min="13376" max="13376" width="8.88671875" style="423"/>
    <col min="13377" max="13377" width="9.44140625" style="423" customWidth="1"/>
    <col min="13378" max="13568" width="8.88671875" style="423"/>
    <col min="13569" max="13573" width="9.77734375" style="423" customWidth="1"/>
    <col min="13574" max="13574" width="10.6640625" style="423" customWidth="1"/>
    <col min="13575" max="13577" width="9.77734375" style="423" customWidth="1"/>
    <col min="13578" max="13578" width="7.6640625" style="423" customWidth="1"/>
    <col min="13579" max="13579" width="10.109375" style="423" bestFit="1" customWidth="1"/>
    <col min="13580" max="13580" width="9.77734375" style="423" customWidth="1"/>
    <col min="13581" max="13581" width="10.77734375" style="423" bestFit="1" customWidth="1"/>
    <col min="13582" max="13582" width="12.21875" style="423" customWidth="1"/>
    <col min="13583" max="13583" width="13.21875" style="423" bestFit="1" customWidth="1"/>
    <col min="13584" max="13584" width="8.88671875" style="423"/>
    <col min="13585" max="13585" width="10.77734375" style="423" customWidth="1"/>
    <col min="13586" max="13586" width="9" style="423" customWidth="1"/>
    <col min="13587" max="13587" width="8.88671875" style="423"/>
    <col min="13588" max="13588" width="9.6640625" style="423" bestFit="1" customWidth="1"/>
    <col min="13589" max="13589" width="10.109375" style="423" customWidth="1"/>
    <col min="13590" max="13590" width="11" style="423" customWidth="1"/>
    <col min="13591" max="13591" width="9.5546875" style="423" customWidth="1"/>
    <col min="13592" max="13593" width="8.88671875" style="423"/>
    <col min="13594" max="13594" width="9.5546875" style="423" bestFit="1" customWidth="1"/>
    <col min="13595" max="13595" width="10.44140625" style="423" customWidth="1"/>
    <col min="13596" max="13596" width="8.88671875" style="423"/>
    <col min="13597" max="13597" width="9.6640625" style="423" customWidth="1"/>
    <col min="13598" max="13599" width="8.88671875" style="423"/>
    <col min="13600" max="13600" width="9.5546875" style="423" bestFit="1" customWidth="1"/>
    <col min="13601" max="13601" width="10.21875" style="423" customWidth="1"/>
    <col min="13602" max="13602" width="8.88671875" style="423"/>
    <col min="13603" max="13603" width="9.5546875" style="423" customWidth="1"/>
    <col min="13604" max="13604" width="9.77734375" style="423" customWidth="1"/>
    <col min="13605" max="13605" width="8.88671875" style="423"/>
    <col min="13606" max="13606" width="9.5546875" style="423" bestFit="1" customWidth="1"/>
    <col min="13607" max="13607" width="10.109375" style="423" customWidth="1"/>
    <col min="13608" max="13608" width="8.88671875" style="423"/>
    <col min="13609" max="13609" width="9.44140625" style="423" customWidth="1"/>
    <col min="13610" max="13610" width="8.88671875" style="423"/>
    <col min="13611" max="13611" width="9.77734375" style="423" customWidth="1"/>
    <col min="13612" max="13612" width="9.5546875" style="423" bestFit="1" customWidth="1"/>
    <col min="13613" max="13613" width="10.33203125" style="423" customWidth="1"/>
    <col min="13614" max="13614" width="8.88671875" style="423"/>
    <col min="13615" max="13615" width="9.44140625" style="423" customWidth="1"/>
    <col min="13616" max="13617" width="8.88671875" style="423"/>
    <col min="13618" max="13618" width="10.109375" style="423" customWidth="1"/>
    <col min="13619" max="13619" width="9.77734375" style="423" customWidth="1"/>
    <col min="13620" max="13620" width="8.88671875" style="423"/>
    <col min="13621" max="13621" width="9.5546875" style="423" customWidth="1"/>
    <col min="13622" max="13623" width="8.88671875" style="423"/>
    <col min="13624" max="13624" width="9.5546875" style="423" bestFit="1" customWidth="1"/>
    <col min="13625" max="13625" width="11" style="423" customWidth="1"/>
    <col min="13626" max="13626" width="8.88671875" style="423"/>
    <col min="13627" max="13627" width="9.5546875" style="423" customWidth="1"/>
    <col min="13628" max="13629" width="8.88671875" style="423"/>
    <col min="13630" max="13630" width="9.5546875" style="423" bestFit="1" customWidth="1"/>
    <col min="13631" max="13631" width="10.21875" style="423" customWidth="1"/>
    <col min="13632" max="13632" width="8.88671875" style="423"/>
    <col min="13633" max="13633" width="9.44140625" style="423" customWidth="1"/>
    <col min="13634" max="13824" width="8.88671875" style="423"/>
    <col min="13825" max="13829" width="9.77734375" style="423" customWidth="1"/>
    <col min="13830" max="13830" width="10.6640625" style="423" customWidth="1"/>
    <col min="13831" max="13833" width="9.77734375" style="423" customWidth="1"/>
    <col min="13834" max="13834" width="7.6640625" style="423" customWidth="1"/>
    <col min="13835" max="13835" width="10.109375" style="423" bestFit="1" customWidth="1"/>
    <col min="13836" max="13836" width="9.77734375" style="423" customWidth="1"/>
    <col min="13837" max="13837" width="10.77734375" style="423" bestFit="1" customWidth="1"/>
    <col min="13838" max="13838" width="12.21875" style="423" customWidth="1"/>
    <col min="13839" max="13839" width="13.21875" style="423" bestFit="1" customWidth="1"/>
    <col min="13840" max="13840" width="8.88671875" style="423"/>
    <col min="13841" max="13841" width="10.77734375" style="423" customWidth="1"/>
    <col min="13842" max="13842" width="9" style="423" customWidth="1"/>
    <col min="13843" max="13843" width="8.88671875" style="423"/>
    <col min="13844" max="13844" width="9.6640625" style="423" bestFit="1" customWidth="1"/>
    <col min="13845" max="13845" width="10.109375" style="423" customWidth="1"/>
    <col min="13846" max="13846" width="11" style="423" customWidth="1"/>
    <col min="13847" max="13847" width="9.5546875" style="423" customWidth="1"/>
    <col min="13848" max="13849" width="8.88671875" style="423"/>
    <col min="13850" max="13850" width="9.5546875" style="423" bestFit="1" customWidth="1"/>
    <col min="13851" max="13851" width="10.44140625" style="423" customWidth="1"/>
    <col min="13852" max="13852" width="8.88671875" style="423"/>
    <col min="13853" max="13853" width="9.6640625" style="423" customWidth="1"/>
    <col min="13854" max="13855" width="8.88671875" style="423"/>
    <col min="13856" max="13856" width="9.5546875" style="423" bestFit="1" customWidth="1"/>
    <col min="13857" max="13857" width="10.21875" style="423" customWidth="1"/>
    <col min="13858" max="13858" width="8.88671875" style="423"/>
    <col min="13859" max="13859" width="9.5546875" style="423" customWidth="1"/>
    <col min="13860" max="13860" width="9.77734375" style="423" customWidth="1"/>
    <col min="13861" max="13861" width="8.88671875" style="423"/>
    <col min="13862" max="13862" width="9.5546875" style="423" bestFit="1" customWidth="1"/>
    <col min="13863" max="13863" width="10.109375" style="423" customWidth="1"/>
    <col min="13864" max="13864" width="8.88671875" style="423"/>
    <col min="13865" max="13865" width="9.44140625" style="423" customWidth="1"/>
    <col min="13866" max="13866" width="8.88671875" style="423"/>
    <col min="13867" max="13867" width="9.77734375" style="423" customWidth="1"/>
    <col min="13868" max="13868" width="9.5546875" style="423" bestFit="1" customWidth="1"/>
    <col min="13869" max="13869" width="10.33203125" style="423" customWidth="1"/>
    <col min="13870" max="13870" width="8.88671875" style="423"/>
    <col min="13871" max="13871" width="9.44140625" style="423" customWidth="1"/>
    <col min="13872" max="13873" width="8.88671875" style="423"/>
    <col min="13874" max="13874" width="10.109375" style="423" customWidth="1"/>
    <col min="13875" max="13875" width="9.77734375" style="423" customWidth="1"/>
    <col min="13876" max="13876" width="8.88671875" style="423"/>
    <col min="13877" max="13877" width="9.5546875" style="423" customWidth="1"/>
    <col min="13878" max="13879" width="8.88671875" style="423"/>
    <col min="13880" max="13880" width="9.5546875" style="423" bestFit="1" customWidth="1"/>
    <col min="13881" max="13881" width="11" style="423" customWidth="1"/>
    <col min="13882" max="13882" width="8.88671875" style="423"/>
    <col min="13883" max="13883" width="9.5546875" style="423" customWidth="1"/>
    <col min="13884" max="13885" width="8.88671875" style="423"/>
    <col min="13886" max="13886" width="9.5546875" style="423" bestFit="1" customWidth="1"/>
    <col min="13887" max="13887" width="10.21875" style="423" customWidth="1"/>
    <col min="13888" max="13888" width="8.88671875" style="423"/>
    <col min="13889" max="13889" width="9.44140625" style="423" customWidth="1"/>
    <col min="13890" max="14080" width="8.88671875" style="423"/>
    <col min="14081" max="14085" width="9.77734375" style="423" customWidth="1"/>
    <col min="14086" max="14086" width="10.6640625" style="423" customWidth="1"/>
    <col min="14087" max="14089" width="9.77734375" style="423" customWidth="1"/>
    <col min="14090" max="14090" width="7.6640625" style="423" customWidth="1"/>
    <col min="14091" max="14091" width="10.109375" style="423" bestFit="1" customWidth="1"/>
    <col min="14092" max="14092" width="9.77734375" style="423" customWidth="1"/>
    <col min="14093" max="14093" width="10.77734375" style="423" bestFit="1" customWidth="1"/>
    <col min="14094" max="14094" width="12.21875" style="423" customWidth="1"/>
    <col min="14095" max="14095" width="13.21875" style="423" bestFit="1" customWidth="1"/>
    <col min="14096" max="14096" width="8.88671875" style="423"/>
    <col min="14097" max="14097" width="10.77734375" style="423" customWidth="1"/>
    <col min="14098" max="14098" width="9" style="423" customWidth="1"/>
    <col min="14099" max="14099" width="8.88671875" style="423"/>
    <col min="14100" max="14100" width="9.6640625" style="423" bestFit="1" customWidth="1"/>
    <col min="14101" max="14101" width="10.109375" style="423" customWidth="1"/>
    <col min="14102" max="14102" width="11" style="423" customWidth="1"/>
    <col min="14103" max="14103" width="9.5546875" style="423" customWidth="1"/>
    <col min="14104" max="14105" width="8.88671875" style="423"/>
    <col min="14106" max="14106" width="9.5546875" style="423" bestFit="1" customWidth="1"/>
    <col min="14107" max="14107" width="10.44140625" style="423" customWidth="1"/>
    <col min="14108" max="14108" width="8.88671875" style="423"/>
    <col min="14109" max="14109" width="9.6640625" style="423" customWidth="1"/>
    <col min="14110" max="14111" width="8.88671875" style="423"/>
    <col min="14112" max="14112" width="9.5546875" style="423" bestFit="1" customWidth="1"/>
    <col min="14113" max="14113" width="10.21875" style="423" customWidth="1"/>
    <col min="14114" max="14114" width="8.88671875" style="423"/>
    <col min="14115" max="14115" width="9.5546875" style="423" customWidth="1"/>
    <col min="14116" max="14116" width="9.77734375" style="423" customWidth="1"/>
    <col min="14117" max="14117" width="8.88671875" style="423"/>
    <col min="14118" max="14118" width="9.5546875" style="423" bestFit="1" customWidth="1"/>
    <col min="14119" max="14119" width="10.109375" style="423" customWidth="1"/>
    <col min="14120" max="14120" width="8.88671875" style="423"/>
    <col min="14121" max="14121" width="9.44140625" style="423" customWidth="1"/>
    <col min="14122" max="14122" width="8.88671875" style="423"/>
    <col min="14123" max="14123" width="9.77734375" style="423" customWidth="1"/>
    <col min="14124" max="14124" width="9.5546875" style="423" bestFit="1" customWidth="1"/>
    <col min="14125" max="14125" width="10.33203125" style="423" customWidth="1"/>
    <col min="14126" max="14126" width="8.88671875" style="423"/>
    <col min="14127" max="14127" width="9.44140625" style="423" customWidth="1"/>
    <col min="14128" max="14129" width="8.88671875" style="423"/>
    <col min="14130" max="14130" width="10.109375" style="423" customWidth="1"/>
    <col min="14131" max="14131" width="9.77734375" style="423" customWidth="1"/>
    <col min="14132" max="14132" width="8.88671875" style="423"/>
    <col min="14133" max="14133" width="9.5546875" style="423" customWidth="1"/>
    <col min="14134" max="14135" width="8.88671875" style="423"/>
    <col min="14136" max="14136" width="9.5546875" style="423" bestFit="1" customWidth="1"/>
    <col min="14137" max="14137" width="11" style="423" customWidth="1"/>
    <col min="14138" max="14138" width="8.88671875" style="423"/>
    <col min="14139" max="14139" width="9.5546875" style="423" customWidth="1"/>
    <col min="14140" max="14141" width="8.88671875" style="423"/>
    <col min="14142" max="14142" width="9.5546875" style="423" bestFit="1" customWidth="1"/>
    <col min="14143" max="14143" width="10.21875" style="423" customWidth="1"/>
    <col min="14144" max="14144" width="8.88671875" style="423"/>
    <col min="14145" max="14145" width="9.44140625" style="423" customWidth="1"/>
    <col min="14146" max="14336" width="8.88671875" style="423"/>
    <col min="14337" max="14341" width="9.77734375" style="423" customWidth="1"/>
    <col min="14342" max="14342" width="10.6640625" style="423" customWidth="1"/>
    <col min="14343" max="14345" width="9.77734375" style="423" customWidth="1"/>
    <col min="14346" max="14346" width="7.6640625" style="423" customWidth="1"/>
    <col min="14347" max="14347" width="10.109375" style="423" bestFit="1" customWidth="1"/>
    <col min="14348" max="14348" width="9.77734375" style="423" customWidth="1"/>
    <col min="14349" max="14349" width="10.77734375" style="423" bestFit="1" customWidth="1"/>
    <col min="14350" max="14350" width="12.21875" style="423" customWidth="1"/>
    <col min="14351" max="14351" width="13.21875" style="423" bestFit="1" customWidth="1"/>
    <col min="14352" max="14352" width="8.88671875" style="423"/>
    <col min="14353" max="14353" width="10.77734375" style="423" customWidth="1"/>
    <col min="14354" max="14354" width="9" style="423" customWidth="1"/>
    <col min="14355" max="14355" width="8.88671875" style="423"/>
    <col min="14356" max="14356" width="9.6640625" style="423" bestFit="1" customWidth="1"/>
    <col min="14357" max="14357" width="10.109375" style="423" customWidth="1"/>
    <col min="14358" max="14358" width="11" style="423" customWidth="1"/>
    <col min="14359" max="14359" width="9.5546875" style="423" customWidth="1"/>
    <col min="14360" max="14361" width="8.88671875" style="423"/>
    <col min="14362" max="14362" width="9.5546875" style="423" bestFit="1" customWidth="1"/>
    <col min="14363" max="14363" width="10.44140625" style="423" customWidth="1"/>
    <col min="14364" max="14364" width="8.88671875" style="423"/>
    <col min="14365" max="14365" width="9.6640625" style="423" customWidth="1"/>
    <col min="14366" max="14367" width="8.88671875" style="423"/>
    <col min="14368" max="14368" width="9.5546875" style="423" bestFit="1" customWidth="1"/>
    <col min="14369" max="14369" width="10.21875" style="423" customWidth="1"/>
    <col min="14370" max="14370" width="8.88671875" style="423"/>
    <col min="14371" max="14371" width="9.5546875" style="423" customWidth="1"/>
    <col min="14372" max="14372" width="9.77734375" style="423" customWidth="1"/>
    <col min="14373" max="14373" width="8.88671875" style="423"/>
    <col min="14374" max="14374" width="9.5546875" style="423" bestFit="1" customWidth="1"/>
    <col min="14375" max="14375" width="10.109375" style="423" customWidth="1"/>
    <col min="14376" max="14376" width="8.88671875" style="423"/>
    <col min="14377" max="14377" width="9.44140625" style="423" customWidth="1"/>
    <col min="14378" max="14378" width="8.88671875" style="423"/>
    <col min="14379" max="14379" width="9.77734375" style="423" customWidth="1"/>
    <col min="14380" max="14380" width="9.5546875" style="423" bestFit="1" customWidth="1"/>
    <col min="14381" max="14381" width="10.33203125" style="423" customWidth="1"/>
    <col min="14382" max="14382" width="8.88671875" style="423"/>
    <col min="14383" max="14383" width="9.44140625" style="423" customWidth="1"/>
    <col min="14384" max="14385" width="8.88671875" style="423"/>
    <col min="14386" max="14386" width="10.109375" style="423" customWidth="1"/>
    <col min="14387" max="14387" width="9.77734375" style="423" customWidth="1"/>
    <col min="14388" max="14388" width="8.88671875" style="423"/>
    <col min="14389" max="14389" width="9.5546875" style="423" customWidth="1"/>
    <col min="14390" max="14391" width="8.88671875" style="423"/>
    <col min="14392" max="14392" width="9.5546875" style="423" bestFit="1" customWidth="1"/>
    <col min="14393" max="14393" width="11" style="423" customWidth="1"/>
    <col min="14394" max="14394" width="8.88671875" style="423"/>
    <col min="14395" max="14395" width="9.5546875" style="423" customWidth="1"/>
    <col min="14396" max="14397" width="8.88671875" style="423"/>
    <col min="14398" max="14398" width="9.5546875" style="423" bestFit="1" customWidth="1"/>
    <col min="14399" max="14399" width="10.21875" style="423" customWidth="1"/>
    <col min="14400" max="14400" width="8.88671875" style="423"/>
    <col min="14401" max="14401" width="9.44140625" style="423" customWidth="1"/>
    <col min="14402" max="14592" width="8.88671875" style="423"/>
    <col min="14593" max="14597" width="9.77734375" style="423" customWidth="1"/>
    <col min="14598" max="14598" width="10.6640625" style="423" customWidth="1"/>
    <col min="14599" max="14601" width="9.77734375" style="423" customWidth="1"/>
    <col min="14602" max="14602" width="7.6640625" style="423" customWidth="1"/>
    <col min="14603" max="14603" width="10.109375" style="423" bestFit="1" customWidth="1"/>
    <col min="14604" max="14604" width="9.77734375" style="423" customWidth="1"/>
    <col min="14605" max="14605" width="10.77734375" style="423" bestFit="1" customWidth="1"/>
    <col min="14606" max="14606" width="12.21875" style="423" customWidth="1"/>
    <col min="14607" max="14607" width="13.21875" style="423" bestFit="1" customWidth="1"/>
    <col min="14608" max="14608" width="8.88671875" style="423"/>
    <col min="14609" max="14609" width="10.77734375" style="423" customWidth="1"/>
    <col min="14610" max="14610" width="9" style="423" customWidth="1"/>
    <col min="14611" max="14611" width="8.88671875" style="423"/>
    <col min="14612" max="14612" width="9.6640625" style="423" bestFit="1" customWidth="1"/>
    <col min="14613" max="14613" width="10.109375" style="423" customWidth="1"/>
    <col min="14614" max="14614" width="11" style="423" customWidth="1"/>
    <col min="14615" max="14615" width="9.5546875" style="423" customWidth="1"/>
    <col min="14616" max="14617" width="8.88671875" style="423"/>
    <col min="14618" max="14618" width="9.5546875" style="423" bestFit="1" customWidth="1"/>
    <col min="14619" max="14619" width="10.44140625" style="423" customWidth="1"/>
    <col min="14620" max="14620" width="8.88671875" style="423"/>
    <col min="14621" max="14621" width="9.6640625" style="423" customWidth="1"/>
    <col min="14622" max="14623" width="8.88671875" style="423"/>
    <col min="14624" max="14624" width="9.5546875" style="423" bestFit="1" customWidth="1"/>
    <col min="14625" max="14625" width="10.21875" style="423" customWidth="1"/>
    <col min="14626" max="14626" width="8.88671875" style="423"/>
    <col min="14627" max="14627" width="9.5546875" style="423" customWidth="1"/>
    <col min="14628" max="14628" width="9.77734375" style="423" customWidth="1"/>
    <col min="14629" max="14629" width="8.88671875" style="423"/>
    <col min="14630" max="14630" width="9.5546875" style="423" bestFit="1" customWidth="1"/>
    <col min="14631" max="14631" width="10.109375" style="423" customWidth="1"/>
    <col min="14632" max="14632" width="8.88671875" style="423"/>
    <col min="14633" max="14633" width="9.44140625" style="423" customWidth="1"/>
    <col min="14634" max="14634" width="8.88671875" style="423"/>
    <col min="14635" max="14635" width="9.77734375" style="423" customWidth="1"/>
    <col min="14636" max="14636" width="9.5546875" style="423" bestFit="1" customWidth="1"/>
    <col min="14637" max="14637" width="10.33203125" style="423" customWidth="1"/>
    <col min="14638" max="14638" width="8.88671875" style="423"/>
    <col min="14639" max="14639" width="9.44140625" style="423" customWidth="1"/>
    <col min="14640" max="14641" width="8.88671875" style="423"/>
    <col min="14642" max="14642" width="10.109375" style="423" customWidth="1"/>
    <col min="14643" max="14643" width="9.77734375" style="423" customWidth="1"/>
    <col min="14644" max="14644" width="8.88671875" style="423"/>
    <col min="14645" max="14645" width="9.5546875" style="423" customWidth="1"/>
    <col min="14646" max="14647" width="8.88671875" style="423"/>
    <col min="14648" max="14648" width="9.5546875" style="423" bestFit="1" customWidth="1"/>
    <col min="14649" max="14649" width="11" style="423" customWidth="1"/>
    <col min="14650" max="14650" width="8.88671875" style="423"/>
    <col min="14651" max="14651" width="9.5546875" style="423" customWidth="1"/>
    <col min="14652" max="14653" width="8.88671875" style="423"/>
    <col min="14654" max="14654" width="9.5546875" style="423" bestFit="1" customWidth="1"/>
    <col min="14655" max="14655" width="10.21875" style="423" customWidth="1"/>
    <col min="14656" max="14656" width="8.88671875" style="423"/>
    <col min="14657" max="14657" width="9.44140625" style="423" customWidth="1"/>
    <col min="14658" max="14848" width="8.88671875" style="423"/>
    <col min="14849" max="14853" width="9.77734375" style="423" customWidth="1"/>
    <col min="14854" max="14854" width="10.6640625" style="423" customWidth="1"/>
    <col min="14855" max="14857" width="9.77734375" style="423" customWidth="1"/>
    <col min="14858" max="14858" width="7.6640625" style="423" customWidth="1"/>
    <col min="14859" max="14859" width="10.109375" style="423" bestFit="1" customWidth="1"/>
    <col min="14860" max="14860" width="9.77734375" style="423" customWidth="1"/>
    <col min="14861" max="14861" width="10.77734375" style="423" bestFit="1" customWidth="1"/>
    <col min="14862" max="14862" width="12.21875" style="423" customWidth="1"/>
    <col min="14863" max="14863" width="13.21875" style="423" bestFit="1" customWidth="1"/>
    <col min="14864" max="14864" width="8.88671875" style="423"/>
    <col min="14865" max="14865" width="10.77734375" style="423" customWidth="1"/>
    <col min="14866" max="14866" width="9" style="423" customWidth="1"/>
    <col min="14867" max="14867" width="8.88671875" style="423"/>
    <col min="14868" max="14868" width="9.6640625" style="423" bestFit="1" customWidth="1"/>
    <col min="14869" max="14869" width="10.109375" style="423" customWidth="1"/>
    <col min="14870" max="14870" width="11" style="423" customWidth="1"/>
    <col min="14871" max="14871" width="9.5546875" style="423" customWidth="1"/>
    <col min="14872" max="14873" width="8.88671875" style="423"/>
    <col min="14874" max="14874" width="9.5546875" style="423" bestFit="1" customWidth="1"/>
    <col min="14875" max="14875" width="10.44140625" style="423" customWidth="1"/>
    <col min="14876" max="14876" width="8.88671875" style="423"/>
    <col min="14877" max="14877" width="9.6640625" style="423" customWidth="1"/>
    <col min="14878" max="14879" width="8.88671875" style="423"/>
    <col min="14880" max="14880" width="9.5546875" style="423" bestFit="1" customWidth="1"/>
    <col min="14881" max="14881" width="10.21875" style="423" customWidth="1"/>
    <col min="14882" max="14882" width="8.88671875" style="423"/>
    <col min="14883" max="14883" width="9.5546875" style="423" customWidth="1"/>
    <col min="14884" max="14884" width="9.77734375" style="423" customWidth="1"/>
    <col min="14885" max="14885" width="8.88671875" style="423"/>
    <col min="14886" max="14886" width="9.5546875" style="423" bestFit="1" customWidth="1"/>
    <col min="14887" max="14887" width="10.109375" style="423" customWidth="1"/>
    <col min="14888" max="14888" width="8.88671875" style="423"/>
    <col min="14889" max="14889" width="9.44140625" style="423" customWidth="1"/>
    <col min="14890" max="14890" width="8.88671875" style="423"/>
    <col min="14891" max="14891" width="9.77734375" style="423" customWidth="1"/>
    <col min="14892" max="14892" width="9.5546875" style="423" bestFit="1" customWidth="1"/>
    <col min="14893" max="14893" width="10.33203125" style="423" customWidth="1"/>
    <col min="14894" max="14894" width="8.88671875" style="423"/>
    <col min="14895" max="14895" width="9.44140625" style="423" customWidth="1"/>
    <col min="14896" max="14897" width="8.88671875" style="423"/>
    <col min="14898" max="14898" width="10.109375" style="423" customWidth="1"/>
    <col min="14899" max="14899" width="9.77734375" style="423" customWidth="1"/>
    <col min="14900" max="14900" width="8.88671875" style="423"/>
    <col min="14901" max="14901" width="9.5546875" style="423" customWidth="1"/>
    <col min="14902" max="14903" width="8.88671875" style="423"/>
    <col min="14904" max="14904" width="9.5546875" style="423" bestFit="1" customWidth="1"/>
    <col min="14905" max="14905" width="11" style="423" customWidth="1"/>
    <col min="14906" max="14906" width="8.88671875" style="423"/>
    <col min="14907" max="14907" width="9.5546875" style="423" customWidth="1"/>
    <col min="14908" max="14909" width="8.88671875" style="423"/>
    <col min="14910" max="14910" width="9.5546875" style="423" bestFit="1" customWidth="1"/>
    <col min="14911" max="14911" width="10.21875" style="423" customWidth="1"/>
    <col min="14912" max="14912" width="8.88671875" style="423"/>
    <col min="14913" max="14913" width="9.44140625" style="423" customWidth="1"/>
    <col min="14914" max="15104" width="8.88671875" style="423"/>
    <col min="15105" max="15109" width="9.77734375" style="423" customWidth="1"/>
    <col min="15110" max="15110" width="10.6640625" style="423" customWidth="1"/>
    <col min="15111" max="15113" width="9.77734375" style="423" customWidth="1"/>
    <col min="15114" max="15114" width="7.6640625" style="423" customWidth="1"/>
    <col min="15115" max="15115" width="10.109375" style="423" bestFit="1" customWidth="1"/>
    <col min="15116" max="15116" width="9.77734375" style="423" customWidth="1"/>
    <col min="15117" max="15117" width="10.77734375" style="423" bestFit="1" customWidth="1"/>
    <col min="15118" max="15118" width="12.21875" style="423" customWidth="1"/>
    <col min="15119" max="15119" width="13.21875" style="423" bestFit="1" customWidth="1"/>
    <col min="15120" max="15120" width="8.88671875" style="423"/>
    <col min="15121" max="15121" width="10.77734375" style="423" customWidth="1"/>
    <col min="15122" max="15122" width="9" style="423" customWidth="1"/>
    <col min="15123" max="15123" width="8.88671875" style="423"/>
    <col min="15124" max="15124" width="9.6640625" style="423" bestFit="1" customWidth="1"/>
    <col min="15125" max="15125" width="10.109375" style="423" customWidth="1"/>
    <col min="15126" max="15126" width="11" style="423" customWidth="1"/>
    <col min="15127" max="15127" width="9.5546875" style="423" customWidth="1"/>
    <col min="15128" max="15129" width="8.88671875" style="423"/>
    <col min="15130" max="15130" width="9.5546875" style="423" bestFit="1" customWidth="1"/>
    <col min="15131" max="15131" width="10.44140625" style="423" customWidth="1"/>
    <col min="15132" max="15132" width="8.88671875" style="423"/>
    <col min="15133" max="15133" width="9.6640625" style="423" customWidth="1"/>
    <col min="15134" max="15135" width="8.88671875" style="423"/>
    <col min="15136" max="15136" width="9.5546875" style="423" bestFit="1" customWidth="1"/>
    <col min="15137" max="15137" width="10.21875" style="423" customWidth="1"/>
    <col min="15138" max="15138" width="8.88671875" style="423"/>
    <col min="15139" max="15139" width="9.5546875" style="423" customWidth="1"/>
    <col min="15140" max="15140" width="9.77734375" style="423" customWidth="1"/>
    <col min="15141" max="15141" width="8.88671875" style="423"/>
    <col min="15142" max="15142" width="9.5546875" style="423" bestFit="1" customWidth="1"/>
    <col min="15143" max="15143" width="10.109375" style="423" customWidth="1"/>
    <col min="15144" max="15144" width="8.88671875" style="423"/>
    <col min="15145" max="15145" width="9.44140625" style="423" customWidth="1"/>
    <col min="15146" max="15146" width="8.88671875" style="423"/>
    <col min="15147" max="15147" width="9.77734375" style="423" customWidth="1"/>
    <col min="15148" max="15148" width="9.5546875" style="423" bestFit="1" customWidth="1"/>
    <col min="15149" max="15149" width="10.33203125" style="423" customWidth="1"/>
    <col min="15150" max="15150" width="8.88671875" style="423"/>
    <col min="15151" max="15151" width="9.44140625" style="423" customWidth="1"/>
    <col min="15152" max="15153" width="8.88671875" style="423"/>
    <col min="15154" max="15154" width="10.109375" style="423" customWidth="1"/>
    <col min="15155" max="15155" width="9.77734375" style="423" customWidth="1"/>
    <col min="15156" max="15156" width="8.88671875" style="423"/>
    <col min="15157" max="15157" width="9.5546875" style="423" customWidth="1"/>
    <col min="15158" max="15159" width="8.88671875" style="423"/>
    <col min="15160" max="15160" width="9.5546875" style="423" bestFit="1" customWidth="1"/>
    <col min="15161" max="15161" width="11" style="423" customWidth="1"/>
    <col min="15162" max="15162" width="8.88671875" style="423"/>
    <col min="15163" max="15163" width="9.5546875" style="423" customWidth="1"/>
    <col min="15164" max="15165" width="8.88671875" style="423"/>
    <col min="15166" max="15166" width="9.5546875" style="423" bestFit="1" customWidth="1"/>
    <col min="15167" max="15167" width="10.21875" style="423" customWidth="1"/>
    <col min="15168" max="15168" width="8.88671875" style="423"/>
    <col min="15169" max="15169" width="9.44140625" style="423" customWidth="1"/>
    <col min="15170" max="15360" width="8.88671875" style="423"/>
    <col min="15361" max="15365" width="9.77734375" style="423" customWidth="1"/>
    <col min="15366" max="15366" width="10.6640625" style="423" customWidth="1"/>
    <col min="15367" max="15369" width="9.77734375" style="423" customWidth="1"/>
    <col min="15370" max="15370" width="7.6640625" style="423" customWidth="1"/>
    <col min="15371" max="15371" width="10.109375" style="423" bestFit="1" customWidth="1"/>
    <col min="15372" max="15372" width="9.77734375" style="423" customWidth="1"/>
    <col min="15373" max="15373" width="10.77734375" style="423" bestFit="1" customWidth="1"/>
    <col min="15374" max="15374" width="12.21875" style="423" customWidth="1"/>
    <col min="15375" max="15375" width="13.21875" style="423" bestFit="1" customWidth="1"/>
    <col min="15376" max="15376" width="8.88671875" style="423"/>
    <col min="15377" max="15377" width="10.77734375" style="423" customWidth="1"/>
    <col min="15378" max="15378" width="9" style="423" customWidth="1"/>
    <col min="15379" max="15379" width="8.88671875" style="423"/>
    <col min="15380" max="15380" width="9.6640625" style="423" bestFit="1" customWidth="1"/>
    <col min="15381" max="15381" width="10.109375" style="423" customWidth="1"/>
    <col min="15382" max="15382" width="11" style="423" customWidth="1"/>
    <col min="15383" max="15383" width="9.5546875" style="423" customWidth="1"/>
    <col min="15384" max="15385" width="8.88671875" style="423"/>
    <col min="15386" max="15386" width="9.5546875" style="423" bestFit="1" customWidth="1"/>
    <col min="15387" max="15387" width="10.44140625" style="423" customWidth="1"/>
    <col min="15388" max="15388" width="8.88671875" style="423"/>
    <col min="15389" max="15389" width="9.6640625" style="423" customWidth="1"/>
    <col min="15390" max="15391" width="8.88671875" style="423"/>
    <col min="15392" max="15392" width="9.5546875" style="423" bestFit="1" customWidth="1"/>
    <col min="15393" max="15393" width="10.21875" style="423" customWidth="1"/>
    <col min="15394" max="15394" width="8.88671875" style="423"/>
    <col min="15395" max="15395" width="9.5546875" style="423" customWidth="1"/>
    <col min="15396" max="15396" width="9.77734375" style="423" customWidth="1"/>
    <col min="15397" max="15397" width="8.88671875" style="423"/>
    <col min="15398" max="15398" width="9.5546875" style="423" bestFit="1" customWidth="1"/>
    <col min="15399" max="15399" width="10.109375" style="423" customWidth="1"/>
    <col min="15400" max="15400" width="8.88671875" style="423"/>
    <col min="15401" max="15401" width="9.44140625" style="423" customWidth="1"/>
    <col min="15402" max="15402" width="8.88671875" style="423"/>
    <col min="15403" max="15403" width="9.77734375" style="423" customWidth="1"/>
    <col min="15404" max="15404" width="9.5546875" style="423" bestFit="1" customWidth="1"/>
    <col min="15405" max="15405" width="10.33203125" style="423" customWidth="1"/>
    <col min="15406" max="15406" width="8.88671875" style="423"/>
    <col min="15407" max="15407" width="9.44140625" style="423" customWidth="1"/>
    <col min="15408" max="15409" width="8.88671875" style="423"/>
    <col min="15410" max="15410" width="10.109375" style="423" customWidth="1"/>
    <col min="15411" max="15411" width="9.77734375" style="423" customWidth="1"/>
    <col min="15412" max="15412" width="8.88671875" style="423"/>
    <col min="15413" max="15413" width="9.5546875" style="423" customWidth="1"/>
    <col min="15414" max="15415" width="8.88671875" style="423"/>
    <col min="15416" max="15416" width="9.5546875" style="423" bestFit="1" customWidth="1"/>
    <col min="15417" max="15417" width="11" style="423" customWidth="1"/>
    <col min="15418" max="15418" width="8.88671875" style="423"/>
    <col min="15419" max="15419" width="9.5546875" style="423" customWidth="1"/>
    <col min="15420" max="15421" width="8.88671875" style="423"/>
    <col min="15422" max="15422" width="9.5546875" style="423" bestFit="1" customWidth="1"/>
    <col min="15423" max="15423" width="10.21875" style="423" customWidth="1"/>
    <col min="15424" max="15424" width="8.88671875" style="423"/>
    <col min="15425" max="15425" width="9.44140625" style="423" customWidth="1"/>
    <col min="15426" max="15616" width="8.88671875" style="423"/>
    <col min="15617" max="15621" width="9.77734375" style="423" customWidth="1"/>
    <col min="15622" max="15622" width="10.6640625" style="423" customWidth="1"/>
    <col min="15623" max="15625" width="9.77734375" style="423" customWidth="1"/>
    <col min="15626" max="15626" width="7.6640625" style="423" customWidth="1"/>
    <col min="15627" max="15627" width="10.109375" style="423" bestFit="1" customWidth="1"/>
    <col min="15628" max="15628" width="9.77734375" style="423" customWidth="1"/>
    <col min="15629" max="15629" width="10.77734375" style="423" bestFit="1" customWidth="1"/>
    <col min="15630" max="15630" width="12.21875" style="423" customWidth="1"/>
    <col min="15631" max="15631" width="13.21875" style="423" bestFit="1" customWidth="1"/>
    <col min="15632" max="15632" width="8.88671875" style="423"/>
    <col min="15633" max="15633" width="10.77734375" style="423" customWidth="1"/>
    <col min="15634" max="15634" width="9" style="423" customWidth="1"/>
    <col min="15635" max="15635" width="8.88671875" style="423"/>
    <col min="15636" max="15636" width="9.6640625" style="423" bestFit="1" customWidth="1"/>
    <col min="15637" max="15637" width="10.109375" style="423" customWidth="1"/>
    <col min="15638" max="15638" width="11" style="423" customWidth="1"/>
    <col min="15639" max="15639" width="9.5546875" style="423" customWidth="1"/>
    <col min="15640" max="15641" width="8.88671875" style="423"/>
    <col min="15642" max="15642" width="9.5546875" style="423" bestFit="1" customWidth="1"/>
    <col min="15643" max="15643" width="10.44140625" style="423" customWidth="1"/>
    <col min="15644" max="15644" width="8.88671875" style="423"/>
    <col min="15645" max="15645" width="9.6640625" style="423" customWidth="1"/>
    <col min="15646" max="15647" width="8.88671875" style="423"/>
    <col min="15648" max="15648" width="9.5546875" style="423" bestFit="1" customWidth="1"/>
    <col min="15649" max="15649" width="10.21875" style="423" customWidth="1"/>
    <col min="15650" max="15650" width="8.88671875" style="423"/>
    <col min="15651" max="15651" width="9.5546875" style="423" customWidth="1"/>
    <col min="15652" max="15652" width="9.77734375" style="423" customWidth="1"/>
    <col min="15653" max="15653" width="8.88671875" style="423"/>
    <col min="15654" max="15654" width="9.5546875" style="423" bestFit="1" customWidth="1"/>
    <col min="15655" max="15655" width="10.109375" style="423" customWidth="1"/>
    <col min="15656" max="15656" width="8.88671875" style="423"/>
    <col min="15657" max="15657" width="9.44140625" style="423" customWidth="1"/>
    <col min="15658" max="15658" width="8.88671875" style="423"/>
    <col min="15659" max="15659" width="9.77734375" style="423" customWidth="1"/>
    <col min="15660" max="15660" width="9.5546875" style="423" bestFit="1" customWidth="1"/>
    <col min="15661" max="15661" width="10.33203125" style="423" customWidth="1"/>
    <col min="15662" max="15662" width="8.88671875" style="423"/>
    <col min="15663" max="15663" width="9.44140625" style="423" customWidth="1"/>
    <col min="15664" max="15665" width="8.88671875" style="423"/>
    <col min="15666" max="15666" width="10.109375" style="423" customWidth="1"/>
    <col min="15667" max="15667" width="9.77734375" style="423" customWidth="1"/>
    <col min="15668" max="15668" width="8.88671875" style="423"/>
    <col min="15669" max="15669" width="9.5546875" style="423" customWidth="1"/>
    <col min="15670" max="15671" width="8.88671875" style="423"/>
    <col min="15672" max="15672" width="9.5546875" style="423" bestFit="1" customWidth="1"/>
    <col min="15673" max="15673" width="11" style="423" customWidth="1"/>
    <col min="15674" max="15674" width="8.88671875" style="423"/>
    <col min="15675" max="15675" width="9.5546875" style="423" customWidth="1"/>
    <col min="15676" max="15677" width="8.88671875" style="423"/>
    <col min="15678" max="15678" width="9.5546875" style="423" bestFit="1" customWidth="1"/>
    <col min="15679" max="15679" width="10.21875" style="423" customWidth="1"/>
    <col min="15680" max="15680" width="8.88671875" style="423"/>
    <col min="15681" max="15681" width="9.44140625" style="423" customWidth="1"/>
    <col min="15682" max="15872" width="8.88671875" style="423"/>
    <col min="15873" max="15877" width="9.77734375" style="423" customWidth="1"/>
    <col min="15878" max="15878" width="10.6640625" style="423" customWidth="1"/>
    <col min="15879" max="15881" width="9.77734375" style="423" customWidth="1"/>
    <col min="15882" max="15882" width="7.6640625" style="423" customWidth="1"/>
    <col min="15883" max="15883" width="10.109375" style="423" bestFit="1" customWidth="1"/>
    <col min="15884" max="15884" width="9.77734375" style="423" customWidth="1"/>
    <col min="15885" max="15885" width="10.77734375" style="423" bestFit="1" customWidth="1"/>
    <col min="15886" max="15886" width="12.21875" style="423" customWidth="1"/>
    <col min="15887" max="15887" width="13.21875" style="423" bestFit="1" customWidth="1"/>
    <col min="15888" max="15888" width="8.88671875" style="423"/>
    <col min="15889" max="15889" width="10.77734375" style="423" customWidth="1"/>
    <col min="15890" max="15890" width="9" style="423" customWidth="1"/>
    <col min="15891" max="15891" width="8.88671875" style="423"/>
    <col min="15892" max="15892" width="9.6640625" style="423" bestFit="1" customWidth="1"/>
    <col min="15893" max="15893" width="10.109375" style="423" customWidth="1"/>
    <col min="15894" max="15894" width="11" style="423" customWidth="1"/>
    <col min="15895" max="15895" width="9.5546875" style="423" customWidth="1"/>
    <col min="15896" max="15897" width="8.88671875" style="423"/>
    <col min="15898" max="15898" width="9.5546875" style="423" bestFit="1" customWidth="1"/>
    <col min="15899" max="15899" width="10.44140625" style="423" customWidth="1"/>
    <col min="15900" max="15900" width="8.88671875" style="423"/>
    <col min="15901" max="15901" width="9.6640625" style="423" customWidth="1"/>
    <col min="15902" max="15903" width="8.88671875" style="423"/>
    <col min="15904" max="15904" width="9.5546875" style="423" bestFit="1" customWidth="1"/>
    <col min="15905" max="15905" width="10.21875" style="423" customWidth="1"/>
    <col min="15906" max="15906" width="8.88671875" style="423"/>
    <col min="15907" max="15907" width="9.5546875" style="423" customWidth="1"/>
    <col min="15908" max="15908" width="9.77734375" style="423" customWidth="1"/>
    <col min="15909" max="15909" width="8.88671875" style="423"/>
    <col min="15910" max="15910" width="9.5546875" style="423" bestFit="1" customWidth="1"/>
    <col min="15911" max="15911" width="10.109375" style="423" customWidth="1"/>
    <col min="15912" max="15912" width="8.88671875" style="423"/>
    <col min="15913" max="15913" width="9.44140625" style="423" customWidth="1"/>
    <col min="15914" max="15914" width="8.88671875" style="423"/>
    <col min="15915" max="15915" width="9.77734375" style="423" customWidth="1"/>
    <col min="15916" max="15916" width="9.5546875" style="423" bestFit="1" customWidth="1"/>
    <col min="15917" max="15917" width="10.33203125" style="423" customWidth="1"/>
    <col min="15918" max="15918" width="8.88671875" style="423"/>
    <col min="15919" max="15919" width="9.44140625" style="423" customWidth="1"/>
    <col min="15920" max="15921" width="8.88671875" style="423"/>
    <col min="15922" max="15922" width="10.109375" style="423" customWidth="1"/>
    <col min="15923" max="15923" width="9.77734375" style="423" customWidth="1"/>
    <col min="15924" max="15924" width="8.88671875" style="423"/>
    <col min="15925" max="15925" width="9.5546875" style="423" customWidth="1"/>
    <col min="15926" max="15927" width="8.88671875" style="423"/>
    <col min="15928" max="15928" width="9.5546875" style="423" bestFit="1" customWidth="1"/>
    <col min="15929" max="15929" width="11" style="423" customWidth="1"/>
    <col min="15930" max="15930" width="8.88671875" style="423"/>
    <col min="15931" max="15931" width="9.5546875" style="423" customWidth="1"/>
    <col min="15932" max="15933" width="8.88671875" style="423"/>
    <col min="15934" max="15934" width="9.5546875" style="423" bestFit="1" customWidth="1"/>
    <col min="15935" max="15935" width="10.21875" style="423" customWidth="1"/>
    <col min="15936" max="15936" width="8.88671875" style="423"/>
    <col min="15937" max="15937" width="9.44140625" style="423" customWidth="1"/>
    <col min="15938" max="16128" width="8.88671875" style="423"/>
    <col min="16129" max="16133" width="9.77734375" style="423" customWidth="1"/>
    <col min="16134" max="16134" width="10.6640625" style="423" customWidth="1"/>
    <col min="16135" max="16137" width="9.77734375" style="423" customWidth="1"/>
    <col min="16138" max="16138" width="7.6640625" style="423" customWidth="1"/>
    <col min="16139" max="16139" width="10.109375" style="423" bestFit="1" customWidth="1"/>
    <col min="16140" max="16140" width="9.77734375" style="423" customWidth="1"/>
    <col min="16141" max="16141" width="10.77734375" style="423" bestFit="1" customWidth="1"/>
    <col min="16142" max="16142" width="12.21875" style="423" customWidth="1"/>
    <col min="16143" max="16143" width="13.21875" style="423" bestFit="1" customWidth="1"/>
    <col min="16144" max="16144" width="8.88671875" style="423"/>
    <col min="16145" max="16145" width="10.77734375" style="423" customWidth="1"/>
    <col min="16146" max="16146" width="9" style="423" customWidth="1"/>
    <col min="16147" max="16147" width="8.88671875" style="423"/>
    <col min="16148" max="16148" width="9.6640625" style="423" bestFit="1" customWidth="1"/>
    <col min="16149" max="16149" width="10.109375" style="423" customWidth="1"/>
    <col min="16150" max="16150" width="11" style="423" customWidth="1"/>
    <col min="16151" max="16151" width="9.5546875" style="423" customWidth="1"/>
    <col min="16152" max="16153" width="8.88671875" style="423"/>
    <col min="16154" max="16154" width="9.5546875" style="423" bestFit="1" customWidth="1"/>
    <col min="16155" max="16155" width="10.44140625" style="423" customWidth="1"/>
    <col min="16156" max="16156" width="8.88671875" style="423"/>
    <col min="16157" max="16157" width="9.6640625" style="423" customWidth="1"/>
    <col min="16158" max="16159" width="8.88671875" style="423"/>
    <col min="16160" max="16160" width="9.5546875" style="423" bestFit="1" customWidth="1"/>
    <col min="16161" max="16161" width="10.21875" style="423" customWidth="1"/>
    <col min="16162" max="16162" width="8.88671875" style="423"/>
    <col min="16163" max="16163" width="9.5546875" style="423" customWidth="1"/>
    <col min="16164" max="16164" width="9.77734375" style="423" customWidth="1"/>
    <col min="16165" max="16165" width="8.88671875" style="423"/>
    <col min="16166" max="16166" width="9.5546875" style="423" bestFit="1" customWidth="1"/>
    <col min="16167" max="16167" width="10.109375" style="423" customWidth="1"/>
    <col min="16168" max="16168" width="8.88671875" style="423"/>
    <col min="16169" max="16169" width="9.44140625" style="423" customWidth="1"/>
    <col min="16170" max="16170" width="8.88671875" style="423"/>
    <col min="16171" max="16171" width="9.77734375" style="423" customWidth="1"/>
    <col min="16172" max="16172" width="9.5546875" style="423" bestFit="1" customWidth="1"/>
    <col min="16173" max="16173" width="10.33203125" style="423" customWidth="1"/>
    <col min="16174" max="16174" width="8.88671875" style="423"/>
    <col min="16175" max="16175" width="9.44140625" style="423" customWidth="1"/>
    <col min="16176" max="16177" width="8.88671875" style="423"/>
    <col min="16178" max="16178" width="10.109375" style="423" customWidth="1"/>
    <col min="16179" max="16179" width="9.77734375" style="423" customWidth="1"/>
    <col min="16180" max="16180" width="8.88671875" style="423"/>
    <col min="16181" max="16181" width="9.5546875" style="423" customWidth="1"/>
    <col min="16182" max="16183" width="8.88671875" style="423"/>
    <col min="16184" max="16184" width="9.5546875" style="423" bestFit="1" customWidth="1"/>
    <col min="16185" max="16185" width="11" style="423" customWidth="1"/>
    <col min="16186" max="16186" width="8.88671875" style="423"/>
    <col min="16187" max="16187" width="9.5546875" style="423" customWidth="1"/>
    <col min="16188" max="16189" width="8.88671875" style="423"/>
    <col min="16190" max="16190" width="9.5546875" style="423" bestFit="1" customWidth="1"/>
    <col min="16191" max="16191" width="10.21875" style="423" customWidth="1"/>
    <col min="16192" max="16192" width="8.88671875" style="423"/>
    <col min="16193" max="16193" width="9.44140625" style="423" customWidth="1"/>
    <col min="16194" max="16384" width="8.88671875" style="423"/>
  </cols>
  <sheetData>
    <row r="1" spans="1:17" ht="18.75" customHeight="1">
      <c r="D1" s="77" t="s">
        <v>318</v>
      </c>
      <c r="E1" s="79">
        <v>2005</v>
      </c>
      <c r="F1" s="423" t="s">
        <v>319</v>
      </c>
      <c r="G1" s="80">
        <v>0</v>
      </c>
      <c r="H1" s="81"/>
      <c r="I1" s="80"/>
    </row>
    <row r="2" spans="1:17" s="247" customFormat="1" ht="24.95" customHeight="1">
      <c r="A2" s="615" t="s">
        <v>585</v>
      </c>
      <c r="B2" s="246"/>
      <c r="D2" s="246"/>
      <c r="E2" s="248"/>
      <c r="G2" s="249"/>
      <c r="H2" s="250"/>
      <c r="I2" s="249"/>
    </row>
    <row r="3" spans="1:17" s="247" customFormat="1" ht="24.95" customHeight="1">
      <c r="A3" s="978" t="s">
        <v>1131</v>
      </c>
      <c r="B3" s="978"/>
      <c r="C3" s="978"/>
      <c r="D3" s="978"/>
      <c r="E3" s="978"/>
      <c r="F3" s="978"/>
      <c r="G3" s="978"/>
      <c r="H3" s="978"/>
      <c r="I3" s="978"/>
      <c r="J3" s="978"/>
      <c r="K3" s="978"/>
    </row>
    <row r="4" spans="1:17" s="82" customFormat="1" ht="18" customHeight="1">
      <c r="A4" s="616" t="s">
        <v>320</v>
      </c>
      <c r="B4" s="617" t="s">
        <v>321</v>
      </c>
      <c r="C4" s="617" t="str">
        <f>A64</f>
        <v>1. 등차급수</v>
      </c>
      <c r="D4" s="617" t="str">
        <f>A101</f>
        <v>2. 등비급수</v>
      </c>
      <c r="E4" s="617" t="str">
        <f>A138</f>
        <v>3. 베기함수</v>
      </c>
      <c r="F4" s="617" t="str">
        <f>A175</f>
        <v>4. 지수함수</v>
      </c>
      <c r="G4" s="617" t="str">
        <f>A212</f>
        <v>5. 로지스틱</v>
      </c>
      <c r="H4" s="617" t="str">
        <f>A249</f>
        <v>6. 수정지수</v>
      </c>
      <c r="I4" s="618" t="s">
        <v>322</v>
      </c>
      <c r="J4" s="979" t="s">
        <v>323</v>
      </c>
      <c r="K4" s="980"/>
    </row>
    <row r="5" spans="1:17" s="82" customFormat="1" ht="18" customHeight="1">
      <c r="A5" s="629">
        <v>2005</v>
      </c>
      <c r="B5" s="619">
        <f>'1.1 가.과거10년 인구'!G8</f>
        <v>90931</v>
      </c>
      <c r="C5" s="620"/>
      <c r="D5" s="621"/>
      <c r="E5" s="621"/>
      <c r="F5" s="622"/>
      <c r="G5" s="622"/>
      <c r="H5" s="622"/>
      <c r="I5" s="620"/>
      <c r="J5" s="173"/>
      <c r="K5" s="631"/>
      <c r="L5" s="83"/>
    </row>
    <row r="6" spans="1:17" s="82" customFormat="1" ht="18" customHeight="1">
      <c r="A6" s="629">
        <f>A5+1</f>
        <v>2006</v>
      </c>
      <c r="B6" s="619">
        <f>'1.1 가.과거10년 인구'!G9</f>
        <v>89555</v>
      </c>
      <c r="C6" s="620">
        <f>I67</f>
        <v>89630</v>
      </c>
      <c r="D6" s="621">
        <f>I104</f>
        <v>89658</v>
      </c>
      <c r="E6" s="621">
        <f>I141</f>
        <v>89659</v>
      </c>
      <c r="F6" s="622">
        <f>I178</f>
        <v>90194</v>
      </c>
      <c r="G6" s="622">
        <f>I215</f>
        <v>89230</v>
      </c>
      <c r="H6" s="622">
        <f>I252</f>
        <v>89228</v>
      </c>
      <c r="I6" s="620">
        <f t="shared" ref="I6:I14" si="0">ROUND(B6,$G$1)</f>
        <v>89555</v>
      </c>
      <c r="J6" s="173"/>
      <c r="K6" s="631"/>
      <c r="L6" s="83"/>
    </row>
    <row r="7" spans="1:17" s="82" customFormat="1" ht="18" customHeight="1">
      <c r="A7" s="629">
        <f t="shared" ref="A7:A38" si="1">A6+1</f>
        <v>2007</v>
      </c>
      <c r="B7" s="619">
        <f>'1.1 가.과거10년 인구'!G10</f>
        <v>88685</v>
      </c>
      <c r="C7" s="620">
        <f>I68</f>
        <v>89136</v>
      </c>
      <c r="D7" s="621">
        <f>I105</f>
        <v>89150</v>
      </c>
      <c r="E7" s="621">
        <f>I142</f>
        <v>89150</v>
      </c>
      <c r="F7" s="622">
        <f>I179</f>
        <v>88897</v>
      </c>
      <c r="G7" s="622">
        <f>I216</f>
        <v>89075</v>
      </c>
      <c r="H7" s="622">
        <f>I253</f>
        <v>89075</v>
      </c>
      <c r="I7" s="620">
        <f t="shared" si="0"/>
        <v>88685</v>
      </c>
      <c r="J7" s="173"/>
      <c r="K7" s="631"/>
    </row>
    <row r="8" spans="1:17" s="82" customFormat="1" ht="18" customHeight="1">
      <c r="A8" s="629">
        <f t="shared" si="1"/>
        <v>2008</v>
      </c>
      <c r="B8" s="619">
        <f>'1.1 가.과거10년 인구'!G11</f>
        <v>88176</v>
      </c>
      <c r="C8" s="620">
        <f t="shared" ref="C8:C37" si="2">I69</f>
        <v>88642</v>
      </c>
      <c r="D8" s="621">
        <f t="shared" ref="D8:D37" si="3">I106</f>
        <v>88644</v>
      </c>
      <c r="E8" s="621">
        <f t="shared" ref="E8:E37" si="4">I143</f>
        <v>88644</v>
      </c>
      <c r="F8" s="622">
        <f t="shared" ref="F8:F37" si="5">I180</f>
        <v>88148</v>
      </c>
      <c r="G8" s="622">
        <f t="shared" ref="G8:G37" si="6">I217</f>
        <v>88871</v>
      </c>
      <c r="H8" s="622">
        <f t="shared" ref="H8:H37" si="7">I254</f>
        <v>88874</v>
      </c>
      <c r="I8" s="620">
        <f t="shared" si="0"/>
        <v>88176</v>
      </c>
      <c r="J8" s="173"/>
      <c r="K8" s="631"/>
    </row>
    <row r="9" spans="1:17" s="82" customFormat="1" ht="18" customHeight="1">
      <c r="A9" s="629">
        <f t="shared" si="1"/>
        <v>2009</v>
      </c>
      <c r="B9" s="619">
        <f>'1.1 가.과거10년 인구'!G12</f>
        <v>87631</v>
      </c>
      <c r="C9" s="620">
        <f t="shared" si="2"/>
        <v>88149</v>
      </c>
      <c r="D9" s="621">
        <f t="shared" si="3"/>
        <v>88141</v>
      </c>
      <c r="E9" s="621">
        <f t="shared" si="4"/>
        <v>88141</v>
      </c>
      <c r="F9" s="622">
        <f t="shared" si="5"/>
        <v>87619</v>
      </c>
      <c r="G9" s="622">
        <f t="shared" si="6"/>
        <v>88604</v>
      </c>
      <c r="H9" s="622">
        <f t="shared" si="7"/>
        <v>88611</v>
      </c>
      <c r="I9" s="620">
        <f t="shared" si="0"/>
        <v>87631</v>
      </c>
      <c r="J9" s="173"/>
      <c r="K9" s="631"/>
      <c r="Q9" s="623"/>
    </row>
    <row r="10" spans="1:17" s="82" customFormat="1" ht="18" customHeight="1">
      <c r="A10" s="629">
        <f t="shared" si="1"/>
        <v>2010</v>
      </c>
      <c r="B10" s="619">
        <f>'1.1 가.과거10년 인구'!G13</f>
        <v>88078</v>
      </c>
      <c r="C10" s="620">
        <f t="shared" si="2"/>
        <v>87655</v>
      </c>
      <c r="D10" s="621">
        <f t="shared" si="3"/>
        <v>87641</v>
      </c>
      <c r="E10" s="621">
        <f t="shared" si="4"/>
        <v>87641</v>
      </c>
      <c r="F10" s="622">
        <f t="shared" si="5"/>
        <v>87212</v>
      </c>
      <c r="G10" s="622">
        <f t="shared" si="6"/>
        <v>88253</v>
      </c>
      <c r="H10" s="622">
        <f t="shared" si="7"/>
        <v>88264</v>
      </c>
      <c r="I10" s="620">
        <f t="shared" si="0"/>
        <v>88078</v>
      </c>
      <c r="J10" s="173"/>
      <c r="K10" s="631"/>
    </row>
    <row r="11" spans="1:17" s="82" customFormat="1" ht="18" customHeight="1">
      <c r="A11" s="629">
        <f t="shared" si="1"/>
        <v>2011</v>
      </c>
      <c r="B11" s="619">
        <f>'1.1 가.과거10년 인구'!G14</f>
        <v>88108</v>
      </c>
      <c r="C11" s="620">
        <f t="shared" si="2"/>
        <v>87161</v>
      </c>
      <c r="D11" s="621">
        <f t="shared" si="3"/>
        <v>87144</v>
      </c>
      <c r="E11" s="621">
        <f t="shared" si="4"/>
        <v>87144</v>
      </c>
      <c r="F11" s="622">
        <f t="shared" si="5"/>
        <v>86881</v>
      </c>
      <c r="G11" s="622">
        <f t="shared" si="6"/>
        <v>87794</v>
      </c>
      <c r="H11" s="622">
        <f t="shared" si="7"/>
        <v>87809</v>
      </c>
      <c r="I11" s="620">
        <f t="shared" si="0"/>
        <v>88108</v>
      </c>
      <c r="J11" s="173"/>
      <c r="K11" s="631"/>
    </row>
    <row r="12" spans="1:17" s="82" customFormat="1" ht="18" customHeight="1">
      <c r="A12" s="629">
        <f t="shared" si="1"/>
        <v>2012</v>
      </c>
      <c r="B12" s="619">
        <f>'1.1 가.과거10년 인구'!G15</f>
        <v>88415</v>
      </c>
      <c r="C12" s="620">
        <f t="shared" si="2"/>
        <v>86668</v>
      </c>
      <c r="D12" s="621">
        <f t="shared" si="3"/>
        <v>86650</v>
      </c>
      <c r="E12" s="621">
        <f t="shared" si="4"/>
        <v>86650</v>
      </c>
      <c r="F12" s="622">
        <f t="shared" si="5"/>
        <v>86601</v>
      </c>
      <c r="G12" s="622">
        <f t="shared" si="6"/>
        <v>87195</v>
      </c>
      <c r="H12" s="622">
        <f t="shared" si="7"/>
        <v>87212</v>
      </c>
      <c r="I12" s="620">
        <f t="shared" si="0"/>
        <v>88415</v>
      </c>
      <c r="J12" s="173"/>
      <c r="K12" s="631"/>
    </row>
    <row r="13" spans="1:17" s="82" customFormat="1" ht="18" customHeight="1">
      <c r="A13" s="629">
        <f t="shared" si="1"/>
        <v>2013</v>
      </c>
      <c r="B13" s="619">
        <f>'1.1 가.과거10년 인구'!G16</f>
        <v>85843</v>
      </c>
      <c r="C13" s="620">
        <f t="shared" si="2"/>
        <v>86174</v>
      </c>
      <c r="D13" s="621">
        <f t="shared" si="3"/>
        <v>86159</v>
      </c>
      <c r="E13" s="621">
        <f t="shared" si="4"/>
        <v>86158</v>
      </c>
      <c r="F13" s="622">
        <f t="shared" si="5"/>
        <v>86360</v>
      </c>
      <c r="G13" s="622">
        <f t="shared" si="6"/>
        <v>86417</v>
      </c>
      <c r="H13" s="622">
        <f t="shared" si="7"/>
        <v>86426</v>
      </c>
      <c r="I13" s="620">
        <f t="shared" si="0"/>
        <v>85843</v>
      </c>
      <c r="J13" s="173"/>
      <c r="K13" s="631"/>
    </row>
    <row r="14" spans="1:17" s="82" customFormat="1" ht="18" customHeight="1">
      <c r="A14" s="629">
        <f t="shared" si="1"/>
        <v>2014</v>
      </c>
      <c r="B14" s="619">
        <f>'1.1 가.과거10년 인구'!G17</f>
        <v>85853</v>
      </c>
      <c r="C14" s="620">
        <f t="shared" si="2"/>
        <v>85681</v>
      </c>
      <c r="D14" s="621">
        <f t="shared" si="3"/>
        <v>85670</v>
      </c>
      <c r="E14" s="621">
        <f t="shared" si="4"/>
        <v>85670</v>
      </c>
      <c r="F14" s="622">
        <f t="shared" si="5"/>
        <v>86148</v>
      </c>
      <c r="G14" s="622">
        <f t="shared" si="6"/>
        <v>85410</v>
      </c>
      <c r="H14" s="622">
        <f t="shared" si="7"/>
        <v>85395</v>
      </c>
      <c r="I14" s="620">
        <f t="shared" si="0"/>
        <v>85853</v>
      </c>
      <c r="J14" s="173"/>
      <c r="K14" s="631"/>
    </row>
    <row r="15" spans="1:17" s="82" customFormat="1" ht="18" customHeight="1" thickBot="1">
      <c r="A15" s="841">
        <f t="shared" si="1"/>
        <v>2015</v>
      </c>
      <c r="B15" s="624">
        <f>'1.1 가.과거10년 인구'!G18</f>
        <v>83739</v>
      </c>
      <c r="C15" s="625">
        <f t="shared" si="2"/>
        <v>85187</v>
      </c>
      <c r="D15" s="626">
        <f t="shared" si="3"/>
        <v>85184</v>
      </c>
      <c r="E15" s="626">
        <f t="shared" si="4"/>
        <v>85184</v>
      </c>
      <c r="F15" s="627">
        <f t="shared" si="5"/>
        <v>85958</v>
      </c>
      <c r="G15" s="627">
        <f t="shared" si="6"/>
        <v>84115</v>
      </c>
      <c r="H15" s="627">
        <f t="shared" si="7"/>
        <v>84040</v>
      </c>
      <c r="I15" s="625">
        <f>ROUND(B15,$G$1)</f>
        <v>83739</v>
      </c>
      <c r="J15" s="628"/>
      <c r="K15" s="842"/>
    </row>
    <row r="16" spans="1:17" s="82" customFormat="1" ht="18" customHeight="1" thickTop="1">
      <c r="A16" s="629">
        <f t="shared" si="1"/>
        <v>2016</v>
      </c>
      <c r="B16" s="630"/>
      <c r="C16" s="620">
        <f t="shared" si="2"/>
        <v>84693</v>
      </c>
      <c r="D16" s="621">
        <f t="shared" si="3"/>
        <v>84701</v>
      </c>
      <c r="E16" s="621">
        <f t="shared" si="4"/>
        <v>84701</v>
      </c>
      <c r="F16" s="622">
        <f t="shared" si="5"/>
        <v>85787</v>
      </c>
      <c r="G16" s="622">
        <f t="shared" si="6"/>
        <v>82464</v>
      </c>
      <c r="H16" s="622">
        <f t="shared" si="7"/>
        <v>82260</v>
      </c>
      <c r="I16" s="620">
        <f t="shared" ref="I16:I38" si="8">ROUND(SUMIF(C$39:H$39,"○",C16:H16),$G$1)</f>
        <v>84693</v>
      </c>
      <c r="J16" s="173"/>
      <c r="K16" s="631"/>
    </row>
    <row r="17" spans="1:19" s="84" customFormat="1" ht="18" customHeight="1">
      <c r="A17" s="629">
        <f t="shared" si="1"/>
        <v>2017</v>
      </c>
      <c r="B17" s="630"/>
      <c r="C17" s="620">
        <f t="shared" si="2"/>
        <v>84200</v>
      </c>
      <c r="D17" s="632">
        <f t="shared" si="3"/>
        <v>84220</v>
      </c>
      <c r="E17" s="632">
        <f t="shared" si="4"/>
        <v>84221</v>
      </c>
      <c r="F17" s="620">
        <f t="shared" si="5"/>
        <v>85632</v>
      </c>
      <c r="G17" s="620">
        <f t="shared" si="6"/>
        <v>80381</v>
      </c>
      <c r="H17" s="620">
        <f t="shared" si="7"/>
        <v>79922</v>
      </c>
      <c r="I17" s="620">
        <f t="shared" si="8"/>
        <v>84200</v>
      </c>
      <c r="J17" s="633"/>
      <c r="K17" s="634"/>
    </row>
    <row r="18" spans="1:19" s="85" customFormat="1" ht="18" customHeight="1">
      <c r="A18" s="629">
        <f t="shared" si="1"/>
        <v>2018</v>
      </c>
      <c r="B18" s="630"/>
      <c r="C18" s="620">
        <f t="shared" si="2"/>
        <v>83706</v>
      </c>
      <c r="D18" s="632">
        <f t="shared" si="3"/>
        <v>83743</v>
      </c>
      <c r="E18" s="632">
        <f t="shared" si="4"/>
        <v>83744</v>
      </c>
      <c r="F18" s="620">
        <f t="shared" si="5"/>
        <v>85489</v>
      </c>
      <c r="G18" s="620">
        <f t="shared" si="6"/>
        <v>77786</v>
      </c>
      <c r="H18" s="620">
        <f t="shared" si="7"/>
        <v>76850</v>
      </c>
      <c r="I18" s="635">
        <f t="shared" si="8"/>
        <v>83706</v>
      </c>
      <c r="J18" s="633"/>
      <c r="K18" s="634"/>
    </row>
    <row r="19" spans="1:19" s="85" customFormat="1" ht="18" customHeight="1">
      <c r="A19" s="629">
        <f t="shared" si="1"/>
        <v>2019</v>
      </c>
      <c r="B19" s="630"/>
      <c r="C19" s="620">
        <f t="shared" si="2"/>
        <v>83212</v>
      </c>
      <c r="D19" s="632">
        <f t="shared" si="3"/>
        <v>83268</v>
      </c>
      <c r="E19" s="632">
        <f t="shared" si="4"/>
        <v>83269</v>
      </c>
      <c r="F19" s="620">
        <f t="shared" si="5"/>
        <v>85356</v>
      </c>
      <c r="G19" s="620">
        <f t="shared" si="6"/>
        <v>74605</v>
      </c>
      <c r="H19" s="620">
        <f t="shared" si="7"/>
        <v>72815</v>
      </c>
      <c r="I19" s="635">
        <f t="shared" si="8"/>
        <v>83212</v>
      </c>
      <c r="J19" s="633"/>
      <c r="K19" s="634"/>
    </row>
    <row r="20" spans="1:19" s="85" customFormat="1" ht="18" customHeight="1">
      <c r="A20" s="636">
        <f t="shared" si="1"/>
        <v>2020</v>
      </c>
      <c r="B20" s="637"/>
      <c r="C20" s="638">
        <f t="shared" si="2"/>
        <v>82719</v>
      </c>
      <c r="D20" s="639">
        <f t="shared" si="3"/>
        <v>82796</v>
      </c>
      <c r="E20" s="639">
        <f t="shared" si="4"/>
        <v>82797</v>
      </c>
      <c r="F20" s="638">
        <f t="shared" si="5"/>
        <v>85233</v>
      </c>
      <c r="G20" s="638">
        <f t="shared" si="6"/>
        <v>70782</v>
      </c>
      <c r="H20" s="638">
        <f t="shared" si="7"/>
        <v>67514</v>
      </c>
      <c r="I20" s="640">
        <f t="shared" si="8"/>
        <v>82719</v>
      </c>
      <c r="J20" s="641"/>
      <c r="K20" s="642"/>
    </row>
    <row r="21" spans="1:19" s="85" customFormat="1" ht="18" customHeight="1">
      <c r="A21" s="629">
        <f t="shared" si="1"/>
        <v>2021</v>
      </c>
      <c r="B21" s="630"/>
      <c r="C21" s="620">
        <f t="shared" si="2"/>
        <v>82225</v>
      </c>
      <c r="D21" s="632">
        <f t="shared" si="3"/>
        <v>82326</v>
      </c>
      <c r="E21" s="632">
        <f t="shared" si="4"/>
        <v>82328</v>
      </c>
      <c r="F21" s="620">
        <f t="shared" si="5"/>
        <v>85119</v>
      </c>
      <c r="G21" s="620">
        <f t="shared" si="6"/>
        <v>66295</v>
      </c>
      <c r="H21" s="620">
        <f t="shared" si="7"/>
        <v>60551</v>
      </c>
      <c r="I21" s="635">
        <f t="shared" si="8"/>
        <v>82225</v>
      </c>
      <c r="J21" s="633"/>
      <c r="K21" s="634"/>
    </row>
    <row r="22" spans="1:19" s="84" customFormat="1" ht="18" customHeight="1">
      <c r="A22" s="629">
        <f t="shared" si="1"/>
        <v>2022</v>
      </c>
      <c r="B22" s="630"/>
      <c r="C22" s="620">
        <f t="shared" si="2"/>
        <v>81731</v>
      </c>
      <c r="D22" s="632">
        <f t="shared" si="3"/>
        <v>81859</v>
      </c>
      <c r="E22" s="632">
        <f t="shared" si="4"/>
        <v>81862</v>
      </c>
      <c r="F22" s="620">
        <f t="shared" si="5"/>
        <v>85011</v>
      </c>
      <c r="G22" s="620">
        <f t="shared" si="6"/>
        <v>61174</v>
      </c>
      <c r="H22" s="620">
        <f t="shared" si="7"/>
        <v>51404</v>
      </c>
      <c r="I22" s="635">
        <f t="shared" si="8"/>
        <v>81731</v>
      </c>
      <c r="J22" s="633"/>
      <c r="K22" s="634"/>
    </row>
    <row r="23" spans="1:19" s="85" customFormat="1" ht="18" customHeight="1">
      <c r="A23" s="629">
        <f t="shared" si="1"/>
        <v>2023</v>
      </c>
      <c r="B23" s="630"/>
      <c r="C23" s="620">
        <f t="shared" si="2"/>
        <v>81238</v>
      </c>
      <c r="D23" s="632">
        <f t="shared" si="3"/>
        <v>81395</v>
      </c>
      <c r="E23" s="632">
        <f t="shared" si="4"/>
        <v>81398</v>
      </c>
      <c r="F23" s="620">
        <f t="shared" si="5"/>
        <v>84909</v>
      </c>
      <c r="G23" s="620">
        <f t="shared" si="6"/>
        <v>55511</v>
      </c>
      <c r="H23" s="620">
        <f t="shared" si="7"/>
        <v>39388</v>
      </c>
      <c r="I23" s="635">
        <f t="shared" si="8"/>
        <v>81238</v>
      </c>
      <c r="J23" s="633"/>
      <c r="K23" s="634"/>
    </row>
    <row r="24" spans="1:19" s="85" customFormat="1" ht="18" customHeight="1">
      <c r="A24" s="629">
        <f t="shared" si="1"/>
        <v>2024</v>
      </c>
      <c r="B24" s="630"/>
      <c r="C24" s="620">
        <f t="shared" si="2"/>
        <v>80744</v>
      </c>
      <c r="D24" s="632">
        <f t="shared" si="3"/>
        <v>80933</v>
      </c>
      <c r="E24" s="632">
        <f t="shared" si="4"/>
        <v>80937</v>
      </c>
      <c r="F24" s="620">
        <f t="shared" si="5"/>
        <v>84814</v>
      </c>
      <c r="G24" s="620">
        <f t="shared" si="6"/>
        <v>49464</v>
      </c>
      <c r="H24" s="620">
        <f t="shared" si="7"/>
        <v>23604</v>
      </c>
      <c r="I24" s="635">
        <f t="shared" si="8"/>
        <v>80744</v>
      </c>
      <c r="J24" s="633"/>
      <c r="K24" s="634"/>
    </row>
    <row r="25" spans="1:19" s="85" customFormat="1" ht="18" customHeight="1">
      <c r="A25" s="636">
        <f t="shared" si="1"/>
        <v>2025</v>
      </c>
      <c r="B25" s="637"/>
      <c r="C25" s="638">
        <f t="shared" si="2"/>
        <v>80250</v>
      </c>
      <c r="D25" s="639">
        <f t="shared" si="3"/>
        <v>80474</v>
      </c>
      <c r="E25" s="639">
        <f t="shared" si="4"/>
        <v>80479</v>
      </c>
      <c r="F25" s="638">
        <f t="shared" si="5"/>
        <v>84723</v>
      </c>
      <c r="G25" s="638">
        <f t="shared" si="6"/>
        <v>43243</v>
      </c>
      <c r="H25" s="638">
        <f t="shared" si="7"/>
        <v>2868</v>
      </c>
      <c r="I25" s="640">
        <f t="shared" si="8"/>
        <v>80250</v>
      </c>
      <c r="J25" s="641"/>
      <c r="K25" s="642"/>
    </row>
    <row r="26" spans="1:19" s="85" customFormat="1" ht="18" customHeight="1">
      <c r="A26" s="629">
        <f t="shared" si="1"/>
        <v>2026</v>
      </c>
      <c r="B26" s="630"/>
      <c r="C26" s="620">
        <f t="shared" si="2"/>
        <v>79757</v>
      </c>
      <c r="D26" s="632">
        <f t="shared" si="3"/>
        <v>80018</v>
      </c>
      <c r="E26" s="632">
        <f t="shared" si="4"/>
        <v>80023</v>
      </c>
      <c r="F26" s="620">
        <f t="shared" si="5"/>
        <v>84637</v>
      </c>
      <c r="G26" s="620">
        <f t="shared" si="6"/>
        <v>37084</v>
      </c>
      <c r="H26" s="620">
        <f t="shared" si="7"/>
        <v>-24370</v>
      </c>
      <c r="I26" s="635">
        <f t="shared" si="8"/>
        <v>79757</v>
      </c>
      <c r="J26" s="633"/>
      <c r="K26" s="634"/>
    </row>
    <row r="27" spans="1:19" s="84" customFormat="1" ht="18" customHeight="1">
      <c r="A27" s="629">
        <f t="shared" si="1"/>
        <v>2027</v>
      </c>
      <c r="B27" s="630"/>
      <c r="C27" s="620">
        <f t="shared" si="2"/>
        <v>79263</v>
      </c>
      <c r="D27" s="632">
        <f t="shared" si="3"/>
        <v>79564</v>
      </c>
      <c r="E27" s="632">
        <f t="shared" si="4"/>
        <v>79571</v>
      </c>
      <c r="F27" s="620">
        <f t="shared" si="5"/>
        <v>84554</v>
      </c>
      <c r="G27" s="620">
        <f t="shared" si="6"/>
        <v>31212</v>
      </c>
      <c r="H27" s="620">
        <f t="shared" si="7"/>
        <v>-60152</v>
      </c>
      <c r="I27" s="635">
        <f t="shared" si="8"/>
        <v>79263</v>
      </c>
      <c r="J27" s="633"/>
      <c r="K27" s="634"/>
    </row>
    <row r="28" spans="1:19" s="85" customFormat="1" ht="18" customHeight="1">
      <c r="A28" s="629">
        <f t="shared" si="1"/>
        <v>2028</v>
      </c>
      <c r="B28" s="643"/>
      <c r="C28" s="620">
        <f t="shared" si="2"/>
        <v>78770</v>
      </c>
      <c r="D28" s="632">
        <f t="shared" si="3"/>
        <v>79112</v>
      </c>
      <c r="E28" s="620">
        <f t="shared" si="4"/>
        <v>79120</v>
      </c>
      <c r="F28" s="620">
        <f t="shared" si="5"/>
        <v>84476</v>
      </c>
      <c r="G28" s="620">
        <f t="shared" si="6"/>
        <v>25814</v>
      </c>
      <c r="H28" s="620">
        <f t="shared" si="7"/>
        <v>-107157</v>
      </c>
      <c r="I28" s="635">
        <f t="shared" si="8"/>
        <v>78770</v>
      </c>
      <c r="J28" s="633"/>
      <c r="K28" s="634"/>
    </row>
    <row r="29" spans="1:19" s="85" customFormat="1" ht="18" customHeight="1">
      <c r="A29" s="629">
        <f t="shared" si="1"/>
        <v>2029</v>
      </c>
      <c r="B29" s="643"/>
      <c r="C29" s="620">
        <f t="shared" si="2"/>
        <v>78276</v>
      </c>
      <c r="D29" s="632">
        <f t="shared" si="3"/>
        <v>78664</v>
      </c>
      <c r="E29" s="620">
        <f t="shared" si="4"/>
        <v>78673</v>
      </c>
      <c r="F29" s="620">
        <f t="shared" si="5"/>
        <v>84401</v>
      </c>
      <c r="G29" s="620">
        <f t="shared" si="6"/>
        <v>21015</v>
      </c>
      <c r="H29" s="620">
        <f t="shared" si="7"/>
        <v>-168905</v>
      </c>
      <c r="I29" s="635">
        <f t="shared" si="8"/>
        <v>78276</v>
      </c>
      <c r="J29" s="633"/>
      <c r="K29" s="634"/>
      <c r="P29" s="86"/>
      <c r="Q29" s="87"/>
      <c r="S29" s="87"/>
    </row>
    <row r="30" spans="1:19" s="85" customFormat="1" ht="18" customHeight="1">
      <c r="A30" s="636">
        <f t="shared" si="1"/>
        <v>2030</v>
      </c>
      <c r="B30" s="644"/>
      <c r="C30" s="638">
        <f t="shared" si="2"/>
        <v>77782</v>
      </c>
      <c r="D30" s="639">
        <f t="shared" si="3"/>
        <v>78218</v>
      </c>
      <c r="E30" s="638">
        <f t="shared" si="4"/>
        <v>78227</v>
      </c>
      <c r="F30" s="638">
        <f t="shared" si="5"/>
        <v>84329</v>
      </c>
      <c r="G30" s="638">
        <f t="shared" si="6"/>
        <v>16872</v>
      </c>
      <c r="H30" s="638">
        <f t="shared" si="7"/>
        <v>-250019</v>
      </c>
      <c r="I30" s="640">
        <f t="shared" si="8"/>
        <v>77782</v>
      </c>
      <c r="J30" s="641"/>
      <c r="K30" s="642"/>
      <c r="P30" s="86"/>
      <c r="Q30" s="88"/>
      <c r="S30" s="88"/>
    </row>
    <row r="31" spans="1:19" s="85" customFormat="1" ht="18" customHeight="1">
      <c r="A31" s="629">
        <f t="shared" si="1"/>
        <v>2031</v>
      </c>
      <c r="B31" s="643"/>
      <c r="C31" s="620">
        <f t="shared" si="2"/>
        <v>77289</v>
      </c>
      <c r="D31" s="632">
        <f t="shared" si="3"/>
        <v>77774</v>
      </c>
      <c r="E31" s="620">
        <f t="shared" si="4"/>
        <v>77785</v>
      </c>
      <c r="F31" s="620">
        <f t="shared" si="5"/>
        <v>84260</v>
      </c>
      <c r="G31" s="620">
        <f t="shared" si="6"/>
        <v>13387</v>
      </c>
      <c r="H31" s="620">
        <f t="shared" si="7"/>
        <v>-356574</v>
      </c>
      <c r="I31" s="635">
        <f t="shared" si="8"/>
        <v>77289</v>
      </c>
      <c r="J31" s="633"/>
      <c r="K31" s="634"/>
      <c r="M31" s="89"/>
      <c r="P31" s="86"/>
      <c r="Q31" s="88"/>
      <c r="S31" s="88"/>
    </row>
    <row r="32" spans="1:19" s="84" customFormat="1" ht="18" customHeight="1">
      <c r="A32" s="629">
        <f t="shared" si="1"/>
        <v>2032</v>
      </c>
      <c r="B32" s="643"/>
      <c r="C32" s="620">
        <f t="shared" si="2"/>
        <v>76795</v>
      </c>
      <c r="D32" s="632">
        <f t="shared" si="3"/>
        <v>77333</v>
      </c>
      <c r="E32" s="620">
        <f t="shared" si="4"/>
        <v>77345</v>
      </c>
      <c r="F32" s="620">
        <f t="shared" si="5"/>
        <v>84193</v>
      </c>
      <c r="G32" s="620">
        <f t="shared" si="6"/>
        <v>10517</v>
      </c>
      <c r="H32" s="620">
        <f t="shared" si="7"/>
        <v>-496550</v>
      </c>
      <c r="I32" s="635">
        <f t="shared" si="8"/>
        <v>76795</v>
      </c>
      <c r="J32" s="633"/>
      <c r="K32" s="634"/>
      <c r="P32" s="90"/>
      <c r="Q32" s="91"/>
      <c r="S32" s="92"/>
    </row>
    <row r="33" spans="1:41" s="85" customFormat="1" ht="18" customHeight="1">
      <c r="A33" s="629">
        <f t="shared" si="1"/>
        <v>2033</v>
      </c>
      <c r="B33" s="643"/>
      <c r="C33" s="620">
        <f t="shared" si="2"/>
        <v>76301</v>
      </c>
      <c r="D33" s="632">
        <f t="shared" si="3"/>
        <v>76894</v>
      </c>
      <c r="E33" s="620">
        <f t="shared" si="4"/>
        <v>76908</v>
      </c>
      <c r="F33" s="620">
        <f t="shared" si="5"/>
        <v>84129</v>
      </c>
      <c r="G33" s="620">
        <f t="shared" si="6"/>
        <v>8197</v>
      </c>
      <c r="H33" s="620">
        <f t="shared" si="7"/>
        <v>-680428</v>
      </c>
      <c r="I33" s="635">
        <f t="shared" si="8"/>
        <v>76301</v>
      </c>
      <c r="J33" s="633"/>
      <c r="K33" s="634"/>
      <c r="P33" s="93"/>
      <c r="Q33" s="94"/>
      <c r="S33" s="95"/>
    </row>
    <row r="34" spans="1:41" s="85" customFormat="1" ht="18" customHeight="1">
      <c r="A34" s="629">
        <f t="shared" si="1"/>
        <v>2034</v>
      </c>
      <c r="B34" s="643"/>
      <c r="C34" s="620">
        <f t="shared" si="2"/>
        <v>75808</v>
      </c>
      <c r="D34" s="632">
        <f t="shared" si="3"/>
        <v>76458</v>
      </c>
      <c r="E34" s="620">
        <f t="shared" si="4"/>
        <v>76473</v>
      </c>
      <c r="F34" s="620">
        <f t="shared" si="5"/>
        <v>84068</v>
      </c>
      <c r="G34" s="620">
        <f t="shared" si="6"/>
        <v>6348</v>
      </c>
      <c r="H34" s="620">
        <f t="shared" si="7"/>
        <v>-921978</v>
      </c>
      <c r="I34" s="635">
        <f t="shared" si="8"/>
        <v>75808</v>
      </c>
      <c r="J34" s="633"/>
      <c r="K34" s="634"/>
      <c r="P34" s="93"/>
      <c r="Q34" s="94"/>
      <c r="S34" s="95"/>
    </row>
    <row r="35" spans="1:41" s="85" customFormat="1" ht="18" customHeight="1">
      <c r="A35" s="636">
        <f t="shared" si="1"/>
        <v>2035</v>
      </c>
      <c r="B35" s="644"/>
      <c r="C35" s="638">
        <f t="shared" si="2"/>
        <v>75314</v>
      </c>
      <c r="D35" s="639">
        <f t="shared" si="3"/>
        <v>76024</v>
      </c>
      <c r="E35" s="638">
        <f t="shared" si="4"/>
        <v>76040</v>
      </c>
      <c r="F35" s="638">
        <f t="shared" si="5"/>
        <v>84008</v>
      </c>
      <c r="G35" s="638">
        <f t="shared" si="6"/>
        <v>4890</v>
      </c>
      <c r="H35" s="638">
        <f t="shared" si="7"/>
        <v>-1239288</v>
      </c>
      <c r="I35" s="640">
        <f t="shared" si="8"/>
        <v>75314</v>
      </c>
      <c r="J35" s="641"/>
      <c r="K35" s="642"/>
      <c r="P35" s="93"/>
      <c r="Q35" s="94"/>
      <c r="S35" s="95"/>
    </row>
    <row r="36" spans="1:41" s="85" customFormat="1" ht="18" customHeight="1">
      <c r="A36" s="629">
        <f t="shared" si="1"/>
        <v>2036</v>
      </c>
      <c r="B36" s="643"/>
      <c r="C36" s="620">
        <f t="shared" si="2"/>
        <v>74820</v>
      </c>
      <c r="D36" s="632">
        <f t="shared" si="3"/>
        <v>75593</v>
      </c>
      <c r="E36" s="620">
        <f t="shared" si="4"/>
        <v>75610</v>
      </c>
      <c r="F36" s="620">
        <f t="shared" si="5"/>
        <v>83951</v>
      </c>
      <c r="G36" s="620">
        <f t="shared" si="6"/>
        <v>3753</v>
      </c>
      <c r="H36" s="620">
        <f t="shared" si="7"/>
        <v>-1656121</v>
      </c>
      <c r="I36" s="635">
        <f t="shared" si="8"/>
        <v>74820</v>
      </c>
      <c r="J36" s="633"/>
      <c r="K36" s="634"/>
      <c r="M36" s="89"/>
      <c r="P36" s="93"/>
      <c r="Q36" s="94"/>
      <c r="S36" s="95"/>
    </row>
    <row r="37" spans="1:41" s="84" customFormat="1" ht="18" customHeight="1">
      <c r="A37" s="629">
        <f t="shared" si="1"/>
        <v>2037</v>
      </c>
      <c r="B37" s="643"/>
      <c r="C37" s="620">
        <f t="shared" si="2"/>
        <v>74327</v>
      </c>
      <c r="D37" s="632">
        <f t="shared" si="3"/>
        <v>75164</v>
      </c>
      <c r="E37" s="620">
        <f t="shared" si="4"/>
        <v>75183</v>
      </c>
      <c r="F37" s="620">
        <f t="shared" si="5"/>
        <v>83895</v>
      </c>
      <c r="G37" s="620">
        <f t="shared" si="6"/>
        <v>2871</v>
      </c>
      <c r="H37" s="620">
        <f t="shared" si="7"/>
        <v>-2203690</v>
      </c>
      <c r="I37" s="635">
        <f t="shared" si="8"/>
        <v>74327</v>
      </c>
      <c r="J37" s="633"/>
      <c r="K37" s="634"/>
      <c r="P37" s="90"/>
      <c r="Q37" s="91"/>
      <c r="S37" s="96"/>
    </row>
    <row r="38" spans="1:41" s="85" customFormat="1" ht="18" customHeight="1">
      <c r="A38" s="629">
        <f t="shared" si="1"/>
        <v>2038</v>
      </c>
      <c r="B38" s="643"/>
      <c r="C38" s="620">
        <f>I99</f>
        <v>73833</v>
      </c>
      <c r="D38" s="632">
        <f>I136</f>
        <v>74738</v>
      </c>
      <c r="E38" s="620">
        <f>I173</f>
        <v>74758</v>
      </c>
      <c r="F38" s="620">
        <f>I210</f>
        <v>83841</v>
      </c>
      <c r="G38" s="620">
        <f>I247</f>
        <v>2191</v>
      </c>
      <c r="H38" s="620">
        <f>I284</f>
        <v>-2923001</v>
      </c>
      <c r="I38" s="635">
        <f t="shared" si="8"/>
        <v>73833</v>
      </c>
      <c r="J38" s="633"/>
      <c r="K38" s="634"/>
      <c r="P38" s="93"/>
      <c r="Q38" s="94"/>
      <c r="S38" s="95"/>
    </row>
    <row r="39" spans="1:41" s="85" customFormat="1" ht="18" customHeight="1">
      <c r="A39" s="645" t="s">
        <v>324</v>
      </c>
      <c r="B39" s="646"/>
      <c r="C39" s="647" t="s">
        <v>325</v>
      </c>
      <c r="D39" s="647"/>
      <c r="E39" s="647"/>
      <c r="F39" s="647"/>
      <c r="G39" s="647"/>
      <c r="H39" s="647"/>
      <c r="I39" s="647"/>
      <c r="J39" s="648"/>
      <c r="K39" s="649"/>
      <c r="L39" s="97"/>
      <c r="M39" s="97"/>
      <c r="N39" s="97"/>
      <c r="O39" s="97"/>
      <c r="P39" s="93"/>
      <c r="Q39" s="88"/>
      <c r="S39" s="88"/>
      <c r="T39" s="97"/>
      <c r="U39" s="98"/>
      <c r="V39" s="98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</row>
    <row r="40" spans="1:41" s="82" customFormat="1" ht="18" customHeight="1">
      <c r="A40" s="981" t="s">
        <v>326</v>
      </c>
      <c r="B40" s="982"/>
      <c r="C40" s="843">
        <f>F71</f>
        <v>0.74014458002658934</v>
      </c>
      <c r="D40" s="843">
        <f>G119</f>
        <v>0.73636384167625391</v>
      </c>
      <c r="E40" s="843">
        <f>G151</f>
        <v>0.73638175264017702</v>
      </c>
      <c r="F40" s="843">
        <f>H188</f>
        <v>0.58488816556160661</v>
      </c>
      <c r="G40" s="843">
        <f>G225</f>
        <v>0.85986898086849617</v>
      </c>
      <c r="H40" s="843">
        <f>G262</f>
        <v>0.86282559022804861</v>
      </c>
      <c r="I40" s="844"/>
      <c r="J40" s="983" t="s">
        <v>327</v>
      </c>
      <c r="K40" s="984"/>
      <c r="L40" s="100" t="s">
        <v>328</v>
      </c>
      <c r="M40" s="101">
        <f>MAX(C40:H40)</f>
        <v>0.86282559022804861</v>
      </c>
      <c r="N40" s="100"/>
      <c r="O40" s="100"/>
      <c r="P40" s="83"/>
      <c r="Q40" s="102"/>
      <c r="S40" s="102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</row>
    <row r="41" spans="1:41" s="82" customFormat="1" ht="18" customHeight="1">
      <c r="A41" s="981" t="s">
        <v>329</v>
      </c>
      <c r="B41" s="982"/>
      <c r="C41" s="843">
        <f>F72</f>
        <v>7058.1020000000008</v>
      </c>
      <c r="D41" s="843">
        <f>G120</f>
        <v>7162.8179999999993</v>
      </c>
      <c r="E41" s="843">
        <f>G152</f>
        <v>7162.3940000000002</v>
      </c>
      <c r="F41" s="843">
        <f>H189</f>
        <v>11278.548999999999</v>
      </c>
      <c r="G41" s="843">
        <f>G226</f>
        <v>3972.2010000000005</v>
      </c>
      <c r="H41" s="843">
        <f>G263</f>
        <v>3918.0930000000003</v>
      </c>
      <c r="I41" s="845"/>
      <c r="J41" s="985"/>
      <c r="K41" s="986"/>
      <c r="L41" s="103" t="s">
        <v>330</v>
      </c>
      <c r="M41" s="104">
        <f>MIN(C41:H41)</f>
        <v>3918.0930000000003</v>
      </c>
      <c r="N41" s="103"/>
      <c r="O41" s="103"/>
      <c r="P41" s="85"/>
      <c r="Q41" s="85"/>
      <c r="R41" s="85"/>
      <c r="S41" s="85"/>
      <c r="T41" s="103"/>
      <c r="U41" s="105"/>
      <c r="V41" s="105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</row>
    <row r="42" spans="1:41" s="82" customFormat="1" ht="18" customHeight="1">
      <c r="A42" s="981" t="s">
        <v>331</v>
      </c>
      <c r="B42" s="982"/>
      <c r="C42" s="846">
        <f>F73</f>
        <v>0.75579872790005043</v>
      </c>
      <c r="D42" s="846">
        <f>G121</f>
        <v>0.76454825114592562</v>
      </c>
      <c r="E42" s="846">
        <f>G153</f>
        <v>0.76454342263473163</v>
      </c>
      <c r="F42" s="846">
        <f>H190</f>
        <v>0.90213144701821013</v>
      </c>
      <c r="G42" s="846">
        <f>G227</f>
        <v>0.62697978990387515</v>
      </c>
      <c r="H42" s="846">
        <f>G264</f>
        <v>0.61980503320976166</v>
      </c>
      <c r="I42" s="847"/>
      <c r="J42" s="985"/>
      <c r="K42" s="986"/>
      <c r="L42" s="103" t="s">
        <v>332</v>
      </c>
      <c r="M42" s="104">
        <f>MIN(C42:H42)</f>
        <v>0.61980503320976166</v>
      </c>
      <c r="N42" s="103"/>
      <c r="O42" s="103"/>
      <c r="P42" s="103"/>
      <c r="Q42" s="103"/>
      <c r="R42" s="103"/>
      <c r="S42" s="103"/>
      <c r="T42" s="103"/>
      <c r="U42" s="105"/>
      <c r="V42" s="105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</row>
    <row r="43" spans="1:41" s="82" customFormat="1" ht="18" customHeight="1">
      <c r="A43" s="981" t="s">
        <v>333</v>
      </c>
      <c r="B43" s="982"/>
      <c r="C43" s="843">
        <f>F74</f>
        <v>6363.5959999999995</v>
      </c>
      <c r="D43" s="843">
        <f>G122</f>
        <v>6456.8599999999988</v>
      </c>
      <c r="E43" s="843">
        <f>G154</f>
        <v>6456.2289999999994</v>
      </c>
      <c r="F43" s="843">
        <f>H191</f>
        <v>10824.356</v>
      </c>
      <c r="G43" s="843">
        <f>G228</f>
        <v>2284.7220000000002</v>
      </c>
      <c r="H43" s="843">
        <f>G265</f>
        <v>2211.4600000000005</v>
      </c>
      <c r="I43" s="845"/>
      <c r="J43" s="985"/>
      <c r="K43" s="986"/>
      <c r="L43" s="103" t="s">
        <v>334</v>
      </c>
      <c r="M43" s="104">
        <f>MIN(C43:H43)</f>
        <v>2211.4600000000005</v>
      </c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</row>
    <row r="44" spans="1:41" s="82" customFormat="1" ht="18" customHeight="1">
      <c r="A44" s="981" t="s">
        <v>335</v>
      </c>
      <c r="B44" s="982"/>
      <c r="C44" s="846">
        <f>F75</f>
        <v>1.1692189800513773</v>
      </c>
      <c r="D44" s="846">
        <f>G123</f>
        <v>1.1786798438015278</v>
      </c>
      <c r="E44" s="846">
        <f>G155</f>
        <v>1.1784468603317051</v>
      </c>
      <c r="F44" s="846">
        <f>H192</f>
        <v>1.6046579393830172</v>
      </c>
      <c r="G44" s="846">
        <f>G229</f>
        <v>0.71371994498989966</v>
      </c>
      <c r="H44" s="846">
        <f>G266</f>
        <v>0.69664571328715397</v>
      </c>
      <c r="I44" s="847"/>
      <c r="J44" s="987"/>
      <c r="K44" s="988"/>
      <c r="L44" s="103" t="s">
        <v>336</v>
      </c>
      <c r="M44" s="104">
        <f>MIN(C44:H44)</f>
        <v>0.69664571328715397</v>
      </c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</row>
    <row r="45" spans="1:41" s="82" customFormat="1" ht="20.100000000000001" customHeight="1">
      <c r="A45" s="106"/>
      <c r="B45" s="107"/>
      <c r="C45" s="108"/>
      <c r="D45" s="108"/>
      <c r="E45" s="108"/>
      <c r="F45" s="109"/>
      <c r="G45" s="109"/>
      <c r="H45" s="109"/>
      <c r="I45" s="109"/>
      <c r="J45" s="11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</row>
    <row r="46" spans="1:41" s="82" customFormat="1" ht="20.100000000000001" customHeight="1">
      <c r="A46" s="106"/>
      <c r="B46" s="107"/>
      <c r="C46" s="108"/>
      <c r="D46" s="108"/>
      <c r="E46" s="108"/>
      <c r="F46" s="109"/>
      <c r="G46" s="109"/>
      <c r="H46" s="109"/>
      <c r="I46" s="109"/>
      <c r="J46" s="11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</row>
    <row r="47" spans="1:41" s="82" customFormat="1" ht="20.100000000000001" customHeight="1">
      <c r="A47" s="106"/>
      <c r="B47" s="107"/>
      <c r="C47" s="108"/>
      <c r="D47" s="108"/>
      <c r="E47" s="108"/>
      <c r="F47" s="109"/>
      <c r="G47" s="109"/>
      <c r="H47" s="109"/>
      <c r="I47" s="109"/>
      <c r="J47" s="11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</row>
    <row r="48" spans="1:41" s="82" customFormat="1" ht="20.100000000000001" customHeight="1">
      <c r="A48" s="106"/>
      <c r="B48" s="107"/>
      <c r="C48" s="108"/>
      <c r="D48" s="108"/>
      <c r="E48" s="108"/>
      <c r="F48" s="109"/>
      <c r="G48" s="109"/>
      <c r="H48" s="109"/>
      <c r="I48" s="109"/>
      <c r="J48" s="11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</row>
    <row r="49" spans="1:40" s="82" customFormat="1" ht="20.100000000000001" customHeight="1">
      <c r="A49" s="106"/>
      <c r="B49" s="107"/>
      <c r="C49" s="108"/>
      <c r="D49" s="108"/>
      <c r="E49" s="108"/>
      <c r="F49" s="109"/>
      <c r="G49" s="109"/>
      <c r="H49" s="109"/>
      <c r="I49" s="109"/>
      <c r="J49" s="11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</row>
    <row r="50" spans="1:40" s="82" customFormat="1" ht="20.100000000000001" customHeight="1">
      <c r="A50" s="106"/>
      <c r="B50" s="107"/>
      <c r="C50" s="108"/>
      <c r="D50" s="108"/>
      <c r="E50" s="108"/>
      <c r="F50" s="109"/>
      <c r="G50" s="109"/>
      <c r="H50" s="109"/>
      <c r="I50" s="109"/>
      <c r="J50" s="11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</row>
    <row r="51" spans="1:40" s="82" customFormat="1" ht="20.100000000000001" customHeight="1">
      <c r="A51" s="106"/>
      <c r="B51" s="107"/>
      <c r="C51" s="108"/>
      <c r="D51" s="108"/>
      <c r="E51" s="108"/>
      <c r="F51" s="109"/>
      <c r="G51" s="109"/>
      <c r="H51" s="109"/>
      <c r="I51" s="109"/>
      <c r="J51" s="11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</row>
    <row r="52" spans="1:40" s="82" customFormat="1" ht="20.100000000000001" customHeight="1">
      <c r="A52" s="106"/>
      <c r="B52" s="107"/>
      <c r="C52" s="108"/>
      <c r="D52" s="108"/>
      <c r="E52" s="108"/>
      <c r="F52" s="109"/>
      <c r="G52" s="109"/>
      <c r="H52" s="109"/>
      <c r="I52" s="109"/>
      <c r="J52" s="11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</row>
    <row r="53" spans="1:40" s="82" customFormat="1" ht="20.100000000000001" customHeight="1">
      <c r="A53" s="106"/>
      <c r="B53" s="107"/>
      <c r="C53" s="108"/>
      <c r="D53" s="108"/>
      <c r="E53" s="108"/>
      <c r="F53" s="109"/>
      <c r="G53" s="109"/>
      <c r="H53" s="109"/>
      <c r="I53" s="109"/>
      <c r="J53" s="11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</row>
    <row r="54" spans="1:40" s="82" customFormat="1" ht="20.100000000000001" customHeight="1">
      <c r="A54" s="106"/>
      <c r="B54" s="107"/>
      <c r="C54" s="108"/>
      <c r="D54" s="108"/>
      <c r="E54" s="108"/>
      <c r="F54" s="109"/>
      <c r="G54" s="109"/>
      <c r="H54" s="109"/>
      <c r="I54" s="109"/>
      <c r="J54" s="11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</row>
    <row r="55" spans="1:40" s="82" customFormat="1" ht="20.100000000000001" customHeight="1">
      <c r="A55" s="106"/>
      <c r="B55" s="107"/>
      <c r="C55" s="108"/>
      <c r="D55" s="108"/>
      <c r="E55" s="108"/>
      <c r="F55" s="109"/>
      <c r="G55" s="109"/>
      <c r="H55" s="109"/>
      <c r="I55" s="109"/>
      <c r="J55" s="11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</row>
    <row r="56" spans="1:40" s="82" customFormat="1" ht="20.100000000000001" customHeight="1">
      <c r="A56" s="106"/>
      <c r="B56" s="107"/>
      <c r="C56" s="108"/>
      <c r="D56" s="108"/>
      <c r="E56" s="108"/>
      <c r="F56" s="109"/>
      <c r="G56" s="109"/>
      <c r="H56" s="109"/>
      <c r="I56" s="109"/>
      <c r="J56" s="11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</row>
    <row r="57" spans="1:40" s="82" customFormat="1" ht="20.100000000000001" customHeight="1">
      <c r="A57" s="106"/>
      <c r="B57" s="107"/>
      <c r="C57" s="108"/>
      <c r="D57" s="108"/>
      <c r="E57" s="108"/>
      <c r="F57" s="109"/>
      <c r="G57" s="109"/>
      <c r="H57" s="109"/>
      <c r="I57" s="109"/>
      <c r="J57" s="11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</row>
    <row r="58" spans="1:40" s="82" customFormat="1" ht="20.100000000000001" customHeight="1">
      <c r="A58" s="106"/>
      <c r="B58" s="107"/>
      <c r="C58" s="108"/>
      <c r="D58" s="108"/>
      <c r="E58" s="108"/>
      <c r="F58" s="109"/>
      <c r="G58" s="109"/>
      <c r="H58" s="109"/>
      <c r="I58" s="109"/>
      <c r="J58" s="11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</row>
    <row r="59" spans="1:40" s="82" customFormat="1" ht="20.100000000000001" customHeight="1">
      <c r="A59" s="106"/>
      <c r="B59" s="107"/>
      <c r="C59" s="108"/>
      <c r="D59" s="108"/>
      <c r="E59" s="108"/>
      <c r="F59" s="109"/>
      <c r="G59" s="109"/>
      <c r="H59" s="109"/>
      <c r="I59" s="109"/>
      <c r="J59" s="11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</row>
    <row r="60" spans="1:40" s="82" customFormat="1" ht="20.100000000000001" customHeight="1">
      <c r="A60" s="106"/>
      <c r="B60" s="107"/>
      <c r="C60" s="108"/>
      <c r="D60" s="108"/>
      <c r="E60" s="108"/>
      <c r="F60" s="109"/>
      <c r="G60" s="109"/>
      <c r="H60" s="109"/>
      <c r="I60" s="109"/>
      <c r="J60" s="11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</row>
    <row r="61" spans="1:40" s="82" customFormat="1" ht="20.100000000000001" customHeight="1">
      <c r="A61" s="106"/>
      <c r="B61" s="107"/>
      <c r="C61" s="108"/>
      <c r="D61" s="108"/>
      <c r="E61" s="108"/>
      <c r="F61" s="109"/>
      <c r="G61" s="109"/>
      <c r="H61" s="109"/>
      <c r="I61" s="109"/>
      <c r="J61" s="11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</row>
    <row r="62" spans="1:40" s="82" customFormat="1" ht="20.100000000000001" customHeight="1">
      <c r="A62" s="106"/>
      <c r="B62" s="107"/>
      <c r="C62" s="108"/>
      <c r="D62" s="108"/>
      <c r="E62" s="108"/>
      <c r="F62" s="109"/>
      <c r="G62" s="109"/>
      <c r="H62" s="109"/>
      <c r="I62" s="109"/>
      <c r="J62" s="11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</row>
    <row r="63" spans="1:40" s="82" customFormat="1" ht="20.100000000000001" customHeight="1">
      <c r="A63" s="106"/>
      <c r="B63" s="107"/>
      <c r="C63" s="108"/>
      <c r="D63" s="108"/>
      <c r="E63" s="108"/>
      <c r="F63" s="109"/>
      <c r="G63" s="109"/>
      <c r="H63" s="109"/>
      <c r="I63" s="109"/>
      <c r="J63" s="11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</row>
    <row r="64" spans="1:40" ht="15" customHeight="1">
      <c r="A64" s="111" t="s">
        <v>337</v>
      </c>
      <c r="B64" s="112"/>
      <c r="I64" s="309"/>
    </row>
    <row r="65" spans="1:11" ht="15" customHeight="1">
      <c r="A65" s="113" t="s">
        <v>320</v>
      </c>
      <c r="B65" s="114" t="s">
        <v>338</v>
      </c>
      <c r="C65" s="115" t="s">
        <v>339</v>
      </c>
      <c r="D65" s="116"/>
      <c r="E65" s="116"/>
      <c r="F65" s="117"/>
      <c r="G65" s="118"/>
      <c r="H65" s="118" t="s">
        <v>1054</v>
      </c>
      <c r="I65" s="119">
        <f>RSQ(I67:I76,B67:B76)</f>
        <v>0.74014458002658934</v>
      </c>
      <c r="J65" s="120" t="s">
        <v>340</v>
      </c>
      <c r="K65" s="121" t="s">
        <v>341</v>
      </c>
    </row>
    <row r="66" spans="1:11" ht="15" customHeight="1">
      <c r="A66" s="310">
        <f>E1</f>
        <v>2005</v>
      </c>
      <c r="B66" s="311">
        <f>B5</f>
        <v>90931</v>
      </c>
      <c r="C66" s="312"/>
      <c r="D66" s="313" t="s">
        <v>342</v>
      </c>
      <c r="E66" s="122"/>
      <c r="F66" s="122"/>
      <c r="G66" s="123"/>
      <c r="H66" s="124"/>
      <c r="I66" s="314">
        <f t="shared" ref="I66:I99" si="9">ROUND($E$68*C66+$E$69,$G$1)</f>
        <v>90123</v>
      </c>
      <c r="J66" s="315">
        <f>ABS(B66-I66)/B66*100</f>
        <v>0.88858585080995489</v>
      </c>
      <c r="K66" s="316">
        <f>(B66-I66)^2/1000</f>
        <v>652.86400000000003</v>
      </c>
    </row>
    <row r="67" spans="1:11" ht="15" customHeight="1">
      <c r="A67" s="310">
        <f t="shared" ref="A67:A88" si="10">A66+1</f>
        <v>2006</v>
      </c>
      <c r="B67" s="311">
        <f t="shared" ref="B67:B76" si="11">B6</f>
        <v>89555</v>
      </c>
      <c r="C67" s="312">
        <v>1</v>
      </c>
      <c r="E67" s="424"/>
      <c r="G67" s="123"/>
      <c r="H67" s="124"/>
      <c r="I67" s="314">
        <f t="shared" si="9"/>
        <v>89630</v>
      </c>
      <c r="J67" s="315">
        <f>ABS(B67-I67)/B67*100</f>
        <v>8.3747417787951542E-2</v>
      </c>
      <c r="K67" s="316">
        <f>(B67-I67)^2/1000</f>
        <v>5.625</v>
      </c>
    </row>
    <row r="68" spans="1:11" ht="15" customHeight="1">
      <c r="A68" s="310">
        <f t="shared" si="10"/>
        <v>2007</v>
      </c>
      <c r="B68" s="311">
        <f t="shared" si="11"/>
        <v>88685</v>
      </c>
      <c r="C68" s="312">
        <f>C67+1</f>
        <v>2</v>
      </c>
      <c r="D68" s="313" t="s">
        <v>343</v>
      </c>
      <c r="E68" s="125">
        <f>INDEX(LINEST(B67:B76,C67:C76),1)</f>
        <v>-493.64242424242423</v>
      </c>
      <c r="G68" s="126"/>
      <c r="H68" s="124"/>
      <c r="I68" s="314">
        <f t="shared" si="9"/>
        <v>89136</v>
      </c>
      <c r="J68" s="315">
        <f>ABS(B68-I68)/B68*100</f>
        <v>0.5085414669899081</v>
      </c>
      <c r="K68" s="316">
        <f>(B68-I68)^2/1000</f>
        <v>203.40100000000001</v>
      </c>
    </row>
    <row r="69" spans="1:11" ht="15" customHeight="1">
      <c r="A69" s="310">
        <f t="shared" si="10"/>
        <v>2008</v>
      </c>
      <c r="B69" s="311">
        <f t="shared" si="11"/>
        <v>88176</v>
      </c>
      <c r="C69" s="312">
        <f t="shared" ref="C69:C99" si="12">C68+1</f>
        <v>3</v>
      </c>
      <c r="D69" s="313" t="s">
        <v>344</v>
      </c>
      <c r="E69" s="125">
        <f>INDEX(LINEST(B67:B76,C67:C76),2)</f>
        <v>90123.333333333343</v>
      </c>
      <c r="G69" s="126"/>
      <c r="H69" s="124"/>
      <c r="I69" s="314">
        <f t="shared" si="9"/>
        <v>88642</v>
      </c>
      <c r="J69" s="315">
        <f>ABS(B69-I69)/B69*100</f>
        <v>0.52848847759027395</v>
      </c>
      <c r="K69" s="316">
        <f t="shared" ref="K69:K75" si="13">(B69-I69)^2/1000</f>
        <v>217.15600000000001</v>
      </c>
    </row>
    <row r="70" spans="1:11" ht="15" customHeight="1">
      <c r="A70" s="310">
        <f t="shared" si="10"/>
        <v>2009</v>
      </c>
      <c r="B70" s="311">
        <f t="shared" si="11"/>
        <v>87631</v>
      </c>
      <c r="C70" s="312">
        <f t="shared" si="12"/>
        <v>4</v>
      </c>
      <c r="G70" s="126"/>
      <c r="H70" s="124"/>
      <c r="I70" s="314">
        <f t="shared" si="9"/>
        <v>88149</v>
      </c>
      <c r="J70" s="315">
        <f t="shared" ref="J70:J75" si="14">ABS(B70-I70)/B70*100</f>
        <v>0.59111501637548358</v>
      </c>
      <c r="K70" s="316">
        <f t="shared" si="13"/>
        <v>268.32400000000001</v>
      </c>
    </row>
    <row r="71" spans="1:11" ht="15" customHeight="1">
      <c r="A71" s="310">
        <f t="shared" si="10"/>
        <v>2010</v>
      </c>
      <c r="B71" s="311">
        <f t="shared" si="11"/>
        <v>88078</v>
      </c>
      <c r="C71" s="312">
        <f t="shared" si="12"/>
        <v>5</v>
      </c>
      <c r="D71" s="972" t="s">
        <v>345</v>
      </c>
      <c r="E71" s="973"/>
      <c r="F71" s="127">
        <f>I65</f>
        <v>0.74014458002658934</v>
      </c>
      <c r="G71" s="126"/>
      <c r="H71" s="124"/>
      <c r="I71" s="314">
        <f t="shared" si="9"/>
        <v>87655</v>
      </c>
      <c r="J71" s="315">
        <f t="shared" si="14"/>
        <v>0.48025613660618999</v>
      </c>
      <c r="K71" s="316">
        <f t="shared" si="13"/>
        <v>178.929</v>
      </c>
    </row>
    <row r="72" spans="1:11" ht="15" customHeight="1">
      <c r="A72" s="310">
        <f t="shared" si="10"/>
        <v>2011</v>
      </c>
      <c r="B72" s="311">
        <f t="shared" si="11"/>
        <v>88108</v>
      </c>
      <c r="C72" s="312">
        <f t="shared" si="12"/>
        <v>6</v>
      </c>
      <c r="D72" s="972" t="s">
        <v>346</v>
      </c>
      <c r="E72" s="973"/>
      <c r="F72" s="128">
        <f>SUM(K67:K76)</f>
        <v>7058.1020000000008</v>
      </c>
      <c r="G72" s="126"/>
      <c r="H72" s="124"/>
      <c r="I72" s="314">
        <f t="shared" si="9"/>
        <v>87161</v>
      </c>
      <c r="J72" s="315">
        <f t="shared" si="14"/>
        <v>1.0748172697144414</v>
      </c>
      <c r="K72" s="316">
        <f t="shared" si="13"/>
        <v>896.80899999999997</v>
      </c>
    </row>
    <row r="73" spans="1:11" ht="15" customHeight="1">
      <c r="A73" s="310">
        <f t="shared" si="10"/>
        <v>2012</v>
      </c>
      <c r="B73" s="311">
        <f t="shared" si="11"/>
        <v>88415</v>
      </c>
      <c r="C73" s="312">
        <f t="shared" si="12"/>
        <v>7</v>
      </c>
      <c r="D73" s="972" t="s">
        <v>347</v>
      </c>
      <c r="E73" s="973"/>
      <c r="F73" s="128">
        <f>SUM(J67:J76)/10</f>
        <v>0.75579872790005043</v>
      </c>
      <c r="G73" s="126"/>
      <c r="H73" s="124"/>
      <c r="I73" s="314">
        <f t="shared" si="9"/>
        <v>86668</v>
      </c>
      <c r="J73" s="315">
        <f t="shared" si="14"/>
        <v>1.975909065203868</v>
      </c>
      <c r="K73" s="316">
        <f t="shared" si="13"/>
        <v>3052.009</v>
      </c>
    </row>
    <row r="74" spans="1:11" ht="15" customHeight="1">
      <c r="A74" s="310">
        <f t="shared" si="10"/>
        <v>2013</v>
      </c>
      <c r="B74" s="311">
        <f t="shared" si="11"/>
        <v>85843</v>
      </c>
      <c r="C74" s="312">
        <f t="shared" si="12"/>
        <v>8</v>
      </c>
      <c r="D74" s="972" t="s">
        <v>348</v>
      </c>
      <c r="E74" s="973"/>
      <c r="F74" s="128">
        <f>SUM(K71:K76)</f>
        <v>6363.5959999999995</v>
      </c>
      <c r="G74" s="313"/>
      <c r="H74" s="424"/>
      <c r="I74" s="314">
        <f t="shared" si="9"/>
        <v>86174</v>
      </c>
      <c r="J74" s="315">
        <f t="shared" si="14"/>
        <v>0.38558764255676059</v>
      </c>
      <c r="K74" s="316">
        <f t="shared" si="13"/>
        <v>109.56100000000001</v>
      </c>
    </row>
    <row r="75" spans="1:11" ht="15" customHeight="1">
      <c r="A75" s="310">
        <f t="shared" si="10"/>
        <v>2014</v>
      </c>
      <c r="B75" s="311">
        <f t="shared" si="11"/>
        <v>85853</v>
      </c>
      <c r="C75" s="312">
        <f t="shared" si="12"/>
        <v>9</v>
      </c>
      <c r="D75" s="989" t="s">
        <v>349</v>
      </c>
      <c r="E75" s="990"/>
      <c r="F75" s="129">
        <f>SUM(J71:J76)/5</f>
        <v>1.1692189800513773</v>
      </c>
      <c r="G75" s="313"/>
      <c r="H75" s="424"/>
      <c r="I75" s="314">
        <f t="shared" si="9"/>
        <v>85681</v>
      </c>
      <c r="J75" s="315">
        <f t="shared" si="14"/>
        <v>0.20034244580853319</v>
      </c>
      <c r="K75" s="316">
        <f t="shared" si="13"/>
        <v>29.584</v>
      </c>
    </row>
    <row r="76" spans="1:11" ht="15" customHeight="1" thickBot="1">
      <c r="A76" s="281">
        <f t="shared" si="10"/>
        <v>2015</v>
      </c>
      <c r="B76" s="276">
        <f t="shared" si="11"/>
        <v>83739</v>
      </c>
      <c r="C76" s="318">
        <f t="shared" si="12"/>
        <v>10</v>
      </c>
      <c r="D76" s="317"/>
      <c r="E76" s="317"/>
      <c r="F76" s="317"/>
      <c r="G76" s="318"/>
      <c r="H76" s="317"/>
      <c r="I76" s="319">
        <f t="shared" si="9"/>
        <v>85187</v>
      </c>
      <c r="J76" s="320">
        <f>ABS(B76-I76)/B76*100</f>
        <v>1.7291823403670932</v>
      </c>
      <c r="K76" s="321">
        <f>(B76-I76)^2/1000</f>
        <v>2096.7040000000002</v>
      </c>
    </row>
    <row r="77" spans="1:11" ht="15" customHeight="1" thickTop="1">
      <c r="A77" s="310">
        <f t="shared" si="10"/>
        <v>2016</v>
      </c>
      <c r="B77" s="311">
        <f t="shared" ref="B77:B99" si="15">ROUND($E$68*C77+$E$69,$G$1)</f>
        <v>84693</v>
      </c>
      <c r="C77" s="312">
        <f t="shared" si="12"/>
        <v>11</v>
      </c>
      <c r="F77" s="424"/>
      <c r="G77" s="313"/>
      <c r="H77" s="424"/>
      <c r="I77" s="314">
        <f t="shared" si="9"/>
        <v>84693</v>
      </c>
      <c r="J77" s="322"/>
      <c r="K77" s="314"/>
    </row>
    <row r="78" spans="1:11" ht="15" customHeight="1">
      <c r="A78" s="310">
        <f t="shared" si="10"/>
        <v>2017</v>
      </c>
      <c r="B78" s="311">
        <f t="shared" si="15"/>
        <v>84200</v>
      </c>
      <c r="C78" s="312">
        <f t="shared" si="12"/>
        <v>12</v>
      </c>
      <c r="D78" s="424"/>
      <c r="E78" s="424"/>
      <c r="F78" s="424"/>
      <c r="G78" s="313"/>
      <c r="H78" s="424"/>
      <c r="I78" s="314">
        <f t="shared" si="9"/>
        <v>84200</v>
      </c>
      <c r="J78" s="322"/>
      <c r="K78" s="314"/>
    </row>
    <row r="79" spans="1:11" ht="15" customHeight="1">
      <c r="A79" s="310">
        <f t="shared" si="10"/>
        <v>2018</v>
      </c>
      <c r="B79" s="311">
        <f t="shared" si="15"/>
        <v>83706</v>
      </c>
      <c r="C79" s="312">
        <f t="shared" si="12"/>
        <v>13</v>
      </c>
      <c r="D79" s="424"/>
      <c r="E79" s="424"/>
      <c r="F79" s="424"/>
      <c r="G79" s="313"/>
      <c r="H79" s="424"/>
      <c r="I79" s="314">
        <f t="shared" si="9"/>
        <v>83706</v>
      </c>
      <c r="J79" s="322"/>
      <c r="K79" s="314"/>
    </row>
    <row r="80" spans="1:11" ht="15" customHeight="1">
      <c r="A80" s="310">
        <f t="shared" si="10"/>
        <v>2019</v>
      </c>
      <c r="B80" s="311">
        <f t="shared" si="15"/>
        <v>83212</v>
      </c>
      <c r="C80" s="312">
        <f t="shared" si="12"/>
        <v>14</v>
      </c>
      <c r="F80" s="424"/>
      <c r="G80" s="313"/>
      <c r="H80" s="424"/>
      <c r="I80" s="314">
        <f t="shared" si="9"/>
        <v>83212</v>
      </c>
      <c r="J80" s="322"/>
      <c r="K80" s="314"/>
    </row>
    <row r="81" spans="1:11" ht="15" customHeight="1">
      <c r="A81" s="310">
        <f t="shared" si="10"/>
        <v>2020</v>
      </c>
      <c r="B81" s="311">
        <f t="shared" si="15"/>
        <v>82719</v>
      </c>
      <c r="C81" s="312">
        <f t="shared" si="12"/>
        <v>15</v>
      </c>
      <c r="D81" s="313"/>
      <c r="E81" s="313"/>
      <c r="F81" s="424"/>
      <c r="G81" s="313"/>
      <c r="H81" s="424"/>
      <c r="I81" s="314">
        <f t="shared" si="9"/>
        <v>82719</v>
      </c>
      <c r="J81" s="322"/>
      <c r="K81" s="314"/>
    </row>
    <row r="82" spans="1:11" ht="15" customHeight="1">
      <c r="A82" s="310">
        <f t="shared" si="10"/>
        <v>2021</v>
      </c>
      <c r="B82" s="311">
        <f t="shared" si="15"/>
        <v>82225</v>
      </c>
      <c r="C82" s="312">
        <f t="shared" si="12"/>
        <v>16</v>
      </c>
      <c r="D82" s="313"/>
      <c r="E82" s="313"/>
      <c r="F82" s="424"/>
      <c r="G82" s="313"/>
      <c r="H82" s="424"/>
      <c r="I82" s="314">
        <f t="shared" si="9"/>
        <v>82225</v>
      </c>
      <c r="J82" s="322"/>
      <c r="K82" s="314"/>
    </row>
    <row r="83" spans="1:11" s="424" customFormat="1" ht="15" customHeight="1">
      <c r="A83" s="310">
        <f t="shared" si="10"/>
        <v>2022</v>
      </c>
      <c r="B83" s="311">
        <f t="shared" si="15"/>
        <v>81731</v>
      </c>
      <c r="C83" s="312">
        <f t="shared" si="12"/>
        <v>17</v>
      </c>
      <c r="G83" s="313"/>
      <c r="H83" s="313"/>
      <c r="I83" s="314">
        <f t="shared" si="9"/>
        <v>81731</v>
      </c>
      <c r="J83" s="322"/>
      <c r="K83" s="314"/>
    </row>
    <row r="84" spans="1:11" ht="15" customHeight="1">
      <c r="A84" s="310">
        <f t="shared" si="10"/>
        <v>2023</v>
      </c>
      <c r="B84" s="311">
        <f t="shared" si="15"/>
        <v>81238</v>
      </c>
      <c r="C84" s="312">
        <f t="shared" si="12"/>
        <v>18</v>
      </c>
      <c r="D84" s="424"/>
      <c r="E84" s="424"/>
      <c r="F84" s="424"/>
      <c r="G84" s="313"/>
      <c r="H84" s="424"/>
      <c r="I84" s="314">
        <f t="shared" si="9"/>
        <v>81238</v>
      </c>
      <c r="J84" s="322"/>
      <c r="K84" s="314"/>
    </row>
    <row r="85" spans="1:11" s="424" customFormat="1" ht="15" customHeight="1">
      <c r="A85" s="310">
        <f t="shared" si="10"/>
        <v>2024</v>
      </c>
      <c r="B85" s="311">
        <f t="shared" si="15"/>
        <v>80744</v>
      </c>
      <c r="C85" s="312">
        <f t="shared" si="12"/>
        <v>19</v>
      </c>
      <c r="G85" s="313"/>
      <c r="I85" s="314">
        <f t="shared" si="9"/>
        <v>80744</v>
      </c>
      <c r="J85" s="322"/>
      <c r="K85" s="314"/>
    </row>
    <row r="86" spans="1:11" s="424" customFormat="1" ht="15" customHeight="1">
      <c r="A86" s="310">
        <f t="shared" si="10"/>
        <v>2025</v>
      </c>
      <c r="B86" s="311">
        <f t="shared" si="15"/>
        <v>80250</v>
      </c>
      <c r="C86" s="312">
        <f t="shared" si="12"/>
        <v>20</v>
      </c>
      <c r="G86" s="313"/>
      <c r="I86" s="314">
        <f t="shared" si="9"/>
        <v>80250</v>
      </c>
      <c r="J86" s="322"/>
      <c r="K86" s="314"/>
    </row>
    <row r="87" spans="1:11" s="424" customFormat="1" ht="15" customHeight="1">
      <c r="A87" s="310">
        <f t="shared" si="10"/>
        <v>2026</v>
      </c>
      <c r="B87" s="311">
        <f t="shared" si="15"/>
        <v>79757</v>
      </c>
      <c r="C87" s="312">
        <f t="shared" si="12"/>
        <v>21</v>
      </c>
      <c r="G87" s="313"/>
      <c r="I87" s="314">
        <f t="shared" si="9"/>
        <v>79757</v>
      </c>
      <c r="J87" s="322"/>
      <c r="K87" s="314"/>
    </row>
    <row r="88" spans="1:11" s="424" customFormat="1" ht="15" customHeight="1">
      <c r="A88" s="310">
        <f t="shared" si="10"/>
        <v>2027</v>
      </c>
      <c r="B88" s="311">
        <f t="shared" si="15"/>
        <v>79263</v>
      </c>
      <c r="C88" s="312">
        <f t="shared" si="12"/>
        <v>22</v>
      </c>
      <c r="G88" s="313"/>
      <c r="I88" s="314">
        <f t="shared" si="9"/>
        <v>79263</v>
      </c>
      <c r="J88" s="322"/>
      <c r="K88" s="314"/>
    </row>
    <row r="89" spans="1:11" s="424" customFormat="1" ht="15" customHeight="1">
      <c r="A89" s="310">
        <f>A88+1</f>
        <v>2028</v>
      </c>
      <c r="B89" s="311">
        <f t="shared" si="15"/>
        <v>78770</v>
      </c>
      <c r="C89" s="312">
        <f t="shared" si="12"/>
        <v>23</v>
      </c>
      <c r="D89" s="132"/>
      <c r="E89" s="132"/>
      <c r="I89" s="314">
        <f t="shared" si="9"/>
        <v>78770</v>
      </c>
      <c r="J89" s="133"/>
      <c r="K89" s="133"/>
    </row>
    <row r="90" spans="1:11" ht="15" customHeight="1">
      <c r="A90" s="310">
        <f t="shared" ref="A90:A99" si="16">A89+1</f>
        <v>2029</v>
      </c>
      <c r="B90" s="311">
        <f t="shared" si="15"/>
        <v>78276</v>
      </c>
      <c r="C90" s="312">
        <f t="shared" si="12"/>
        <v>24</v>
      </c>
      <c r="D90" s="132"/>
      <c r="E90" s="132"/>
      <c r="F90" s="424"/>
      <c r="G90" s="424"/>
      <c r="H90" s="424"/>
      <c r="I90" s="314">
        <f t="shared" si="9"/>
        <v>78276</v>
      </c>
      <c r="J90" s="133"/>
      <c r="K90" s="133"/>
    </row>
    <row r="91" spans="1:11" ht="15" customHeight="1">
      <c r="A91" s="310">
        <f t="shared" si="16"/>
        <v>2030</v>
      </c>
      <c r="B91" s="311">
        <f t="shared" si="15"/>
        <v>77782</v>
      </c>
      <c r="C91" s="312">
        <f t="shared" si="12"/>
        <v>25</v>
      </c>
      <c r="D91" s="132"/>
      <c r="E91" s="132"/>
      <c r="F91" s="424"/>
      <c r="G91" s="424"/>
      <c r="H91" s="424"/>
      <c r="I91" s="314">
        <f t="shared" si="9"/>
        <v>77782</v>
      </c>
      <c r="J91" s="133"/>
      <c r="K91" s="133"/>
    </row>
    <row r="92" spans="1:11" ht="15" customHeight="1">
      <c r="A92" s="310">
        <f t="shared" si="16"/>
        <v>2031</v>
      </c>
      <c r="B92" s="311">
        <f t="shared" si="15"/>
        <v>77289</v>
      </c>
      <c r="C92" s="312">
        <f t="shared" si="12"/>
        <v>26</v>
      </c>
      <c r="D92" s="132"/>
      <c r="E92" s="132"/>
      <c r="F92" s="424"/>
      <c r="G92" s="424"/>
      <c r="H92" s="424"/>
      <c r="I92" s="314">
        <f t="shared" si="9"/>
        <v>77289</v>
      </c>
      <c r="J92" s="133"/>
      <c r="K92" s="133"/>
    </row>
    <row r="93" spans="1:11" ht="15" customHeight="1">
      <c r="A93" s="310">
        <f t="shared" si="16"/>
        <v>2032</v>
      </c>
      <c r="B93" s="311">
        <f t="shared" si="15"/>
        <v>76795</v>
      </c>
      <c r="C93" s="312">
        <f t="shared" si="12"/>
        <v>27</v>
      </c>
      <c r="D93" s="132"/>
      <c r="E93" s="132"/>
      <c r="F93" s="424"/>
      <c r="G93" s="424"/>
      <c r="H93" s="424"/>
      <c r="I93" s="314">
        <f t="shared" si="9"/>
        <v>76795</v>
      </c>
      <c r="J93" s="133"/>
      <c r="K93" s="133"/>
    </row>
    <row r="94" spans="1:11" ht="15" customHeight="1">
      <c r="A94" s="310">
        <f t="shared" si="16"/>
        <v>2033</v>
      </c>
      <c r="B94" s="311">
        <f t="shared" si="15"/>
        <v>76301</v>
      </c>
      <c r="C94" s="312">
        <f t="shared" si="12"/>
        <v>28</v>
      </c>
      <c r="D94" s="132"/>
      <c r="E94" s="132"/>
      <c r="F94" s="424"/>
      <c r="G94" s="424"/>
      <c r="H94" s="424"/>
      <c r="I94" s="314">
        <f t="shared" si="9"/>
        <v>76301</v>
      </c>
      <c r="J94" s="133"/>
      <c r="K94" s="133"/>
    </row>
    <row r="95" spans="1:11" ht="15" customHeight="1">
      <c r="A95" s="310">
        <f t="shared" si="16"/>
        <v>2034</v>
      </c>
      <c r="B95" s="311">
        <f t="shared" si="15"/>
        <v>75808</v>
      </c>
      <c r="C95" s="312">
        <f t="shared" si="12"/>
        <v>29</v>
      </c>
      <c r="D95" s="132"/>
      <c r="E95" s="132"/>
      <c r="F95" s="424"/>
      <c r="G95" s="424"/>
      <c r="H95" s="424"/>
      <c r="I95" s="314">
        <f t="shared" si="9"/>
        <v>75808</v>
      </c>
      <c r="J95" s="133"/>
      <c r="K95" s="133"/>
    </row>
    <row r="96" spans="1:11" ht="15" customHeight="1">
      <c r="A96" s="310">
        <f t="shared" si="16"/>
        <v>2035</v>
      </c>
      <c r="B96" s="311">
        <f t="shared" si="15"/>
        <v>75314</v>
      </c>
      <c r="C96" s="312">
        <f t="shared" si="12"/>
        <v>30</v>
      </c>
      <c r="D96" s="132"/>
      <c r="E96" s="132"/>
      <c r="F96" s="424"/>
      <c r="G96" s="424"/>
      <c r="H96" s="424"/>
      <c r="I96" s="314">
        <f t="shared" si="9"/>
        <v>75314</v>
      </c>
      <c r="J96" s="133"/>
      <c r="K96" s="133"/>
    </row>
    <row r="97" spans="1:11" ht="15" customHeight="1">
      <c r="A97" s="310">
        <f t="shared" si="16"/>
        <v>2036</v>
      </c>
      <c r="B97" s="311">
        <f t="shared" si="15"/>
        <v>74820</v>
      </c>
      <c r="C97" s="312">
        <f t="shared" si="12"/>
        <v>31</v>
      </c>
      <c r="D97" s="132"/>
      <c r="E97" s="132"/>
      <c r="F97" s="424"/>
      <c r="G97" s="424"/>
      <c r="H97" s="424"/>
      <c r="I97" s="314">
        <f t="shared" si="9"/>
        <v>74820</v>
      </c>
      <c r="J97" s="133"/>
      <c r="K97" s="133"/>
    </row>
    <row r="98" spans="1:11" ht="15" customHeight="1">
      <c r="A98" s="310">
        <f t="shared" si="16"/>
        <v>2037</v>
      </c>
      <c r="B98" s="311">
        <f t="shared" si="15"/>
        <v>74327</v>
      </c>
      <c r="C98" s="312">
        <f t="shared" si="12"/>
        <v>32</v>
      </c>
      <c r="D98" s="132"/>
      <c r="E98" s="132"/>
      <c r="F98" s="424"/>
      <c r="G98" s="424"/>
      <c r="H98" s="424"/>
      <c r="I98" s="314">
        <f t="shared" si="9"/>
        <v>74327</v>
      </c>
      <c r="J98" s="133"/>
      <c r="K98" s="133"/>
    </row>
    <row r="99" spans="1:11" ht="15" customHeight="1">
      <c r="A99" s="323">
        <f t="shared" si="16"/>
        <v>2038</v>
      </c>
      <c r="B99" s="324">
        <f t="shared" si="15"/>
        <v>73833</v>
      </c>
      <c r="C99" s="328">
        <f t="shared" si="12"/>
        <v>33</v>
      </c>
      <c r="D99" s="325"/>
      <c r="E99" s="325"/>
      <c r="F99" s="309"/>
      <c r="G99" s="309"/>
      <c r="H99" s="309"/>
      <c r="I99" s="326">
        <f t="shared" si="9"/>
        <v>73833</v>
      </c>
      <c r="J99" s="327"/>
      <c r="K99" s="327"/>
    </row>
    <row r="100" spans="1:11" ht="15" customHeight="1">
      <c r="A100" s="134"/>
      <c r="B100" s="135"/>
      <c r="C100" s="313"/>
      <c r="D100" s="132"/>
      <c r="E100" s="132"/>
      <c r="F100" s="424"/>
      <c r="G100" s="424"/>
      <c r="H100" s="424"/>
      <c r="I100" s="136"/>
      <c r="J100" s="136"/>
    </row>
    <row r="101" spans="1:11" ht="15" customHeight="1">
      <c r="A101" s="111" t="s">
        <v>350</v>
      </c>
    </row>
    <row r="102" spans="1:11" ht="15" customHeight="1">
      <c r="A102" s="113" t="s">
        <v>320</v>
      </c>
      <c r="B102" s="114" t="s">
        <v>351</v>
      </c>
      <c r="C102" s="115" t="s">
        <v>352</v>
      </c>
      <c r="D102" s="115" t="s">
        <v>353</v>
      </c>
      <c r="E102" s="137"/>
      <c r="F102" s="116"/>
      <c r="G102" s="117"/>
      <c r="H102" s="118" t="s">
        <v>1054</v>
      </c>
      <c r="I102" s="119">
        <f>RSQ(I104:I113,B104:B113)</f>
        <v>0.73636384167625391</v>
      </c>
      <c r="J102" s="120" t="s">
        <v>354</v>
      </c>
      <c r="K102" s="121" t="s">
        <v>355</v>
      </c>
    </row>
    <row r="103" spans="1:11" ht="15" customHeight="1">
      <c r="A103" s="310">
        <f t="shared" ref="A103:B118" si="17">A66</f>
        <v>2005</v>
      </c>
      <c r="B103" s="311">
        <f t="shared" si="17"/>
        <v>90931</v>
      </c>
      <c r="C103" s="138">
        <f>LN(B103)</f>
        <v>11.417856256130069</v>
      </c>
      <c r="D103" s="312"/>
      <c r="E103" s="139" t="s">
        <v>356</v>
      </c>
      <c r="F103" s="140"/>
      <c r="G103" s="141"/>
      <c r="H103" s="142"/>
      <c r="I103" s="314">
        <f t="shared" ref="I103:I136" si="18">ROUND($F$110*(1+$F$111)^D103,$G$1)</f>
        <v>90170</v>
      </c>
      <c r="J103" s="143">
        <f>ABS(B103-I103)/B103*100</f>
        <v>0.83689830750789063</v>
      </c>
      <c r="K103" s="143">
        <f>(B103-I103)^2/1000</f>
        <v>579.12099999999998</v>
      </c>
    </row>
    <row r="104" spans="1:11" ht="15" customHeight="1">
      <c r="A104" s="310">
        <f t="shared" si="17"/>
        <v>2006</v>
      </c>
      <c r="B104" s="311">
        <f t="shared" si="17"/>
        <v>89555</v>
      </c>
      <c r="C104" s="138">
        <f>LN(B104)</f>
        <v>11.402608240659358</v>
      </c>
      <c r="D104" s="312">
        <v>1</v>
      </c>
      <c r="E104" s="139" t="s">
        <v>357</v>
      </c>
      <c r="F104" s="313"/>
      <c r="G104" s="424"/>
      <c r="H104" s="124"/>
      <c r="I104" s="314">
        <f t="shared" si="18"/>
        <v>89658</v>
      </c>
      <c r="J104" s="143">
        <f>ABS(B104-I104)/B104*100</f>
        <v>0.11501312042878678</v>
      </c>
      <c r="K104" s="143">
        <f>(B104-I104)^2/1000</f>
        <v>10.609</v>
      </c>
    </row>
    <row r="105" spans="1:11" ht="15" customHeight="1">
      <c r="A105" s="310">
        <f t="shared" si="17"/>
        <v>2007</v>
      </c>
      <c r="B105" s="311">
        <f t="shared" si="17"/>
        <v>88685</v>
      </c>
      <c r="C105" s="138">
        <f>LN(B105)</f>
        <v>11.392846044639686</v>
      </c>
      <c r="D105" s="312">
        <f>D104+1</f>
        <v>2</v>
      </c>
      <c r="E105" s="423" t="s">
        <v>358</v>
      </c>
      <c r="G105" s="424"/>
      <c r="H105" s="124"/>
      <c r="I105" s="314">
        <f t="shared" si="18"/>
        <v>89150</v>
      </c>
      <c r="J105" s="143">
        <f>ABS(B105-I105)/B105*100</f>
        <v>0.52432767660822011</v>
      </c>
      <c r="K105" s="143">
        <f>(B105-I105)^2/1000</f>
        <v>216.22499999999999</v>
      </c>
    </row>
    <row r="106" spans="1:11" ht="15" customHeight="1">
      <c r="A106" s="310">
        <f t="shared" si="17"/>
        <v>2008</v>
      </c>
      <c r="B106" s="311">
        <f t="shared" si="17"/>
        <v>88176</v>
      </c>
      <c r="C106" s="138">
        <f t="shared" ref="C106:C113" si="19">LN(B106)</f>
        <v>11.387090096123016</v>
      </c>
      <c r="D106" s="312">
        <f t="shared" ref="D106:D136" si="20">D105+1</f>
        <v>3</v>
      </c>
      <c r="H106" s="124"/>
      <c r="I106" s="314">
        <f t="shared" si="18"/>
        <v>88644</v>
      </c>
      <c r="J106" s="143">
        <f t="shared" ref="J106:J112" si="21">ABS(B106-I106)/B106*100</f>
        <v>0.53075666848121938</v>
      </c>
      <c r="K106" s="143">
        <f t="shared" ref="K106:K112" si="22">(B106-I106)^2/1000</f>
        <v>219.024</v>
      </c>
    </row>
    <row r="107" spans="1:11" ht="15" customHeight="1">
      <c r="A107" s="310">
        <f t="shared" si="17"/>
        <v>2009</v>
      </c>
      <c r="B107" s="311">
        <f t="shared" si="17"/>
        <v>87631</v>
      </c>
      <c r="C107" s="138">
        <f t="shared" si="19"/>
        <v>11.38089009560181</v>
      </c>
      <c r="D107" s="312">
        <f t="shared" si="20"/>
        <v>4</v>
      </c>
      <c r="E107" s="81" t="s">
        <v>359</v>
      </c>
      <c r="F107" s="126" t="s">
        <v>360</v>
      </c>
      <c r="G107" s="144">
        <f>INDEX(LINEST(C104:C113,D104:D113),2)</f>
        <v>11.409449722775527</v>
      </c>
      <c r="H107" s="124"/>
      <c r="I107" s="314">
        <f t="shared" si="18"/>
        <v>88141</v>
      </c>
      <c r="J107" s="143">
        <f t="shared" si="21"/>
        <v>0.58198582693339118</v>
      </c>
      <c r="K107" s="143">
        <f t="shared" si="22"/>
        <v>260.10000000000002</v>
      </c>
    </row>
    <row r="108" spans="1:11" ht="15" customHeight="1">
      <c r="A108" s="310">
        <f t="shared" si="17"/>
        <v>2010</v>
      </c>
      <c r="B108" s="311">
        <f t="shared" si="17"/>
        <v>88078</v>
      </c>
      <c r="C108" s="138">
        <f t="shared" si="19"/>
        <v>11.385978064508427</v>
      </c>
      <c r="D108" s="312">
        <f t="shared" si="20"/>
        <v>5</v>
      </c>
      <c r="E108" s="81" t="s">
        <v>361</v>
      </c>
      <c r="F108" s="126" t="s">
        <v>362</v>
      </c>
      <c r="G108" s="144">
        <f>INDEX(LINEST(C104:C113,D104:D113),1)</f>
        <v>-5.6880349351026704E-3</v>
      </c>
      <c r="H108" s="124"/>
      <c r="I108" s="314">
        <f t="shared" si="18"/>
        <v>87641</v>
      </c>
      <c r="J108" s="143">
        <f t="shared" si="21"/>
        <v>0.4961511387633688</v>
      </c>
      <c r="K108" s="143">
        <f t="shared" si="22"/>
        <v>190.96899999999999</v>
      </c>
    </row>
    <row r="109" spans="1:11" ht="15" customHeight="1">
      <c r="A109" s="310">
        <f t="shared" si="17"/>
        <v>2011</v>
      </c>
      <c r="B109" s="311">
        <f t="shared" si="17"/>
        <v>88108</v>
      </c>
      <c r="C109" s="138">
        <f t="shared" si="19"/>
        <v>11.386318613704049</v>
      </c>
      <c r="D109" s="312">
        <f t="shared" si="20"/>
        <v>6</v>
      </c>
      <c r="H109" s="124"/>
      <c r="I109" s="314">
        <f t="shared" si="18"/>
        <v>87144</v>
      </c>
      <c r="J109" s="143">
        <f t="shared" si="21"/>
        <v>1.0941117719162845</v>
      </c>
      <c r="K109" s="143">
        <f t="shared" si="22"/>
        <v>929.29600000000005</v>
      </c>
    </row>
    <row r="110" spans="1:11" ht="15" customHeight="1">
      <c r="A110" s="310">
        <f t="shared" si="17"/>
        <v>2012</v>
      </c>
      <c r="B110" s="311">
        <f t="shared" si="17"/>
        <v>88415</v>
      </c>
      <c r="C110" s="138">
        <f t="shared" si="19"/>
        <v>11.389796917489077</v>
      </c>
      <c r="D110" s="312">
        <f t="shared" si="20"/>
        <v>7</v>
      </c>
      <c r="E110" s="81" t="s">
        <v>363</v>
      </c>
      <c r="F110" s="145">
        <f>EXP(G107)</f>
        <v>90169.789568855122</v>
      </c>
      <c r="G110" s="424"/>
      <c r="H110" s="124"/>
      <c r="I110" s="314">
        <f t="shared" si="18"/>
        <v>86650</v>
      </c>
      <c r="J110" s="143">
        <f t="shared" si="21"/>
        <v>1.9962676016513037</v>
      </c>
      <c r="K110" s="143">
        <f t="shared" si="22"/>
        <v>3115.2249999999999</v>
      </c>
    </row>
    <row r="111" spans="1:11" ht="15" customHeight="1">
      <c r="A111" s="310">
        <f t="shared" si="17"/>
        <v>2013</v>
      </c>
      <c r="B111" s="311">
        <f t="shared" si="17"/>
        <v>85843</v>
      </c>
      <c r="C111" s="138">
        <f t="shared" si="19"/>
        <v>11.360275325435733</v>
      </c>
      <c r="D111" s="312">
        <f t="shared" si="20"/>
        <v>8</v>
      </c>
      <c r="E111" s="81" t="s">
        <v>364</v>
      </c>
      <c r="F111" s="146">
        <f>EXP(G108)-1</f>
        <v>-5.6718886923607936E-3</v>
      </c>
      <c r="G111" s="424"/>
      <c r="H111" s="424"/>
      <c r="I111" s="314">
        <f t="shared" si="18"/>
        <v>86159</v>
      </c>
      <c r="J111" s="143">
        <f t="shared" si="21"/>
        <v>0.36811388232004938</v>
      </c>
      <c r="K111" s="143">
        <f t="shared" si="22"/>
        <v>99.855999999999995</v>
      </c>
    </row>
    <row r="112" spans="1:11" ht="15" customHeight="1">
      <c r="A112" s="310">
        <f t="shared" si="17"/>
        <v>2014</v>
      </c>
      <c r="B112" s="311">
        <f t="shared" si="17"/>
        <v>85853</v>
      </c>
      <c r="C112" s="138">
        <f t="shared" si="19"/>
        <v>11.360391810386009</v>
      </c>
      <c r="D112" s="312">
        <f t="shared" si="20"/>
        <v>9</v>
      </c>
      <c r="E112" s="424"/>
      <c r="F112" s="424"/>
      <c r="G112" s="222"/>
      <c r="H112" s="424"/>
      <c r="I112" s="314">
        <f t="shared" si="18"/>
        <v>85670</v>
      </c>
      <c r="J112" s="143">
        <f t="shared" si="21"/>
        <v>0.21315504408698591</v>
      </c>
      <c r="K112" s="143">
        <f t="shared" si="22"/>
        <v>33.488999999999997</v>
      </c>
    </row>
    <row r="113" spans="1:11" ht="15" customHeight="1" thickBot="1">
      <c r="A113" s="281">
        <f t="shared" si="17"/>
        <v>2015</v>
      </c>
      <c r="B113" s="276">
        <f t="shared" si="17"/>
        <v>83739</v>
      </c>
      <c r="C113" s="268">
        <f t="shared" si="19"/>
        <v>11.335460097777446</v>
      </c>
      <c r="D113" s="318">
        <f t="shared" si="20"/>
        <v>10</v>
      </c>
      <c r="E113" s="317"/>
      <c r="F113" s="317"/>
      <c r="G113" s="317"/>
      <c r="H113" s="317"/>
      <c r="I113" s="276">
        <f t="shared" si="18"/>
        <v>85184</v>
      </c>
      <c r="J113" s="282">
        <f>ABS(B113-I113)/B113*100</f>
        <v>1.7255997802696474</v>
      </c>
      <c r="K113" s="282">
        <f>(B113-I113)^2/1000</f>
        <v>2088.0250000000001</v>
      </c>
    </row>
    <row r="114" spans="1:11" ht="15" customHeight="1" thickTop="1">
      <c r="A114" s="310">
        <f t="shared" si="17"/>
        <v>2016</v>
      </c>
      <c r="B114" s="311">
        <f t="shared" ref="B114:B136" si="23">ROUND($F$110*(1+$F$111)^D114,$G$1)</f>
        <v>84701</v>
      </c>
      <c r="C114" s="138"/>
      <c r="D114" s="312">
        <f t="shared" si="20"/>
        <v>11</v>
      </c>
      <c r="H114" s="424"/>
      <c r="I114" s="314">
        <f t="shared" si="18"/>
        <v>84701</v>
      </c>
      <c r="J114" s="322"/>
      <c r="K114" s="314"/>
    </row>
    <row r="115" spans="1:11" ht="15" customHeight="1">
      <c r="A115" s="310">
        <f t="shared" si="17"/>
        <v>2017</v>
      </c>
      <c r="B115" s="311">
        <f t="shared" si="23"/>
        <v>84220</v>
      </c>
      <c r="C115" s="138"/>
      <c r="D115" s="312">
        <f t="shared" si="20"/>
        <v>12</v>
      </c>
      <c r="H115" s="424"/>
      <c r="I115" s="314">
        <f t="shared" si="18"/>
        <v>84220</v>
      </c>
      <c r="J115" s="322"/>
      <c r="K115" s="314"/>
    </row>
    <row r="116" spans="1:11" ht="15" customHeight="1">
      <c r="A116" s="310">
        <f t="shared" si="17"/>
        <v>2018</v>
      </c>
      <c r="B116" s="311">
        <f t="shared" si="23"/>
        <v>83743</v>
      </c>
      <c r="C116" s="138"/>
      <c r="D116" s="312">
        <f t="shared" si="20"/>
        <v>13</v>
      </c>
      <c r="H116" s="424"/>
      <c r="I116" s="314">
        <f t="shared" si="18"/>
        <v>83743</v>
      </c>
      <c r="J116" s="322"/>
      <c r="K116" s="314"/>
    </row>
    <row r="117" spans="1:11" ht="15" customHeight="1">
      <c r="A117" s="310">
        <f t="shared" si="17"/>
        <v>2019</v>
      </c>
      <c r="B117" s="311">
        <f t="shared" si="23"/>
        <v>83268</v>
      </c>
      <c r="C117" s="138"/>
      <c r="D117" s="312">
        <f t="shared" si="20"/>
        <v>14</v>
      </c>
      <c r="H117" s="424"/>
      <c r="I117" s="314">
        <f t="shared" si="18"/>
        <v>83268</v>
      </c>
      <c r="J117" s="322"/>
      <c r="K117" s="314"/>
    </row>
    <row r="118" spans="1:11" ht="15" customHeight="1">
      <c r="A118" s="310">
        <f t="shared" si="17"/>
        <v>2020</v>
      </c>
      <c r="B118" s="311">
        <f t="shared" si="23"/>
        <v>82796</v>
      </c>
      <c r="C118" s="138"/>
      <c r="D118" s="312">
        <f t="shared" si="20"/>
        <v>15</v>
      </c>
      <c r="E118" s="139"/>
      <c r="F118" s="313"/>
      <c r="G118" s="424"/>
      <c r="H118" s="424"/>
      <c r="I118" s="314">
        <f t="shared" si="18"/>
        <v>82796</v>
      </c>
      <c r="J118" s="322"/>
      <c r="K118" s="314"/>
    </row>
    <row r="119" spans="1:11" ht="15" customHeight="1">
      <c r="A119" s="310">
        <f t="shared" ref="A119:A136" si="24">A82</f>
        <v>2021</v>
      </c>
      <c r="B119" s="311">
        <f t="shared" si="23"/>
        <v>82326</v>
      </c>
      <c r="C119" s="138"/>
      <c r="D119" s="312">
        <f t="shared" si="20"/>
        <v>16</v>
      </c>
      <c r="E119" s="974" t="s">
        <v>365</v>
      </c>
      <c r="F119" s="975"/>
      <c r="G119" s="149">
        <f>I102</f>
        <v>0.73636384167625391</v>
      </c>
      <c r="H119" s="424"/>
      <c r="I119" s="314">
        <f t="shared" si="18"/>
        <v>82326</v>
      </c>
      <c r="J119" s="322"/>
      <c r="K119" s="314"/>
    </row>
    <row r="120" spans="1:11" s="424" customFormat="1" ht="15" customHeight="1">
      <c r="A120" s="310">
        <f t="shared" si="24"/>
        <v>2022</v>
      </c>
      <c r="B120" s="311">
        <f t="shared" si="23"/>
        <v>81859</v>
      </c>
      <c r="C120" s="138"/>
      <c r="D120" s="312">
        <f t="shared" si="20"/>
        <v>17</v>
      </c>
      <c r="E120" s="972" t="s">
        <v>366</v>
      </c>
      <c r="F120" s="973"/>
      <c r="G120" s="269">
        <f>SUM(K104:K113)</f>
        <v>7162.8179999999993</v>
      </c>
      <c r="I120" s="314">
        <f t="shared" si="18"/>
        <v>81859</v>
      </c>
      <c r="J120" s="322"/>
      <c r="K120" s="314"/>
    </row>
    <row r="121" spans="1:11" ht="15" customHeight="1">
      <c r="A121" s="310">
        <f t="shared" si="24"/>
        <v>2023</v>
      </c>
      <c r="B121" s="311">
        <f t="shared" si="23"/>
        <v>81395</v>
      </c>
      <c r="C121" s="138"/>
      <c r="D121" s="312">
        <f t="shared" si="20"/>
        <v>18</v>
      </c>
      <c r="E121" s="972" t="s">
        <v>367</v>
      </c>
      <c r="F121" s="973"/>
      <c r="G121" s="151">
        <f>SUM(J104:J113)/10</f>
        <v>0.76454825114592562</v>
      </c>
      <c r="H121" s="424"/>
      <c r="I121" s="314">
        <f t="shared" si="18"/>
        <v>81395</v>
      </c>
      <c r="J121" s="322"/>
      <c r="K121" s="314"/>
    </row>
    <row r="122" spans="1:11" s="424" customFormat="1" ht="15" customHeight="1">
      <c r="A122" s="310">
        <f t="shared" si="24"/>
        <v>2024</v>
      </c>
      <c r="B122" s="311">
        <f t="shared" si="23"/>
        <v>80933</v>
      </c>
      <c r="C122" s="138"/>
      <c r="D122" s="312">
        <f t="shared" si="20"/>
        <v>19</v>
      </c>
      <c r="E122" s="972" t="s">
        <v>368</v>
      </c>
      <c r="F122" s="973"/>
      <c r="G122" s="269">
        <f>SUM(K108:K113)</f>
        <v>6456.8599999999988</v>
      </c>
      <c r="I122" s="314">
        <f t="shared" si="18"/>
        <v>80933</v>
      </c>
      <c r="J122" s="322"/>
      <c r="K122" s="314"/>
    </row>
    <row r="123" spans="1:11" s="424" customFormat="1" ht="15" customHeight="1">
      <c r="A123" s="310">
        <f t="shared" si="24"/>
        <v>2025</v>
      </c>
      <c r="B123" s="311">
        <f t="shared" si="23"/>
        <v>80474</v>
      </c>
      <c r="C123" s="138"/>
      <c r="D123" s="312">
        <f t="shared" si="20"/>
        <v>20</v>
      </c>
      <c r="E123" s="972" t="s">
        <v>369</v>
      </c>
      <c r="F123" s="973"/>
      <c r="G123" s="151">
        <f>SUM(J108:J113)/5</f>
        <v>1.1786798438015278</v>
      </c>
      <c r="I123" s="314">
        <f t="shared" si="18"/>
        <v>80474</v>
      </c>
      <c r="J123" s="322"/>
      <c r="K123" s="314"/>
    </row>
    <row r="124" spans="1:11" s="424" customFormat="1" ht="15" customHeight="1">
      <c r="A124" s="310">
        <f t="shared" si="24"/>
        <v>2026</v>
      </c>
      <c r="B124" s="311">
        <f t="shared" si="23"/>
        <v>80018</v>
      </c>
      <c r="C124" s="138"/>
      <c r="D124" s="312">
        <f t="shared" si="20"/>
        <v>21</v>
      </c>
      <c r="G124" s="172"/>
      <c r="I124" s="314">
        <f t="shared" si="18"/>
        <v>80018</v>
      </c>
      <c r="J124" s="322"/>
      <c r="K124" s="314"/>
    </row>
    <row r="125" spans="1:11" s="424" customFormat="1" ht="15" customHeight="1">
      <c r="A125" s="310">
        <f t="shared" si="24"/>
        <v>2027</v>
      </c>
      <c r="B125" s="311">
        <f t="shared" si="23"/>
        <v>79564</v>
      </c>
      <c r="C125" s="138"/>
      <c r="D125" s="312">
        <f t="shared" si="20"/>
        <v>22</v>
      </c>
      <c r="E125" s="152"/>
      <c r="I125" s="314">
        <f t="shared" si="18"/>
        <v>79564</v>
      </c>
      <c r="J125" s="322"/>
      <c r="K125" s="314"/>
    </row>
    <row r="126" spans="1:11" ht="15" customHeight="1">
      <c r="A126" s="310">
        <f t="shared" si="24"/>
        <v>2028</v>
      </c>
      <c r="B126" s="311">
        <f t="shared" si="23"/>
        <v>79112</v>
      </c>
      <c r="C126" s="153"/>
      <c r="D126" s="312">
        <f t="shared" si="20"/>
        <v>23</v>
      </c>
      <c r="E126" s="154"/>
      <c r="F126" s="132"/>
      <c r="G126" s="424"/>
      <c r="H126" s="424"/>
      <c r="I126" s="314">
        <f t="shared" si="18"/>
        <v>79112</v>
      </c>
      <c r="J126" s="133"/>
      <c r="K126" s="133"/>
    </row>
    <row r="127" spans="1:11" ht="15" customHeight="1">
      <c r="A127" s="310">
        <f t="shared" si="24"/>
        <v>2029</v>
      </c>
      <c r="B127" s="311">
        <f t="shared" si="23"/>
        <v>78664</v>
      </c>
      <c r="C127" s="153"/>
      <c r="D127" s="312">
        <f t="shared" si="20"/>
        <v>24</v>
      </c>
      <c r="E127" s="154"/>
      <c r="F127" s="132"/>
      <c r="G127" s="424"/>
      <c r="H127" s="424"/>
      <c r="I127" s="314">
        <f t="shared" si="18"/>
        <v>78664</v>
      </c>
      <c r="J127" s="133"/>
      <c r="K127" s="133"/>
    </row>
    <row r="128" spans="1:11" ht="15" customHeight="1">
      <c r="A128" s="310">
        <f t="shared" si="24"/>
        <v>2030</v>
      </c>
      <c r="B128" s="311">
        <f t="shared" si="23"/>
        <v>78218</v>
      </c>
      <c r="C128" s="153"/>
      <c r="D128" s="312">
        <f t="shared" si="20"/>
        <v>25</v>
      </c>
      <c r="E128" s="154"/>
      <c r="F128" s="132"/>
      <c r="G128" s="424"/>
      <c r="H128" s="424"/>
      <c r="I128" s="314">
        <f t="shared" si="18"/>
        <v>78218</v>
      </c>
      <c r="J128" s="133"/>
      <c r="K128" s="133"/>
    </row>
    <row r="129" spans="1:130" ht="15" customHeight="1">
      <c r="A129" s="310">
        <f t="shared" si="24"/>
        <v>2031</v>
      </c>
      <c r="B129" s="311">
        <f t="shared" si="23"/>
        <v>77774</v>
      </c>
      <c r="C129" s="153"/>
      <c r="D129" s="312">
        <f t="shared" si="20"/>
        <v>26</v>
      </c>
      <c r="E129" s="154"/>
      <c r="F129" s="132"/>
      <c r="G129" s="424"/>
      <c r="H129" s="424"/>
      <c r="I129" s="314">
        <f t="shared" si="18"/>
        <v>77774</v>
      </c>
      <c r="J129" s="133"/>
      <c r="K129" s="133"/>
    </row>
    <row r="130" spans="1:130" ht="15" customHeight="1">
      <c r="A130" s="310">
        <f t="shared" si="24"/>
        <v>2032</v>
      </c>
      <c r="B130" s="311">
        <f t="shared" si="23"/>
        <v>77333</v>
      </c>
      <c r="C130" s="153"/>
      <c r="D130" s="312">
        <f t="shared" si="20"/>
        <v>27</v>
      </c>
      <c r="E130" s="154"/>
      <c r="F130" s="132"/>
      <c r="G130" s="424"/>
      <c r="H130" s="424"/>
      <c r="I130" s="314">
        <f t="shared" si="18"/>
        <v>77333</v>
      </c>
      <c r="J130" s="133"/>
      <c r="K130" s="133"/>
    </row>
    <row r="131" spans="1:130" ht="15" customHeight="1">
      <c r="A131" s="310">
        <f t="shared" si="24"/>
        <v>2033</v>
      </c>
      <c r="B131" s="311">
        <f t="shared" si="23"/>
        <v>76894</v>
      </c>
      <c r="C131" s="153"/>
      <c r="D131" s="312">
        <f t="shared" si="20"/>
        <v>28</v>
      </c>
      <c r="E131" s="154"/>
      <c r="F131" s="132"/>
      <c r="G131" s="424"/>
      <c r="H131" s="424"/>
      <c r="I131" s="314">
        <f t="shared" si="18"/>
        <v>76894</v>
      </c>
      <c r="J131" s="133"/>
      <c r="K131" s="133"/>
    </row>
    <row r="132" spans="1:130" ht="15" customHeight="1">
      <c r="A132" s="310">
        <f t="shared" si="24"/>
        <v>2034</v>
      </c>
      <c r="B132" s="311">
        <f t="shared" si="23"/>
        <v>76458</v>
      </c>
      <c r="C132" s="153"/>
      <c r="D132" s="312">
        <f t="shared" si="20"/>
        <v>29</v>
      </c>
      <c r="E132" s="154"/>
      <c r="F132" s="132"/>
      <c r="G132" s="424"/>
      <c r="H132" s="424"/>
      <c r="I132" s="314">
        <f t="shared" si="18"/>
        <v>76458</v>
      </c>
      <c r="J132" s="133"/>
      <c r="K132" s="133"/>
    </row>
    <row r="133" spans="1:130" ht="15" customHeight="1">
      <c r="A133" s="310">
        <f t="shared" si="24"/>
        <v>2035</v>
      </c>
      <c r="B133" s="311">
        <f t="shared" si="23"/>
        <v>76024</v>
      </c>
      <c r="C133" s="153"/>
      <c r="D133" s="312">
        <f t="shared" si="20"/>
        <v>30</v>
      </c>
      <c r="E133" s="154"/>
      <c r="F133" s="132"/>
      <c r="G133" s="424"/>
      <c r="H133" s="424"/>
      <c r="I133" s="314">
        <f t="shared" si="18"/>
        <v>76024</v>
      </c>
      <c r="J133" s="133"/>
      <c r="K133" s="133"/>
    </row>
    <row r="134" spans="1:130" ht="15" customHeight="1">
      <c r="A134" s="310">
        <f t="shared" si="24"/>
        <v>2036</v>
      </c>
      <c r="B134" s="311">
        <f t="shared" si="23"/>
        <v>75593</v>
      </c>
      <c r="C134" s="153"/>
      <c r="D134" s="312">
        <f t="shared" si="20"/>
        <v>31</v>
      </c>
      <c r="E134" s="154"/>
      <c r="F134" s="132"/>
      <c r="G134" s="424"/>
      <c r="H134" s="424"/>
      <c r="I134" s="314">
        <f t="shared" si="18"/>
        <v>75593</v>
      </c>
      <c r="J134" s="133"/>
      <c r="K134" s="133"/>
      <c r="BY134" s="423">
        <f>LN(O$253-$B260)</f>
        <v>8.2166311943723649</v>
      </c>
    </row>
    <row r="135" spans="1:130" ht="15" customHeight="1">
      <c r="A135" s="310">
        <f t="shared" si="24"/>
        <v>2037</v>
      </c>
      <c r="B135" s="311">
        <f t="shared" si="23"/>
        <v>75164</v>
      </c>
      <c r="C135" s="153"/>
      <c r="D135" s="312">
        <f t="shared" si="20"/>
        <v>32</v>
      </c>
      <c r="E135" s="154"/>
      <c r="F135" s="132"/>
      <c r="G135" s="424"/>
      <c r="H135" s="424"/>
      <c r="I135" s="314">
        <f t="shared" si="18"/>
        <v>75164</v>
      </c>
      <c r="J135" s="133"/>
      <c r="K135" s="133"/>
    </row>
    <row r="136" spans="1:130" ht="15" customHeight="1">
      <c r="A136" s="323">
        <f t="shared" si="24"/>
        <v>2038</v>
      </c>
      <c r="B136" s="324">
        <f t="shared" si="23"/>
        <v>74738</v>
      </c>
      <c r="C136" s="155"/>
      <c r="D136" s="312">
        <f t="shared" si="20"/>
        <v>33</v>
      </c>
      <c r="E136" s="156"/>
      <c r="F136" s="325"/>
      <c r="G136" s="309"/>
      <c r="H136" s="309"/>
      <c r="I136" s="326">
        <f t="shared" si="18"/>
        <v>74738</v>
      </c>
      <c r="J136" s="327"/>
      <c r="K136" s="327"/>
    </row>
    <row r="137" spans="1:130" ht="15" customHeight="1">
      <c r="A137" s="134"/>
      <c r="B137" s="157"/>
      <c r="C137" s="424"/>
      <c r="D137" s="313"/>
      <c r="E137" s="158"/>
      <c r="F137" s="132"/>
      <c r="G137" s="424"/>
      <c r="H137" s="424"/>
      <c r="I137" s="159"/>
      <c r="J137" s="159"/>
      <c r="BX137" s="423">
        <v>-1</v>
      </c>
      <c r="BY137" s="423" t="e">
        <f>LN(BX137)</f>
        <v>#NUM!</v>
      </c>
    </row>
    <row r="138" spans="1:130" ht="15" customHeight="1">
      <c r="A138" s="111" t="s">
        <v>370</v>
      </c>
      <c r="CD138" s="424"/>
      <c r="CE138" s="424"/>
      <c r="CF138" s="424"/>
      <c r="CG138" s="424"/>
      <c r="CH138" s="424"/>
      <c r="CI138" s="424"/>
      <c r="CJ138" s="424"/>
      <c r="CK138" s="424"/>
      <c r="CL138" s="424"/>
      <c r="CM138" s="424"/>
      <c r="CN138" s="424"/>
      <c r="CO138" s="424"/>
      <c r="CP138" s="424"/>
      <c r="CQ138" s="424"/>
      <c r="CR138" s="424"/>
      <c r="CS138" s="424"/>
      <c r="CT138" s="424"/>
      <c r="CU138" s="424"/>
      <c r="CV138" s="424"/>
      <c r="CW138" s="424"/>
      <c r="CX138" s="424"/>
      <c r="CY138" s="424"/>
      <c r="CZ138" s="424"/>
      <c r="DA138" s="424"/>
      <c r="DB138" s="424"/>
      <c r="DC138" s="424"/>
      <c r="DD138" s="424"/>
      <c r="DE138" s="424"/>
      <c r="DF138" s="424"/>
      <c r="DG138" s="424"/>
      <c r="DH138" s="424"/>
      <c r="DI138" s="424"/>
      <c r="DJ138" s="424"/>
      <c r="DK138" s="424"/>
      <c r="DL138" s="424"/>
      <c r="DM138" s="424"/>
      <c r="DN138" s="424"/>
      <c r="DO138" s="424"/>
      <c r="DP138" s="424"/>
      <c r="DQ138" s="424"/>
      <c r="DR138" s="424"/>
      <c r="DS138" s="424"/>
      <c r="DT138" s="424"/>
      <c r="DU138" s="424"/>
      <c r="DV138" s="424"/>
      <c r="DW138" s="424"/>
      <c r="DX138" s="424"/>
      <c r="DY138" s="424"/>
      <c r="DZ138" s="424"/>
    </row>
    <row r="139" spans="1:130" ht="15" customHeight="1">
      <c r="A139" s="113" t="s">
        <v>320</v>
      </c>
      <c r="B139" s="114" t="s">
        <v>371</v>
      </c>
      <c r="C139" s="115" t="s">
        <v>372</v>
      </c>
      <c r="D139" s="115" t="s">
        <v>373</v>
      </c>
      <c r="E139" s="137"/>
      <c r="F139" s="116"/>
      <c r="G139" s="117"/>
      <c r="H139" s="118" t="s">
        <v>1054</v>
      </c>
      <c r="I139" s="119">
        <f>RSQ(I141:I150,B141:B150)</f>
        <v>0.73638175264017702</v>
      </c>
      <c r="J139" s="120" t="s">
        <v>374</v>
      </c>
      <c r="K139" s="121" t="s">
        <v>375</v>
      </c>
      <c r="M139" s="160" t="s">
        <v>372</v>
      </c>
      <c r="N139" s="117"/>
      <c r="O139" s="117"/>
      <c r="P139" s="161" t="s">
        <v>1055</v>
      </c>
      <c r="Q139" s="162">
        <f>RSQ($B141:$B150,Q141:Q150)</f>
        <v>0.73636384167625391</v>
      </c>
      <c r="R139" s="121" t="s">
        <v>375</v>
      </c>
      <c r="T139" s="160" t="s">
        <v>372</v>
      </c>
      <c r="U139" s="117"/>
      <c r="V139" s="117"/>
      <c r="W139" s="161" t="s">
        <v>1055</v>
      </c>
      <c r="X139" s="162">
        <f>RSQ($B141:$B150,X141:X150)</f>
        <v>0.73638175264017702</v>
      </c>
      <c r="Y139" s="121" t="s">
        <v>375</v>
      </c>
      <c r="AA139" s="160" t="s">
        <v>372</v>
      </c>
      <c r="AB139" s="117"/>
      <c r="AC139" s="117"/>
      <c r="AD139" s="161" t="s">
        <v>1055</v>
      </c>
      <c r="AE139" s="162">
        <f>RSQ($B141:$B150,AE141:AE150)</f>
        <v>0.73638175264017702</v>
      </c>
      <c r="AF139" s="121" t="s">
        <v>375</v>
      </c>
      <c r="AH139" s="160" t="s">
        <v>372</v>
      </c>
      <c r="AI139" s="117"/>
      <c r="AJ139" s="117"/>
      <c r="AK139" s="161" t="s">
        <v>1055</v>
      </c>
      <c r="AL139" s="162">
        <f>RSQ($B141:$B150,AL141:AL150)</f>
        <v>0.73625386539450455</v>
      </c>
      <c r="AM139" s="121" t="s">
        <v>375</v>
      </c>
      <c r="AO139" s="160" t="s">
        <v>372</v>
      </c>
      <c r="AP139" s="117"/>
      <c r="AQ139" s="117"/>
      <c r="AR139" s="161" t="s">
        <v>1055</v>
      </c>
      <c r="AS139" s="162">
        <f>RSQ($B141:$B150,AS141:AS150)</f>
        <v>0.73620279022778157</v>
      </c>
      <c r="AT139" s="121" t="s">
        <v>375</v>
      </c>
      <c r="AV139" s="160" t="s">
        <v>372</v>
      </c>
      <c r="AW139" s="117"/>
      <c r="AX139" s="117"/>
      <c r="AY139" s="161" t="s">
        <v>1055</v>
      </c>
      <c r="AZ139" s="162">
        <f>RSQ($B141:$B150,AZ141:AZ150)</f>
        <v>0.73613299390883102</v>
      </c>
      <c r="BA139" s="121" t="s">
        <v>375</v>
      </c>
      <c r="BC139" s="160" t="s">
        <v>372</v>
      </c>
      <c r="BD139" s="117"/>
      <c r="BE139" s="117"/>
      <c r="BF139" s="161" t="s">
        <v>1055</v>
      </c>
      <c r="BG139" s="162">
        <f>RSQ($B141:$B150,BG141:BG150)</f>
        <v>0.73611910047215701</v>
      </c>
      <c r="BH139" s="121" t="s">
        <v>375</v>
      </c>
      <c r="BJ139" s="160" t="s">
        <v>372</v>
      </c>
      <c r="BK139" s="117"/>
      <c r="BL139" s="117"/>
      <c r="BM139" s="161" t="s">
        <v>1055</v>
      </c>
      <c r="BN139" s="162">
        <f>RSQ($B141:$B150,BN141:BN150)</f>
        <v>0.73611910047215701</v>
      </c>
      <c r="BO139" s="121" t="s">
        <v>375</v>
      </c>
      <c r="BQ139" s="160" t="s">
        <v>372</v>
      </c>
      <c r="BR139" s="117"/>
      <c r="BS139" s="117"/>
      <c r="BT139" s="161" t="s">
        <v>1055</v>
      </c>
      <c r="BU139" s="162">
        <f>RSQ($B141:$B150,BU141:BU150)</f>
        <v>0.7359912775419053</v>
      </c>
      <c r="BV139" s="121" t="s">
        <v>375</v>
      </c>
      <c r="BX139" s="160" t="s">
        <v>372</v>
      </c>
      <c r="BY139" s="117"/>
      <c r="BZ139" s="117"/>
      <c r="CA139" s="161" t="s">
        <v>1055</v>
      </c>
      <c r="CB139" s="162">
        <f>RSQ($B141:$B150,CB141:CB150)</f>
        <v>0.73591511215901229</v>
      </c>
      <c r="CC139" s="121" t="s">
        <v>375</v>
      </c>
      <c r="CD139" s="424"/>
      <c r="CE139" s="313"/>
      <c r="CF139" s="424"/>
      <c r="CG139" s="424"/>
      <c r="CH139" s="124"/>
      <c r="CI139" s="163"/>
      <c r="CJ139" s="164"/>
      <c r="CK139" s="424"/>
      <c r="CL139" s="313"/>
      <c r="CM139" s="424"/>
      <c r="CN139" s="424"/>
      <c r="CO139" s="124"/>
      <c r="CP139" s="163"/>
      <c r="CQ139" s="164"/>
      <c r="CR139" s="424"/>
      <c r="CS139" s="313"/>
      <c r="CT139" s="424"/>
      <c r="CU139" s="424"/>
      <c r="CV139" s="124"/>
      <c r="CW139" s="163"/>
      <c r="CX139" s="164"/>
      <c r="CY139" s="424"/>
      <c r="CZ139" s="313"/>
      <c r="DA139" s="424"/>
      <c r="DB139" s="424"/>
      <c r="DC139" s="124"/>
      <c r="DD139" s="163"/>
      <c r="DE139" s="164"/>
      <c r="DF139" s="424"/>
      <c r="DG139" s="313"/>
      <c r="DH139" s="424"/>
      <c r="DI139" s="424"/>
      <c r="DJ139" s="124"/>
      <c r="DK139" s="163"/>
      <c r="DL139" s="164"/>
      <c r="DM139" s="424"/>
      <c r="DN139" s="313"/>
      <c r="DO139" s="424"/>
      <c r="DP139" s="424"/>
      <c r="DQ139" s="124"/>
      <c r="DR139" s="163"/>
      <c r="DS139" s="164"/>
      <c r="DT139" s="424"/>
      <c r="DU139" s="424"/>
      <c r="DV139" s="424"/>
      <c r="DW139" s="424"/>
      <c r="DX139" s="424"/>
      <c r="DY139" s="424"/>
      <c r="DZ139" s="424"/>
    </row>
    <row r="140" spans="1:130" ht="15" customHeight="1">
      <c r="A140" s="310">
        <f t="shared" ref="A140:B155" si="25">A103</f>
        <v>2005</v>
      </c>
      <c r="B140" s="311">
        <f t="shared" si="25"/>
        <v>90931</v>
      </c>
      <c r="C140" s="138">
        <f>LN(B140-$F$144)</f>
        <v>11.395616067129744</v>
      </c>
      <c r="D140" s="312"/>
      <c r="E140" s="139" t="s">
        <v>376</v>
      </c>
      <c r="F140" s="140"/>
      <c r="G140" s="141"/>
      <c r="H140" s="142"/>
      <c r="I140" s="314">
        <f t="shared" ref="I140:I173" si="26">ROUND($F$148*(1+$F$149)^D140+$F$144,$G$1)</f>
        <v>90171</v>
      </c>
      <c r="J140" s="143">
        <f>ABS(B140-I140)/B140*100</f>
        <v>0.83579857254401679</v>
      </c>
      <c r="K140" s="143">
        <f>(B140-I140)^2/1000</f>
        <v>577.6</v>
      </c>
      <c r="M140" s="165">
        <f t="shared" ref="M140:M150" si="27">LN($B140-O$140)</f>
        <v>11.417856256130069</v>
      </c>
      <c r="N140" s="126" t="s">
        <v>377</v>
      </c>
      <c r="O140" s="424">
        <v>0</v>
      </c>
      <c r="P140" s="424"/>
      <c r="Q140" s="314">
        <f t="shared" ref="Q140:Q150" si="28">ROUND(O$144*(1+O$145)^$D140+O$140,$G$1)</f>
        <v>90170</v>
      </c>
      <c r="R140" s="316">
        <f>($B140-Q140)^2/1000</f>
        <v>579.12099999999998</v>
      </c>
      <c r="T140" s="165">
        <f t="shared" ref="T140:T150" si="29">LN($B140-V$140)</f>
        <v>11.40679798860655</v>
      </c>
      <c r="U140" s="126" t="s">
        <v>377</v>
      </c>
      <c r="V140" s="166">
        <f>O140+V153</f>
        <v>1000</v>
      </c>
      <c r="W140" s="424"/>
      <c r="X140" s="314">
        <f t="shared" ref="X140:X150" si="30">ROUND(V$144*(1+V$145)^$D140+V$140,$G$1)</f>
        <v>90170</v>
      </c>
      <c r="Y140" s="316">
        <f>($B140-X140)^2/1000</f>
        <v>579.12099999999998</v>
      </c>
      <c r="AA140" s="165">
        <f t="shared" ref="AA140:AA150" si="31">LN($B140-AC$140)</f>
        <v>11.395616067129744</v>
      </c>
      <c r="AB140" s="126" t="s">
        <v>377</v>
      </c>
      <c r="AC140" s="166">
        <f>V140+AC153</f>
        <v>2000</v>
      </c>
      <c r="AD140" s="424"/>
      <c r="AE140" s="314">
        <f t="shared" ref="AE140:AE150" si="32">ROUND(AC$144*(1+AC$145)^$D140+AC$140,$G$1)</f>
        <v>90171</v>
      </c>
      <c r="AF140" s="316">
        <f>($B140-AE140)^2/1000</f>
        <v>577.6</v>
      </c>
      <c r="AH140" s="165">
        <f t="shared" ref="AH140:AH150" si="33">LN($B140-AJ$140)</f>
        <v>11.384307694991195</v>
      </c>
      <c r="AI140" s="126" t="s">
        <v>377</v>
      </c>
      <c r="AJ140" s="166">
        <f>AC140+AJ153</f>
        <v>3000</v>
      </c>
      <c r="AK140" s="424"/>
      <c r="AL140" s="314">
        <f t="shared" ref="AL140:AL150" si="34">ROUND(AJ$144*(1+AJ$145)^$D140+AJ$140,$G$1)</f>
        <v>90171</v>
      </c>
      <c r="AM140" s="316">
        <f>($B140-AL140)^2/1000</f>
        <v>577.6</v>
      </c>
      <c r="AO140" s="165">
        <f t="shared" ref="AO140:AO150" si="35">LN($B140-AQ$140)</f>
        <v>11.372869979515515</v>
      </c>
      <c r="AP140" s="126" t="s">
        <v>377</v>
      </c>
      <c r="AQ140" s="166">
        <f>AJ140+AQ153</f>
        <v>4000</v>
      </c>
      <c r="AR140" s="424"/>
      <c r="AS140" s="314">
        <f t="shared" ref="AS140:AS150" si="36">ROUND(AQ$144*(1+AQ$145)^$D140+AQ$140,$G$1)</f>
        <v>90172</v>
      </c>
      <c r="AT140" s="316">
        <f>($B140-AS140)^2/1000</f>
        <v>576.08100000000002</v>
      </c>
      <c r="AV140" s="165">
        <f t="shared" ref="AV140:AV150" si="37">LN($B140-AX$140)</f>
        <v>11.361299927618816</v>
      </c>
      <c r="AW140" s="126" t="s">
        <v>377</v>
      </c>
      <c r="AX140" s="166">
        <f>AQ140+AX153</f>
        <v>5000</v>
      </c>
      <c r="AY140" s="424"/>
      <c r="AZ140" s="314">
        <f t="shared" ref="AZ140:AZ150" si="38">ROUND(AX$144*(1+AX$145)^$D140+AX$140,$G$1)</f>
        <v>90173</v>
      </c>
      <c r="BA140" s="316">
        <f>($B140-AZ140)^2/1000</f>
        <v>574.56399999999996</v>
      </c>
      <c r="BC140" s="165">
        <f t="shared" ref="BC140:BC150" si="39">LN($B140-BE$140)</f>
        <v>11.349594441107186</v>
      </c>
      <c r="BD140" s="126" t="s">
        <v>377</v>
      </c>
      <c r="BE140" s="166">
        <f>AX140+BE153</f>
        <v>6000</v>
      </c>
      <c r="BF140" s="424"/>
      <c r="BG140" s="314">
        <f t="shared" ref="BG140:BG150" si="40">ROUND(BE$144*(1+BE$145)^$D140+BE$140,$G$1)</f>
        <v>90173</v>
      </c>
      <c r="BH140" s="316">
        <f>($B140-BG140)^2/1000</f>
        <v>574.56399999999996</v>
      </c>
      <c r="BJ140" s="165">
        <f t="shared" ref="BJ140:BJ150" si="41">LN($B140-BL$140)</f>
        <v>11.337750311696707</v>
      </c>
      <c r="BK140" s="126" t="s">
        <v>377</v>
      </c>
      <c r="BL140" s="166">
        <f>BE140+BL153</f>
        <v>7000</v>
      </c>
      <c r="BM140" s="424"/>
      <c r="BN140" s="314">
        <f t="shared" ref="BN140:BN150" si="42">ROUND(BL$144*(1+BL$145)^$D140+BL$140,$G$1)</f>
        <v>90174</v>
      </c>
      <c r="BO140" s="316">
        <f>($B140-BN140)^2/1000</f>
        <v>573.04899999999998</v>
      </c>
      <c r="BQ140" s="165">
        <f t="shared" ref="BQ140:BQ150" si="43">LN($B140-BS$140)</f>
        <v>11.325764215735022</v>
      </c>
      <c r="BR140" s="126" t="s">
        <v>377</v>
      </c>
      <c r="BS140" s="166">
        <f>BL140+BS153</f>
        <v>8000</v>
      </c>
      <c r="BT140" s="424"/>
      <c r="BU140" s="314">
        <f t="shared" ref="BU140:BU150" si="44">ROUND(BS$144*(1+BS$145)^$D140+BS$140,$G$1)</f>
        <v>90175</v>
      </c>
      <c r="BV140" s="316">
        <f>($B140-BU140)^2/1000</f>
        <v>571.53599999999994</v>
      </c>
      <c r="BX140" s="165">
        <f t="shared" ref="BX140:BX150" si="45">LN($B140-BZ$140)</f>
        <v>11.31363270860269</v>
      </c>
      <c r="BY140" s="126" t="s">
        <v>377</v>
      </c>
      <c r="BZ140" s="166">
        <f>BS140+BZ153</f>
        <v>9000</v>
      </c>
      <c r="CA140" s="424"/>
      <c r="CB140" s="314">
        <f t="shared" ref="CB140:CB150" si="46">ROUND(BZ$144*(1+BZ$145)^$D140+BZ$140,$G$1)</f>
        <v>90175</v>
      </c>
      <c r="CC140" s="316">
        <f>($B140-CB140)^2/1000</f>
        <v>571.53599999999994</v>
      </c>
      <c r="CD140" s="424"/>
      <c r="CE140" s="167"/>
      <c r="CF140" s="424"/>
      <c r="CG140" s="424"/>
      <c r="CH140" s="424"/>
      <c r="CI140" s="168"/>
      <c r="CJ140" s="169"/>
      <c r="CK140" s="424"/>
      <c r="CL140" s="167"/>
      <c r="CM140" s="424"/>
      <c r="CN140" s="424"/>
      <c r="CO140" s="424"/>
      <c r="CP140" s="168"/>
      <c r="CQ140" s="169"/>
      <c r="CR140" s="424"/>
      <c r="CS140" s="167"/>
      <c r="CT140" s="424"/>
      <c r="CU140" s="424"/>
      <c r="CV140" s="424"/>
      <c r="CW140" s="168"/>
      <c r="CX140" s="169"/>
      <c r="CY140" s="424"/>
      <c r="CZ140" s="167"/>
      <c r="DA140" s="424"/>
      <c r="DB140" s="424"/>
      <c r="DC140" s="424"/>
      <c r="DD140" s="168"/>
      <c r="DE140" s="169"/>
      <c r="DF140" s="424"/>
      <c r="DG140" s="167"/>
      <c r="DH140" s="424"/>
      <c r="DI140" s="424"/>
      <c r="DJ140" s="424"/>
      <c r="DK140" s="168"/>
      <c r="DL140" s="169"/>
      <c r="DM140" s="424"/>
      <c r="DN140" s="167"/>
      <c r="DO140" s="424"/>
      <c r="DP140" s="424"/>
      <c r="DQ140" s="424"/>
      <c r="DR140" s="168"/>
      <c r="DS140" s="169"/>
      <c r="DT140" s="424"/>
      <c r="DU140" s="424"/>
      <c r="DV140" s="424"/>
      <c r="DW140" s="424"/>
      <c r="DX140" s="424"/>
      <c r="DY140" s="424"/>
      <c r="DZ140" s="424"/>
    </row>
    <row r="141" spans="1:130" ht="15" customHeight="1">
      <c r="A141" s="310">
        <f t="shared" si="25"/>
        <v>2006</v>
      </c>
      <c r="B141" s="311">
        <f t="shared" si="25"/>
        <v>89555</v>
      </c>
      <c r="C141" s="138">
        <f>LN(B141-$F$144)</f>
        <v>11.380022446306</v>
      </c>
      <c r="D141" s="312">
        <v>1</v>
      </c>
      <c r="E141" s="139" t="s">
        <v>378</v>
      </c>
      <c r="F141" s="313"/>
      <c r="G141" s="424"/>
      <c r="H141" s="124"/>
      <c r="I141" s="314">
        <f t="shared" si="26"/>
        <v>89659</v>
      </c>
      <c r="J141" s="143">
        <f>ABS(B141-I141)/B141*100</f>
        <v>0.11612975266595946</v>
      </c>
      <c r="K141" s="143">
        <f>(B141-I141)^2/1000</f>
        <v>10.816000000000001</v>
      </c>
      <c r="M141" s="165">
        <f t="shared" si="27"/>
        <v>11.402608240659358</v>
      </c>
      <c r="N141" s="126" t="s">
        <v>379</v>
      </c>
      <c r="O141" s="126" t="s">
        <v>380</v>
      </c>
      <c r="P141" s="144">
        <f>INDEX(LINEST(M141:M150,$D141:$D150),2)</f>
        <v>11.409449722775527</v>
      </c>
      <c r="Q141" s="314">
        <f t="shared" si="28"/>
        <v>89658</v>
      </c>
      <c r="R141" s="316">
        <f>($B141-Q141)^2/1000</f>
        <v>10.609</v>
      </c>
      <c r="T141" s="165">
        <f t="shared" si="29"/>
        <v>11.391379106890733</v>
      </c>
      <c r="U141" s="126" t="s">
        <v>379</v>
      </c>
      <c r="V141" s="126" t="s">
        <v>380</v>
      </c>
      <c r="W141" s="144">
        <f>INDEX(LINEST(T141:T150,$D141:$D150),2)</f>
        <v>11.398303777063157</v>
      </c>
      <c r="X141" s="314">
        <f t="shared" si="30"/>
        <v>89659</v>
      </c>
      <c r="Y141" s="316">
        <f>($B141-X141)^2/1000</f>
        <v>10.816000000000001</v>
      </c>
      <c r="AA141" s="165">
        <f t="shared" si="31"/>
        <v>11.380022446306</v>
      </c>
      <c r="AB141" s="126" t="s">
        <v>379</v>
      </c>
      <c r="AC141" s="126" t="s">
        <v>380</v>
      </c>
      <c r="AD141" s="144">
        <f>INDEX(LINEST(AA141:AA150,$D141:$D150),2)</f>
        <v>11.387032348568557</v>
      </c>
      <c r="AE141" s="314">
        <f t="shared" si="32"/>
        <v>89659</v>
      </c>
      <c r="AF141" s="316">
        <f>($B141-AE141)^2/1000</f>
        <v>10.816000000000001</v>
      </c>
      <c r="AH141" s="165">
        <f t="shared" si="33"/>
        <v>11.368535329010831</v>
      </c>
      <c r="AI141" s="126" t="s">
        <v>379</v>
      </c>
      <c r="AJ141" s="126" t="s">
        <v>380</v>
      </c>
      <c r="AK141" s="144">
        <f>INDEX(LINEST(AH141:AH150,$D141:$D150),2)</f>
        <v>11.375632583536929</v>
      </c>
      <c r="AL141" s="314">
        <f t="shared" si="34"/>
        <v>89659</v>
      </c>
      <c r="AM141" s="316">
        <f>($B141-AL141)^2/1000</f>
        <v>10.816000000000001</v>
      </c>
      <c r="AO141" s="165">
        <f t="shared" si="35"/>
        <v>11.356914722966071</v>
      </c>
      <c r="AP141" s="126" t="s">
        <v>379</v>
      </c>
      <c r="AQ141" s="126" t="s">
        <v>380</v>
      </c>
      <c r="AR141" s="144">
        <f>INDEX(LINEST(AO141:AO150,$D141:$D150),2)</f>
        <v>11.364101529891512</v>
      </c>
      <c r="AS141" s="314">
        <f t="shared" si="36"/>
        <v>89660</v>
      </c>
      <c r="AT141" s="316">
        <f>($B141-AS141)^2/1000</f>
        <v>11.025</v>
      </c>
      <c r="AV141" s="165">
        <f t="shared" si="37"/>
        <v>11.345157489183785</v>
      </c>
      <c r="AW141" s="126" t="s">
        <v>379</v>
      </c>
      <c r="AX141" s="126" t="s">
        <v>380</v>
      </c>
      <c r="AY141" s="144">
        <f>INDEX(LINEST(AV141:AV150,$D141:$D150),2)</f>
        <v>11.352436132672215</v>
      </c>
      <c r="AZ141" s="314">
        <f t="shared" si="38"/>
        <v>89660</v>
      </c>
      <c r="BA141" s="316">
        <f>($B141-AZ141)^2/1000</f>
        <v>11.025</v>
      </c>
      <c r="BC141" s="165">
        <f t="shared" si="39"/>
        <v>11.333260376637483</v>
      </c>
      <c r="BD141" s="126" t="s">
        <v>379</v>
      </c>
      <c r="BE141" s="126" t="s">
        <v>380</v>
      </c>
      <c r="BF141" s="144">
        <f>INDEX(LINEST(BC141:BC150,$D141:$D150),2)</f>
        <v>11.340633229207166</v>
      </c>
      <c r="BG141" s="314">
        <f t="shared" si="40"/>
        <v>89661</v>
      </c>
      <c r="BH141" s="316">
        <f>($B141-BG141)^2/1000</f>
        <v>11.236000000000001</v>
      </c>
      <c r="BJ141" s="165">
        <f t="shared" si="41"/>
        <v>11.321220016865933</v>
      </c>
      <c r="BK141" s="126" t="s">
        <v>379</v>
      </c>
      <c r="BL141" s="126" t="s">
        <v>380</v>
      </c>
      <c r="BM141" s="144">
        <f>INDEX(LINEST(BJ141:BJ150,$D141:$D150),2)</f>
        <v>11.328689543998177</v>
      </c>
      <c r="BN141" s="314">
        <f t="shared" si="42"/>
        <v>89661</v>
      </c>
      <c r="BO141" s="316">
        <f>($B141-BN141)^2/1000</f>
        <v>11.236000000000001</v>
      </c>
      <c r="BQ141" s="165">
        <f t="shared" si="43"/>
        <v>11.30903291824813</v>
      </c>
      <c r="BR141" s="126" t="s">
        <v>379</v>
      </c>
      <c r="BS141" s="126" t="s">
        <v>380</v>
      </c>
      <c r="BT141" s="144">
        <f>INDEX(LINEST(BQ141:BQ150,$D141:$D150),2)</f>
        <v>11.31660168329967</v>
      </c>
      <c r="BU141" s="314">
        <f t="shared" si="44"/>
        <v>89661</v>
      </c>
      <c r="BV141" s="316">
        <f>($B141-BU141)^2/1000</f>
        <v>11.236000000000001</v>
      </c>
      <c r="BX141" s="165">
        <f t="shared" si="45"/>
        <v>11.296695459925086</v>
      </c>
      <c r="BY141" s="126" t="s">
        <v>379</v>
      </c>
      <c r="BZ141" s="126" t="s">
        <v>380</v>
      </c>
      <c r="CA141" s="144">
        <f>INDEX(LINEST(BX141:BX150,$D141:$D150),2)</f>
        <v>11.304366129368736</v>
      </c>
      <c r="CB141" s="314">
        <f t="shared" si="46"/>
        <v>89662</v>
      </c>
      <c r="CC141" s="316">
        <f>($B141-CB141)^2/1000</f>
        <v>11.449</v>
      </c>
      <c r="CD141" s="424"/>
      <c r="CE141" s="167"/>
      <c r="CF141" s="424"/>
      <c r="CG141" s="424"/>
      <c r="CH141" s="424"/>
      <c r="CI141" s="169"/>
      <c r="CJ141" s="169"/>
      <c r="CK141" s="424"/>
      <c r="CL141" s="167"/>
      <c r="CM141" s="424"/>
      <c r="CN141" s="424"/>
      <c r="CO141" s="424"/>
      <c r="CP141" s="169"/>
      <c r="CQ141" s="169"/>
      <c r="CR141" s="424"/>
      <c r="CS141" s="167"/>
      <c r="CT141" s="424"/>
      <c r="CU141" s="424"/>
      <c r="CV141" s="424"/>
      <c r="CW141" s="169"/>
      <c r="CX141" s="169"/>
      <c r="CY141" s="424"/>
      <c r="CZ141" s="167"/>
      <c r="DA141" s="424"/>
      <c r="DB141" s="424"/>
      <c r="DC141" s="424"/>
      <c r="DD141" s="169"/>
      <c r="DE141" s="169"/>
      <c r="DF141" s="424"/>
      <c r="DG141" s="167"/>
      <c r="DH141" s="424"/>
      <c r="DI141" s="424"/>
      <c r="DJ141" s="424"/>
      <c r="DK141" s="169"/>
      <c r="DL141" s="169"/>
      <c r="DM141" s="424"/>
      <c r="DN141" s="167"/>
      <c r="DO141" s="424"/>
      <c r="DP141" s="424"/>
      <c r="DQ141" s="424"/>
      <c r="DR141" s="169"/>
      <c r="DS141" s="169"/>
      <c r="DT141" s="424"/>
      <c r="DU141" s="424"/>
      <c r="DV141" s="424"/>
      <c r="DW141" s="424"/>
      <c r="DX141" s="424"/>
      <c r="DY141" s="424"/>
      <c r="DZ141" s="424"/>
    </row>
    <row r="142" spans="1:130" ht="15" customHeight="1">
      <c r="A142" s="310">
        <f t="shared" si="25"/>
        <v>2007</v>
      </c>
      <c r="B142" s="311">
        <f t="shared" si="25"/>
        <v>88685</v>
      </c>
      <c r="C142" s="138">
        <f>LN(B142-$F$144)</f>
        <v>11.370036137419987</v>
      </c>
      <c r="D142" s="312">
        <f>D141+1</f>
        <v>2</v>
      </c>
      <c r="E142" s="423" t="s">
        <v>381</v>
      </c>
      <c r="G142" s="424"/>
      <c r="H142" s="124"/>
      <c r="I142" s="314">
        <f t="shared" si="26"/>
        <v>89150</v>
      </c>
      <c r="J142" s="143">
        <f>ABS(B142-I142)/B142*100</f>
        <v>0.52432767660822011</v>
      </c>
      <c r="K142" s="143">
        <f>(B142-I142)^2/1000</f>
        <v>216.22499999999999</v>
      </c>
      <c r="M142" s="165">
        <f t="shared" si="27"/>
        <v>11.392846044639686</v>
      </c>
      <c r="N142" s="126" t="s">
        <v>382</v>
      </c>
      <c r="O142" s="126" t="s">
        <v>383</v>
      </c>
      <c r="P142" s="144">
        <f>INDEX(LINEST(M141:M150,$D141:$D150),1)</f>
        <v>-5.6880349351026704E-3</v>
      </c>
      <c r="Q142" s="314">
        <f t="shared" si="28"/>
        <v>89150</v>
      </c>
      <c r="R142" s="316">
        <f>($B142-Q142)^2/1000</f>
        <v>216.22499999999999</v>
      </c>
      <c r="T142" s="165">
        <f t="shared" si="29"/>
        <v>11.381506126103393</v>
      </c>
      <c r="U142" s="126" t="s">
        <v>382</v>
      </c>
      <c r="V142" s="126" t="s">
        <v>383</v>
      </c>
      <c r="W142" s="144">
        <f>INDEX(LINEST(T141:T150,$D141:$D150),1)</f>
        <v>-5.7543585680728954E-3</v>
      </c>
      <c r="X142" s="314">
        <f t="shared" si="30"/>
        <v>89150</v>
      </c>
      <c r="Y142" s="316">
        <f>($B142-X142)^2/1000</f>
        <v>216.22499999999999</v>
      </c>
      <c r="AA142" s="165">
        <f t="shared" si="31"/>
        <v>11.370036137419987</v>
      </c>
      <c r="AB142" s="126" t="s">
        <v>382</v>
      </c>
      <c r="AC142" s="126" t="s">
        <v>383</v>
      </c>
      <c r="AD142" s="144">
        <f>INDEX(LINEST(AA141:AA150,$D141:$D150),1)</f>
        <v>-5.822247598127904E-3</v>
      </c>
      <c r="AE142" s="314">
        <f t="shared" si="32"/>
        <v>89150</v>
      </c>
      <c r="AF142" s="316">
        <f>($B142-AE142)^2/1000</f>
        <v>216.22499999999999</v>
      </c>
      <c r="AH142" s="165">
        <f t="shared" si="33"/>
        <v>11.358433060094949</v>
      </c>
      <c r="AI142" s="126" t="s">
        <v>382</v>
      </c>
      <c r="AJ142" s="126" t="s">
        <v>383</v>
      </c>
      <c r="AK142" s="144">
        <f>INDEX(LINEST(AH141:AH150,$D141:$D150),1)</f>
        <v>-5.8917581245956398E-3</v>
      </c>
      <c r="AL142" s="314">
        <f t="shared" si="34"/>
        <v>89150</v>
      </c>
      <c r="AM142" s="316">
        <f>($B142-AL142)^2/1000</f>
        <v>216.22499999999999</v>
      </c>
      <c r="AO142" s="165">
        <f t="shared" si="35"/>
        <v>11.346693769325222</v>
      </c>
      <c r="AP142" s="126" t="s">
        <v>382</v>
      </c>
      <c r="AQ142" s="126" t="s">
        <v>383</v>
      </c>
      <c r="AR142" s="144">
        <f>INDEX(LINEST(AO141:AO150,$D141:$D150),1)</f>
        <v>-5.9629489606316081E-3</v>
      </c>
      <c r="AS142" s="314">
        <f t="shared" si="36"/>
        <v>89151</v>
      </c>
      <c r="AT142" s="316">
        <f>($B142-AS142)^2/1000</f>
        <v>217.15600000000001</v>
      </c>
      <c r="AV142" s="165">
        <f t="shared" si="37"/>
        <v>11.334815028947739</v>
      </c>
      <c r="AW142" s="126" t="s">
        <v>382</v>
      </c>
      <c r="AX142" s="126" t="s">
        <v>383</v>
      </c>
      <c r="AY142" s="144">
        <f>INDEX(LINEST(AV141:AV150,$D141:$D150),1)</f>
        <v>-6.0358817993846495E-3</v>
      </c>
      <c r="AZ142" s="314">
        <f t="shared" si="38"/>
        <v>89151</v>
      </c>
      <c r="BA142" s="316">
        <f>($B142-AZ142)^2/1000</f>
        <v>217.15600000000001</v>
      </c>
      <c r="BC142" s="165">
        <f t="shared" si="39"/>
        <v>11.322793486084297</v>
      </c>
      <c r="BD142" s="126" t="s">
        <v>382</v>
      </c>
      <c r="BE142" s="126" t="s">
        <v>383</v>
      </c>
      <c r="BF142" s="144">
        <f>INDEX(LINEST(BC141:BC150,$D141:$D150),1)</f>
        <v>-6.1106213925251783E-3</v>
      </c>
      <c r="BG142" s="314">
        <f t="shared" si="40"/>
        <v>89151</v>
      </c>
      <c r="BH142" s="316">
        <f>($B142-BG142)^2/1000</f>
        <v>217.15600000000001</v>
      </c>
      <c r="BJ142" s="165">
        <f t="shared" si="41"/>
        <v>11.310625665460609</v>
      </c>
      <c r="BK142" s="126" t="s">
        <v>382</v>
      </c>
      <c r="BL142" s="126" t="s">
        <v>383</v>
      </c>
      <c r="BM142" s="144">
        <f>INDEX(LINEST(BJ141:BJ150,$D141:$D150),1)</f>
        <v>-6.187235742225918E-3</v>
      </c>
      <c r="BN142" s="314">
        <f t="shared" si="42"/>
        <v>89151</v>
      </c>
      <c r="BO142" s="316">
        <f>($B142-BN142)^2/1000</f>
        <v>217.15600000000001</v>
      </c>
      <c r="BQ142" s="165">
        <f t="shared" si="43"/>
        <v>11.298307963375454</v>
      </c>
      <c r="BR142" s="126" t="s">
        <v>382</v>
      </c>
      <c r="BS142" s="126" t="s">
        <v>383</v>
      </c>
      <c r="BT142" s="144">
        <f>INDEX(LINEST(BQ141:BQ150,$D141:$D150),1)</f>
        <v>-6.2657963077921812E-3</v>
      </c>
      <c r="BU142" s="314">
        <f t="shared" si="44"/>
        <v>89151</v>
      </c>
      <c r="BV142" s="316">
        <f>($B142-BU142)^2/1000</f>
        <v>217.15600000000001</v>
      </c>
      <c r="BX142" s="165">
        <f t="shared" si="45"/>
        <v>11.285836641293734</v>
      </c>
      <c r="BY142" s="126" t="s">
        <v>382</v>
      </c>
      <c r="BZ142" s="126" t="s">
        <v>383</v>
      </c>
      <c r="CA142" s="144">
        <f>INDEX(LINEST(BX141:BX150,$D141:$D150),1)</f>
        <v>-6.3463782282614303E-3</v>
      </c>
      <c r="CB142" s="314">
        <f t="shared" si="46"/>
        <v>89151</v>
      </c>
      <c r="CC142" s="316">
        <f>($B142-CB142)^2/1000</f>
        <v>217.15600000000001</v>
      </c>
      <c r="CD142" s="424"/>
      <c r="CE142" s="167"/>
      <c r="CF142" s="424"/>
      <c r="CG142" s="424"/>
      <c r="CH142" s="424"/>
      <c r="CI142" s="169"/>
      <c r="CJ142" s="169"/>
      <c r="CK142" s="424"/>
      <c r="CL142" s="167"/>
      <c r="CM142" s="424"/>
      <c r="CN142" s="424"/>
      <c r="CO142" s="424"/>
      <c r="CP142" s="169"/>
      <c r="CQ142" s="169"/>
      <c r="CR142" s="424"/>
      <c r="CS142" s="167"/>
      <c r="CT142" s="424"/>
      <c r="CU142" s="424"/>
      <c r="CV142" s="424"/>
      <c r="CW142" s="169"/>
      <c r="CX142" s="169"/>
      <c r="CY142" s="424"/>
      <c r="CZ142" s="167"/>
      <c r="DA142" s="424"/>
      <c r="DB142" s="424"/>
      <c r="DC142" s="424"/>
      <c r="DD142" s="169"/>
      <c r="DE142" s="169"/>
      <c r="DF142" s="424"/>
      <c r="DG142" s="167"/>
      <c r="DH142" s="424"/>
      <c r="DI142" s="424"/>
      <c r="DJ142" s="424"/>
      <c r="DK142" s="169"/>
      <c r="DL142" s="169"/>
      <c r="DM142" s="424"/>
      <c r="DN142" s="167"/>
      <c r="DO142" s="424"/>
      <c r="DP142" s="424"/>
      <c r="DQ142" s="424"/>
      <c r="DR142" s="169"/>
      <c r="DS142" s="169"/>
      <c r="DT142" s="424"/>
      <c r="DU142" s="424"/>
      <c r="DV142" s="424"/>
      <c r="DW142" s="424"/>
      <c r="DX142" s="424"/>
      <c r="DY142" s="424"/>
      <c r="DZ142" s="424"/>
    </row>
    <row r="143" spans="1:130" ht="15" customHeight="1">
      <c r="A143" s="310">
        <f t="shared" si="25"/>
        <v>2008</v>
      </c>
      <c r="B143" s="311">
        <f t="shared" si="25"/>
        <v>88176</v>
      </c>
      <c r="C143" s="138">
        <f t="shared" ref="C143:C150" si="47">LN(B143-$F$144)</f>
        <v>11.364146995611325</v>
      </c>
      <c r="D143" s="312">
        <f t="shared" ref="D143:D173" si="48">D142+1</f>
        <v>3</v>
      </c>
      <c r="H143" s="124"/>
      <c r="I143" s="314">
        <f t="shared" si="26"/>
        <v>88644</v>
      </c>
      <c r="J143" s="143">
        <f t="shared" ref="J143:J149" si="49">ABS(B143-I143)/B143*100</f>
        <v>0.53075666848121938</v>
      </c>
      <c r="K143" s="143">
        <f t="shared" ref="K143:K149" si="50">(B143-I143)^2/1000</f>
        <v>219.024</v>
      </c>
      <c r="M143" s="165">
        <f t="shared" si="27"/>
        <v>11.387090096123016</v>
      </c>
      <c r="N143" s="424"/>
      <c r="O143" s="424"/>
      <c r="P143" s="424"/>
      <c r="Q143" s="314">
        <f t="shared" si="28"/>
        <v>88644</v>
      </c>
      <c r="R143" s="316">
        <f t="shared" ref="R143:R149" si="51">($B143-Q143)^2/1000</f>
        <v>219.024</v>
      </c>
      <c r="T143" s="165">
        <f t="shared" si="29"/>
        <v>11.375684342656722</v>
      </c>
      <c r="U143" s="424"/>
      <c r="V143" s="424"/>
      <c r="W143" s="424"/>
      <c r="X143" s="314">
        <f t="shared" si="30"/>
        <v>88644</v>
      </c>
      <c r="Y143" s="316">
        <f t="shared" ref="Y143:Y149" si="52">($B143-X143)^2/1000</f>
        <v>219.024</v>
      </c>
      <c r="AA143" s="165">
        <f t="shared" si="31"/>
        <v>11.364146995611325</v>
      </c>
      <c r="AB143" s="424"/>
      <c r="AC143" s="424"/>
      <c r="AD143" s="424"/>
      <c r="AE143" s="314">
        <f t="shared" si="32"/>
        <v>88644</v>
      </c>
      <c r="AF143" s="316">
        <f t="shared" ref="AF143:AF149" si="53">($B143-AE143)^2/1000</f>
        <v>219.024</v>
      </c>
      <c r="AH143" s="165">
        <f t="shared" si="33"/>
        <v>11.352474982994442</v>
      </c>
      <c r="AI143" s="424"/>
      <c r="AJ143" s="424"/>
      <c r="AK143" s="424"/>
      <c r="AL143" s="314">
        <f t="shared" si="34"/>
        <v>88644</v>
      </c>
      <c r="AM143" s="316">
        <f t="shared" ref="AM143:AM149" si="54">($B143-AL143)^2/1000</f>
        <v>219.024</v>
      </c>
      <c r="AO143" s="165">
        <f t="shared" si="35"/>
        <v>11.340665123970588</v>
      </c>
      <c r="AP143" s="424"/>
      <c r="AQ143" s="424"/>
      <c r="AR143" s="424"/>
      <c r="AS143" s="314">
        <f t="shared" si="36"/>
        <v>88644</v>
      </c>
      <c r="AT143" s="316">
        <f t="shared" ref="AT143:AT149" si="55">($B143-AS143)^2/1000</f>
        <v>219.024</v>
      </c>
      <c r="AV143" s="165">
        <f t="shared" si="37"/>
        <v>11.328714123657806</v>
      </c>
      <c r="AW143" s="424"/>
      <c r="AX143" s="424"/>
      <c r="AY143" s="424"/>
      <c r="AZ143" s="314">
        <f t="shared" si="38"/>
        <v>88644</v>
      </c>
      <c r="BA143" s="316">
        <f t="shared" ref="BA143:BA149" si="56">($B143-AZ143)^2/1000</f>
        <v>219.024</v>
      </c>
      <c r="BC143" s="165">
        <f t="shared" si="39"/>
        <v>11.316618567609579</v>
      </c>
      <c r="BD143" s="424"/>
      <c r="BE143" s="424"/>
      <c r="BF143" s="424"/>
      <c r="BG143" s="314">
        <f t="shared" si="40"/>
        <v>88644</v>
      </c>
      <c r="BH143" s="316">
        <f t="shared" ref="BH143:BH149" si="57">($B143-BG143)^2/1000</f>
        <v>219.024</v>
      </c>
      <c r="BJ143" s="165">
        <f t="shared" si="41"/>
        <v>11.304374915958919</v>
      </c>
      <c r="BK143" s="424"/>
      <c r="BL143" s="424"/>
      <c r="BM143" s="424"/>
      <c r="BN143" s="314">
        <f t="shared" si="42"/>
        <v>88644</v>
      </c>
      <c r="BO143" s="316">
        <f t="shared" ref="BO143:BO149" si="58">($B143-BN143)^2/1000</f>
        <v>219.024</v>
      </c>
      <c r="BQ143" s="165">
        <f t="shared" si="43"/>
        <v>11.291979497199506</v>
      </c>
      <c r="BR143" s="424"/>
      <c r="BS143" s="424"/>
      <c r="BT143" s="424"/>
      <c r="BU143" s="314">
        <f t="shared" si="44"/>
        <v>88644</v>
      </c>
      <c r="BV143" s="316">
        <f t="shared" ref="BV143:BV149" si="59">($B143-BU143)^2/1000</f>
        <v>219.024</v>
      </c>
      <c r="BX143" s="165">
        <f t="shared" si="45"/>
        <v>11.279428501576527</v>
      </c>
      <c r="BY143" s="424"/>
      <c r="BZ143" s="424"/>
      <c r="CA143" s="424"/>
      <c r="CB143" s="314">
        <f t="shared" si="46"/>
        <v>88644</v>
      </c>
      <c r="CC143" s="316">
        <f t="shared" ref="CC143:CC149" si="60">($B143-CB143)^2/1000</f>
        <v>219.024</v>
      </c>
      <c r="CD143" s="424"/>
      <c r="CE143" s="167"/>
      <c r="CF143" s="424"/>
      <c r="CG143" s="424"/>
      <c r="CH143" s="424"/>
      <c r="CI143" s="169"/>
      <c r="CJ143" s="169"/>
      <c r="CK143" s="424"/>
      <c r="CL143" s="167"/>
      <c r="CM143" s="424"/>
      <c r="CN143" s="424"/>
      <c r="CO143" s="424"/>
      <c r="CP143" s="169"/>
      <c r="CQ143" s="169"/>
      <c r="CR143" s="424"/>
      <c r="CS143" s="167"/>
      <c r="CT143" s="424"/>
      <c r="CU143" s="424"/>
      <c r="CV143" s="424"/>
      <c r="CW143" s="169"/>
      <c r="CX143" s="169"/>
      <c r="CY143" s="424"/>
      <c r="CZ143" s="167"/>
      <c r="DA143" s="424"/>
      <c r="DB143" s="424"/>
      <c r="DC143" s="424"/>
      <c r="DD143" s="169"/>
      <c r="DE143" s="169"/>
      <c r="DF143" s="424"/>
      <c r="DG143" s="167"/>
      <c r="DH143" s="424"/>
      <c r="DI143" s="424"/>
      <c r="DJ143" s="424"/>
      <c r="DK143" s="169"/>
      <c r="DL143" s="169"/>
      <c r="DM143" s="424"/>
      <c r="DN143" s="167"/>
      <c r="DO143" s="424"/>
      <c r="DP143" s="424"/>
      <c r="DQ143" s="424"/>
      <c r="DR143" s="169"/>
      <c r="DS143" s="169"/>
      <c r="DT143" s="424"/>
      <c r="DU143" s="424"/>
      <c r="DV143" s="424"/>
      <c r="DW143" s="424"/>
      <c r="DX143" s="424"/>
      <c r="DY143" s="424"/>
      <c r="DZ143" s="424"/>
    </row>
    <row r="144" spans="1:130" ht="15" customHeight="1">
      <c r="A144" s="310">
        <f t="shared" si="25"/>
        <v>2009</v>
      </c>
      <c r="B144" s="311">
        <f t="shared" si="25"/>
        <v>87631</v>
      </c>
      <c r="C144" s="138">
        <f t="shared" si="47"/>
        <v>11.357802646102229</v>
      </c>
      <c r="D144" s="312">
        <f t="shared" si="48"/>
        <v>4</v>
      </c>
      <c r="E144" s="81" t="s">
        <v>384</v>
      </c>
      <c r="F144" s="170">
        <f>E161</f>
        <v>2000</v>
      </c>
      <c r="H144" s="124"/>
      <c r="I144" s="314">
        <f t="shared" si="26"/>
        <v>88141</v>
      </c>
      <c r="J144" s="143">
        <f t="shared" si="49"/>
        <v>0.58198582693339118</v>
      </c>
      <c r="K144" s="143">
        <f t="shared" si="50"/>
        <v>260.10000000000002</v>
      </c>
      <c r="M144" s="165">
        <f t="shared" si="27"/>
        <v>11.38089009560181</v>
      </c>
      <c r="N144" s="126" t="s">
        <v>385</v>
      </c>
      <c r="O144" s="171">
        <f>EXP(P141)</f>
        <v>90169.789568855122</v>
      </c>
      <c r="P144" s="424"/>
      <c r="Q144" s="314">
        <f t="shared" si="28"/>
        <v>88141</v>
      </c>
      <c r="R144" s="316">
        <f t="shared" si="51"/>
        <v>260.10000000000002</v>
      </c>
      <c r="T144" s="165">
        <f t="shared" si="29"/>
        <v>11.369412998162824</v>
      </c>
      <c r="U144" s="126" t="s">
        <v>386</v>
      </c>
      <c r="V144" s="171">
        <f>EXP(W141)</f>
        <v>89170.342229252201</v>
      </c>
      <c r="W144" s="424"/>
      <c r="X144" s="314">
        <f t="shared" si="30"/>
        <v>88141</v>
      </c>
      <c r="Y144" s="316">
        <f t="shared" si="52"/>
        <v>260.10000000000002</v>
      </c>
      <c r="AA144" s="165">
        <f t="shared" si="31"/>
        <v>11.357802646102229</v>
      </c>
      <c r="AB144" s="126" t="s">
        <v>387</v>
      </c>
      <c r="AC144" s="171">
        <f>EXP(AD141)</f>
        <v>88170.908198658901</v>
      </c>
      <c r="AD144" s="424"/>
      <c r="AE144" s="314">
        <f t="shared" si="32"/>
        <v>88141</v>
      </c>
      <c r="AF144" s="316">
        <f t="shared" si="53"/>
        <v>260.10000000000002</v>
      </c>
      <c r="AH144" s="165">
        <f t="shared" si="33"/>
        <v>11.34605590873519</v>
      </c>
      <c r="AI144" s="126" t="s">
        <v>388</v>
      </c>
      <c r="AJ144" s="171">
        <f>EXP(AK141)</f>
        <v>87171.487963743406</v>
      </c>
      <c r="AK144" s="424"/>
      <c r="AL144" s="314">
        <f t="shared" si="34"/>
        <v>88141</v>
      </c>
      <c r="AM144" s="316">
        <f t="shared" si="54"/>
        <v>260.10000000000002</v>
      </c>
      <c r="AO144" s="165">
        <f t="shared" si="35"/>
        <v>11.334169543735626</v>
      </c>
      <c r="AP144" s="126" t="s">
        <v>386</v>
      </c>
      <c r="AQ144" s="171">
        <f>EXP(AR141)</f>
        <v>86172.082035196552</v>
      </c>
      <c r="AR144" s="424"/>
      <c r="AS144" s="314">
        <f t="shared" si="36"/>
        <v>88141</v>
      </c>
      <c r="AT144" s="316">
        <f t="shared" si="55"/>
        <v>260.10000000000002</v>
      </c>
      <c r="AV144" s="165">
        <f t="shared" si="37"/>
        <v>11.322140191764079</v>
      </c>
      <c r="AW144" s="126" t="s">
        <v>387</v>
      </c>
      <c r="AX144" s="171">
        <f>EXP(AY141)</f>
        <v>85172.690949233278</v>
      </c>
      <c r="AY144" s="424"/>
      <c r="AZ144" s="314">
        <f t="shared" si="38"/>
        <v>88141</v>
      </c>
      <c r="BA144" s="316">
        <f t="shared" si="56"/>
        <v>260.10000000000002</v>
      </c>
      <c r="BC144" s="165">
        <f t="shared" si="39"/>
        <v>11.309964370768505</v>
      </c>
      <c r="BD144" s="126" t="s">
        <v>388</v>
      </c>
      <c r="BE144" s="171">
        <f>EXP(BF141)</f>
        <v>84173.315269208775</v>
      </c>
      <c r="BF144" s="424"/>
      <c r="BG144" s="314">
        <f t="shared" si="40"/>
        <v>88141</v>
      </c>
      <c r="BH144" s="316">
        <f t="shared" si="57"/>
        <v>260.10000000000002</v>
      </c>
      <c r="BJ144" s="165">
        <f t="shared" si="41"/>
        <v>11.297638469933798</v>
      </c>
      <c r="BK144" s="126" t="s">
        <v>386</v>
      </c>
      <c r="BL144" s="171">
        <f>EXP(BM141)</f>
        <v>83173.955587356264</v>
      </c>
      <c r="BM144" s="424"/>
      <c r="BN144" s="314">
        <f t="shared" si="42"/>
        <v>88141</v>
      </c>
      <c r="BO144" s="316">
        <f t="shared" si="58"/>
        <v>260.10000000000002</v>
      </c>
      <c r="BQ144" s="165">
        <f t="shared" si="43"/>
        <v>11.285158743253763</v>
      </c>
      <c r="BR144" s="126" t="s">
        <v>387</v>
      </c>
      <c r="BS144" s="171">
        <f>EXP(BT141)</f>
        <v>82174.61252666224</v>
      </c>
      <c r="BT144" s="424"/>
      <c r="BU144" s="314">
        <f t="shared" si="44"/>
        <v>88141</v>
      </c>
      <c r="BV144" s="316">
        <f t="shared" si="59"/>
        <v>260.10000000000002</v>
      </c>
      <c r="BX144" s="165">
        <f t="shared" si="45"/>
        <v>11.272521302696882</v>
      </c>
      <c r="BY144" s="126" t="s">
        <v>388</v>
      </c>
      <c r="BZ144" s="171">
        <f>EXP(CA141)</f>
        <v>81175.286742888886</v>
      </c>
      <c r="CA144" s="424"/>
      <c r="CB144" s="314">
        <f t="shared" si="46"/>
        <v>88141</v>
      </c>
      <c r="CC144" s="316">
        <f t="shared" si="60"/>
        <v>260.10000000000002</v>
      </c>
      <c r="CD144" s="424"/>
      <c r="CE144" s="167"/>
      <c r="CF144" s="126"/>
      <c r="CG144" s="166"/>
      <c r="CH144" s="424"/>
      <c r="CI144" s="169"/>
      <c r="CJ144" s="169"/>
      <c r="CK144" s="424"/>
      <c r="CL144" s="167"/>
      <c r="CM144" s="126"/>
      <c r="CN144" s="166"/>
      <c r="CO144" s="424"/>
      <c r="CP144" s="169"/>
      <c r="CQ144" s="169"/>
      <c r="CR144" s="424"/>
      <c r="CS144" s="167"/>
      <c r="CT144" s="126"/>
      <c r="CU144" s="166"/>
      <c r="CV144" s="424"/>
      <c r="CW144" s="169"/>
      <c r="CX144" s="169"/>
      <c r="CY144" s="424"/>
      <c r="CZ144" s="167"/>
      <c r="DA144" s="126"/>
      <c r="DB144" s="166"/>
      <c r="DC144" s="424"/>
      <c r="DD144" s="169"/>
      <c r="DE144" s="169"/>
      <c r="DF144" s="424"/>
      <c r="DG144" s="167"/>
      <c r="DH144" s="126"/>
      <c r="DI144" s="166"/>
      <c r="DJ144" s="424"/>
      <c r="DK144" s="169"/>
      <c r="DL144" s="169"/>
      <c r="DM144" s="424"/>
      <c r="DN144" s="167"/>
      <c r="DO144" s="126"/>
      <c r="DP144" s="166"/>
      <c r="DQ144" s="424"/>
      <c r="DR144" s="169"/>
      <c r="DS144" s="169"/>
      <c r="DT144" s="424"/>
      <c r="DU144" s="424"/>
      <c r="DV144" s="424"/>
      <c r="DW144" s="424"/>
      <c r="DX144" s="424"/>
      <c r="DY144" s="424"/>
      <c r="DZ144" s="424"/>
    </row>
    <row r="145" spans="1:130" ht="15" customHeight="1">
      <c r="A145" s="310">
        <f t="shared" si="25"/>
        <v>2010</v>
      </c>
      <c r="B145" s="311">
        <f t="shared" si="25"/>
        <v>88078</v>
      </c>
      <c r="C145" s="138">
        <f t="shared" si="47"/>
        <v>11.36300914092495</v>
      </c>
      <c r="D145" s="312">
        <f t="shared" si="48"/>
        <v>5</v>
      </c>
      <c r="E145" s="81" t="s">
        <v>389</v>
      </c>
      <c r="F145" s="126" t="s">
        <v>390</v>
      </c>
      <c r="G145" s="144">
        <f>INDEX(LINEST(C141:C150,D141:D150),2)</f>
        <v>11.387032348568557</v>
      </c>
      <c r="H145" s="124"/>
      <c r="I145" s="314">
        <f t="shared" si="26"/>
        <v>87641</v>
      </c>
      <c r="J145" s="143">
        <f t="shared" si="49"/>
        <v>0.4961511387633688</v>
      </c>
      <c r="K145" s="143">
        <f t="shared" si="50"/>
        <v>190.96899999999999</v>
      </c>
      <c r="M145" s="165">
        <f t="shared" si="27"/>
        <v>11.385978064508427</v>
      </c>
      <c r="N145" s="126" t="s">
        <v>391</v>
      </c>
      <c r="O145" s="172">
        <f>EXP(P142)-1</f>
        <v>-5.6718886923607936E-3</v>
      </c>
      <c r="P145" s="424"/>
      <c r="Q145" s="314">
        <f t="shared" si="28"/>
        <v>87641</v>
      </c>
      <c r="R145" s="316">
        <f t="shared" si="51"/>
        <v>190.96899999999999</v>
      </c>
      <c r="T145" s="165">
        <f t="shared" si="29"/>
        <v>11.374559547698418</v>
      </c>
      <c r="U145" s="126" t="s">
        <v>391</v>
      </c>
      <c r="V145" s="172">
        <f>EXP(W142)-1</f>
        <v>-5.7378339581781734E-3</v>
      </c>
      <c r="W145" s="424"/>
      <c r="X145" s="314">
        <f t="shared" si="30"/>
        <v>87641</v>
      </c>
      <c r="Y145" s="316">
        <f t="shared" si="52"/>
        <v>190.96899999999999</v>
      </c>
      <c r="AA145" s="165">
        <f t="shared" si="31"/>
        <v>11.36300914092495</v>
      </c>
      <c r="AB145" s="126" t="s">
        <v>391</v>
      </c>
      <c r="AC145" s="172">
        <f>EXP(AD142)-1</f>
        <v>-5.8053311610654079E-3</v>
      </c>
      <c r="AD145" s="424"/>
      <c r="AE145" s="314">
        <f t="shared" si="32"/>
        <v>87641</v>
      </c>
      <c r="AF145" s="316">
        <f t="shared" si="53"/>
        <v>190.96899999999999</v>
      </c>
      <c r="AH145" s="165">
        <f t="shared" si="33"/>
        <v>11.351323761750614</v>
      </c>
      <c r="AI145" s="126" t="s">
        <v>391</v>
      </c>
      <c r="AJ145" s="172">
        <f>EXP(AK142)-1</f>
        <v>-5.8744357541317127E-3</v>
      </c>
      <c r="AK145" s="424"/>
      <c r="AL145" s="314">
        <f t="shared" si="34"/>
        <v>87641</v>
      </c>
      <c r="AM145" s="316">
        <f t="shared" si="54"/>
        <v>190.96899999999999</v>
      </c>
      <c r="AO145" s="165">
        <f t="shared" si="35"/>
        <v>11.339500218398273</v>
      </c>
      <c r="AP145" s="126" t="s">
        <v>391</v>
      </c>
      <c r="AQ145" s="172">
        <f>EXP(AR142)-1</f>
        <v>-5.9452058650535378E-3</v>
      </c>
      <c r="AR145" s="424"/>
      <c r="AS145" s="314">
        <f t="shared" si="36"/>
        <v>87641</v>
      </c>
      <c r="AT145" s="316">
        <f t="shared" si="55"/>
        <v>190.96899999999999</v>
      </c>
      <c r="AV145" s="165">
        <f t="shared" si="37"/>
        <v>11.32753520451781</v>
      </c>
      <c r="AW145" s="126" t="s">
        <v>391</v>
      </c>
      <c r="AX145" s="172">
        <f>EXP(AY142)-1</f>
        <v>-6.0177024593425221E-3</v>
      </c>
      <c r="AY145" s="424"/>
      <c r="AZ145" s="314">
        <f t="shared" si="38"/>
        <v>87641</v>
      </c>
      <c r="BA145" s="316">
        <f t="shared" si="56"/>
        <v>190.96899999999999</v>
      </c>
      <c r="BC145" s="165">
        <f t="shared" si="39"/>
        <v>11.315425293635995</v>
      </c>
      <c r="BD145" s="126" t="s">
        <v>391</v>
      </c>
      <c r="BE145" s="172">
        <f>EXP(BF142)-1</f>
        <v>-6.0919895157227621E-3</v>
      </c>
      <c r="BF145" s="424"/>
      <c r="BG145" s="314">
        <f t="shared" si="40"/>
        <v>87640</v>
      </c>
      <c r="BH145" s="316">
        <f t="shared" si="57"/>
        <v>191.84399999999999</v>
      </c>
      <c r="BJ145" s="165">
        <f t="shared" si="41"/>
        <v>11.303166933266141</v>
      </c>
      <c r="BK145" s="126" t="s">
        <v>391</v>
      </c>
      <c r="BL145" s="172">
        <f>EXP(BM142)-1</f>
        <v>-6.1681342146828744E-3</v>
      </c>
      <c r="BM145" s="424"/>
      <c r="BN145" s="314">
        <f t="shared" si="42"/>
        <v>87640</v>
      </c>
      <c r="BO145" s="316">
        <f t="shared" si="58"/>
        <v>191.84399999999999</v>
      </c>
      <c r="BQ145" s="165">
        <f t="shared" si="43"/>
        <v>11.290756438652245</v>
      </c>
      <c r="BR145" s="126" t="s">
        <v>391</v>
      </c>
      <c r="BS145" s="172">
        <f>EXP(BT142)-1</f>
        <v>-6.2462071413699194E-3</v>
      </c>
      <c r="BT145" s="424"/>
      <c r="BU145" s="314">
        <f t="shared" si="44"/>
        <v>87640</v>
      </c>
      <c r="BV145" s="316">
        <f t="shared" si="59"/>
        <v>191.84399999999999</v>
      </c>
      <c r="BX145" s="165">
        <f t="shared" si="45"/>
        <v>11.278189986120021</v>
      </c>
      <c r="BY145" s="126" t="s">
        <v>391</v>
      </c>
      <c r="BZ145" s="172">
        <f>EXP(CA142)-1</f>
        <v>-6.326282504115488E-3</v>
      </c>
      <c r="CA145" s="424"/>
      <c r="CB145" s="314">
        <f t="shared" si="46"/>
        <v>87640</v>
      </c>
      <c r="CC145" s="316">
        <f t="shared" si="60"/>
        <v>191.84399999999999</v>
      </c>
      <c r="CD145" s="424"/>
      <c r="CE145" s="167"/>
      <c r="CF145" s="126"/>
      <c r="CG145" s="126"/>
      <c r="CH145" s="144"/>
      <c r="CI145" s="169"/>
      <c r="CJ145" s="169"/>
      <c r="CK145" s="424"/>
      <c r="CL145" s="167"/>
      <c r="CM145" s="126"/>
      <c r="CN145" s="126"/>
      <c r="CO145" s="144"/>
      <c r="CP145" s="169"/>
      <c r="CQ145" s="169"/>
      <c r="CR145" s="424"/>
      <c r="CS145" s="167"/>
      <c r="CT145" s="126"/>
      <c r="CU145" s="126"/>
      <c r="CV145" s="144"/>
      <c r="CW145" s="169"/>
      <c r="CX145" s="169"/>
      <c r="CY145" s="424"/>
      <c r="CZ145" s="167"/>
      <c r="DA145" s="126"/>
      <c r="DB145" s="126"/>
      <c r="DC145" s="144"/>
      <c r="DD145" s="169"/>
      <c r="DE145" s="169"/>
      <c r="DF145" s="424"/>
      <c r="DG145" s="167"/>
      <c r="DH145" s="126"/>
      <c r="DI145" s="126"/>
      <c r="DJ145" s="144"/>
      <c r="DK145" s="169"/>
      <c r="DL145" s="169"/>
      <c r="DM145" s="424"/>
      <c r="DN145" s="167"/>
      <c r="DO145" s="126"/>
      <c r="DP145" s="126"/>
      <c r="DQ145" s="144"/>
      <c r="DR145" s="169"/>
      <c r="DS145" s="169"/>
      <c r="DT145" s="424"/>
      <c r="DU145" s="424"/>
      <c r="DV145" s="424"/>
      <c r="DW145" s="424"/>
      <c r="DX145" s="424"/>
      <c r="DY145" s="424"/>
      <c r="DZ145" s="424"/>
    </row>
    <row r="146" spans="1:130" ht="15" customHeight="1">
      <c r="A146" s="310">
        <f t="shared" si="25"/>
        <v>2011</v>
      </c>
      <c r="B146" s="311">
        <f t="shared" si="25"/>
        <v>88108</v>
      </c>
      <c r="C146" s="138">
        <f t="shared" si="47"/>
        <v>11.363357601314338</v>
      </c>
      <c r="D146" s="312">
        <f t="shared" si="48"/>
        <v>6</v>
      </c>
      <c r="E146" s="81" t="s">
        <v>392</v>
      </c>
      <c r="F146" s="126" t="s">
        <v>393</v>
      </c>
      <c r="G146" s="144">
        <f>INDEX(LINEST(C141:C150,D141:D150),1)</f>
        <v>-5.822247598127904E-3</v>
      </c>
      <c r="H146" s="124"/>
      <c r="I146" s="314">
        <f t="shared" si="26"/>
        <v>87144</v>
      </c>
      <c r="J146" s="143">
        <f t="shared" si="49"/>
        <v>1.0941117719162845</v>
      </c>
      <c r="K146" s="143">
        <f t="shared" si="50"/>
        <v>929.29600000000005</v>
      </c>
      <c r="M146" s="165">
        <f t="shared" si="27"/>
        <v>11.386318613704049</v>
      </c>
      <c r="N146" s="424"/>
      <c r="O146" s="424"/>
      <c r="P146" s="222"/>
      <c r="Q146" s="314">
        <f t="shared" si="28"/>
        <v>87144</v>
      </c>
      <c r="R146" s="316">
        <f t="shared" si="51"/>
        <v>929.29600000000005</v>
      </c>
      <c r="T146" s="165">
        <f t="shared" si="29"/>
        <v>11.374904007072841</v>
      </c>
      <c r="U146" s="424"/>
      <c r="V146" s="424"/>
      <c r="W146" s="222"/>
      <c r="X146" s="314">
        <f t="shared" si="30"/>
        <v>87144</v>
      </c>
      <c r="Y146" s="316">
        <f t="shared" si="52"/>
        <v>929.29600000000005</v>
      </c>
      <c r="AA146" s="165">
        <f t="shared" si="31"/>
        <v>11.363357601314338</v>
      </c>
      <c r="AB146" s="424"/>
      <c r="AC146" s="424"/>
      <c r="AD146" s="222"/>
      <c r="AE146" s="314">
        <f t="shared" si="32"/>
        <v>87144</v>
      </c>
      <c r="AF146" s="316">
        <f t="shared" si="53"/>
        <v>929.29600000000005</v>
      </c>
      <c r="AH146" s="165">
        <f t="shared" si="33"/>
        <v>11.351676317193608</v>
      </c>
      <c r="AI146" s="424"/>
      <c r="AJ146" s="424"/>
      <c r="AK146" s="222"/>
      <c r="AL146" s="314">
        <f t="shared" si="34"/>
        <v>87144</v>
      </c>
      <c r="AM146" s="316">
        <f t="shared" si="54"/>
        <v>929.29600000000005</v>
      </c>
      <c r="AO146" s="165">
        <f t="shared" si="35"/>
        <v>11.339856966288325</v>
      </c>
      <c r="AP146" s="424"/>
      <c r="AQ146" s="424"/>
      <c r="AR146" s="222"/>
      <c r="AS146" s="314">
        <f t="shared" si="36"/>
        <v>87144</v>
      </c>
      <c r="AT146" s="316">
        <f t="shared" si="55"/>
        <v>929.29600000000005</v>
      </c>
      <c r="AV146" s="165">
        <f t="shared" si="37"/>
        <v>11.327896245764677</v>
      </c>
      <c r="AW146" s="424"/>
      <c r="AX146" s="424"/>
      <c r="AY146" s="222"/>
      <c r="AZ146" s="314">
        <f t="shared" si="38"/>
        <v>87143</v>
      </c>
      <c r="BA146" s="316">
        <f t="shared" si="56"/>
        <v>931.22500000000002</v>
      </c>
      <c r="BC146" s="165">
        <f t="shared" si="39"/>
        <v>11.315790732837069</v>
      </c>
      <c r="BD146" s="424"/>
      <c r="BE146" s="424"/>
      <c r="BF146" s="222"/>
      <c r="BG146" s="314">
        <f t="shared" si="40"/>
        <v>87143</v>
      </c>
      <c r="BH146" s="316">
        <f t="shared" si="57"/>
        <v>931.22500000000002</v>
      </c>
      <c r="BJ146" s="165">
        <f t="shared" si="41"/>
        <v>11.303536878888355</v>
      </c>
      <c r="BK146" s="424"/>
      <c r="BL146" s="424"/>
      <c r="BM146" s="222"/>
      <c r="BN146" s="314">
        <f t="shared" si="42"/>
        <v>87143</v>
      </c>
      <c r="BO146" s="316">
        <f t="shared" si="58"/>
        <v>931.22500000000002</v>
      </c>
      <c r="BQ146" s="165">
        <f t="shared" si="43"/>
        <v>11.291131003225313</v>
      </c>
      <c r="BR146" s="424"/>
      <c r="BS146" s="424"/>
      <c r="BT146" s="222"/>
      <c r="BU146" s="314">
        <f t="shared" si="44"/>
        <v>87143</v>
      </c>
      <c r="BV146" s="316">
        <f t="shared" si="59"/>
        <v>931.22500000000002</v>
      </c>
      <c r="BX146" s="165">
        <f t="shared" si="45"/>
        <v>11.278569286441915</v>
      </c>
      <c r="BY146" s="424"/>
      <c r="BZ146" s="424"/>
      <c r="CA146" s="222"/>
      <c r="CB146" s="314">
        <f t="shared" si="46"/>
        <v>87142</v>
      </c>
      <c r="CC146" s="316">
        <f t="shared" si="60"/>
        <v>933.15599999999995</v>
      </c>
      <c r="CD146" s="424"/>
      <c r="CE146" s="167"/>
      <c r="CF146" s="126"/>
      <c r="CG146" s="126"/>
      <c r="CH146" s="144"/>
      <c r="CI146" s="169"/>
      <c r="CJ146" s="169"/>
      <c r="CK146" s="424"/>
      <c r="CL146" s="167"/>
      <c r="CM146" s="126"/>
      <c r="CN146" s="126"/>
      <c r="CO146" s="144"/>
      <c r="CP146" s="169"/>
      <c r="CQ146" s="169"/>
      <c r="CR146" s="424"/>
      <c r="CS146" s="167"/>
      <c r="CT146" s="126"/>
      <c r="CU146" s="126"/>
      <c r="CV146" s="144"/>
      <c r="CW146" s="169"/>
      <c r="CX146" s="169"/>
      <c r="CY146" s="424"/>
      <c r="CZ146" s="167"/>
      <c r="DA146" s="126"/>
      <c r="DB146" s="126"/>
      <c r="DC146" s="144"/>
      <c r="DD146" s="169"/>
      <c r="DE146" s="169"/>
      <c r="DF146" s="424"/>
      <c r="DG146" s="167"/>
      <c r="DH146" s="126"/>
      <c r="DI146" s="126"/>
      <c r="DJ146" s="144"/>
      <c r="DK146" s="169"/>
      <c r="DL146" s="169"/>
      <c r="DM146" s="424"/>
      <c r="DN146" s="167"/>
      <c r="DO146" s="126"/>
      <c r="DP146" s="126"/>
      <c r="DQ146" s="144"/>
      <c r="DR146" s="169"/>
      <c r="DS146" s="169"/>
      <c r="DT146" s="424"/>
      <c r="DU146" s="424"/>
      <c r="DV146" s="424"/>
      <c r="DW146" s="424"/>
      <c r="DX146" s="424"/>
      <c r="DY146" s="424"/>
      <c r="DZ146" s="424"/>
    </row>
    <row r="147" spans="1:130" ht="15" customHeight="1">
      <c r="A147" s="310">
        <f t="shared" si="25"/>
        <v>2012</v>
      </c>
      <c r="B147" s="311">
        <f t="shared" si="25"/>
        <v>88415</v>
      </c>
      <c r="C147" s="138">
        <f t="shared" si="47"/>
        <v>11.366916550834594</v>
      </c>
      <c r="D147" s="312">
        <f t="shared" si="48"/>
        <v>7</v>
      </c>
      <c r="H147" s="124"/>
      <c r="I147" s="314">
        <f t="shared" si="26"/>
        <v>86650</v>
      </c>
      <c r="J147" s="143">
        <f t="shared" si="49"/>
        <v>1.9962676016513037</v>
      </c>
      <c r="K147" s="143">
        <f t="shared" si="50"/>
        <v>3115.2249999999999</v>
      </c>
      <c r="M147" s="165">
        <f t="shared" si="27"/>
        <v>11.389796917489077</v>
      </c>
      <c r="N147" s="313" t="s">
        <v>1056</v>
      </c>
      <c r="O147" s="144">
        <f>Q139</f>
        <v>0.73636384167625391</v>
      </c>
      <c r="P147" s="222"/>
      <c r="Q147" s="314">
        <f t="shared" si="28"/>
        <v>86650</v>
      </c>
      <c r="R147" s="316">
        <f t="shared" si="51"/>
        <v>3115.2249999999999</v>
      </c>
      <c r="T147" s="165">
        <f t="shared" si="29"/>
        <v>11.378422171631749</v>
      </c>
      <c r="U147" s="313" t="s">
        <v>1056</v>
      </c>
      <c r="V147" s="144">
        <f>X139</f>
        <v>0.73638175264017702</v>
      </c>
      <c r="W147" s="222"/>
      <c r="X147" s="314">
        <f t="shared" si="30"/>
        <v>86650</v>
      </c>
      <c r="Y147" s="316">
        <f t="shared" si="52"/>
        <v>3115.2249999999999</v>
      </c>
      <c r="AA147" s="165">
        <f t="shared" si="31"/>
        <v>11.366916550834594</v>
      </c>
      <c r="AB147" s="313" t="s">
        <v>1056</v>
      </c>
      <c r="AC147" s="144">
        <f>AE139</f>
        <v>0.73638175264017702</v>
      </c>
      <c r="AD147" s="222"/>
      <c r="AE147" s="314">
        <f t="shared" si="32"/>
        <v>86650</v>
      </c>
      <c r="AF147" s="316">
        <f t="shared" si="53"/>
        <v>3115.2249999999999</v>
      </c>
      <c r="AH147" s="165">
        <f t="shared" si="33"/>
        <v>11.355277008381158</v>
      </c>
      <c r="AI147" s="313" t="s">
        <v>1056</v>
      </c>
      <c r="AJ147" s="144">
        <f>AL139</f>
        <v>0.73625386539450455</v>
      </c>
      <c r="AK147" s="222"/>
      <c r="AL147" s="314">
        <f t="shared" si="34"/>
        <v>86649</v>
      </c>
      <c r="AM147" s="316">
        <f t="shared" si="54"/>
        <v>3118.7559999999999</v>
      </c>
      <c r="AO147" s="165">
        <f t="shared" si="35"/>
        <v>11.343500389911293</v>
      </c>
      <c r="AP147" s="313" t="s">
        <v>1056</v>
      </c>
      <c r="AQ147" s="144">
        <f>AS139</f>
        <v>0.73620279022778157</v>
      </c>
      <c r="AR147" s="222"/>
      <c r="AS147" s="314">
        <f t="shared" si="36"/>
        <v>86649</v>
      </c>
      <c r="AT147" s="316">
        <f t="shared" si="55"/>
        <v>3118.7559999999999</v>
      </c>
      <c r="AV147" s="165">
        <f t="shared" si="37"/>
        <v>11.331583428289774</v>
      </c>
      <c r="AW147" s="313" t="s">
        <v>1056</v>
      </c>
      <c r="AX147" s="144">
        <f>AZ139</f>
        <v>0.73613299390883102</v>
      </c>
      <c r="AY147" s="222"/>
      <c r="AZ147" s="314">
        <f t="shared" si="38"/>
        <v>86649</v>
      </c>
      <c r="BA147" s="316">
        <f t="shared" si="56"/>
        <v>3118.7559999999999</v>
      </c>
      <c r="BC147" s="165">
        <f t="shared" si="39"/>
        <v>11.319522738165457</v>
      </c>
      <c r="BD147" s="313" t="s">
        <v>1056</v>
      </c>
      <c r="BE147" s="144">
        <f>BG139</f>
        <v>0.73611910047215701</v>
      </c>
      <c r="BF147" s="222"/>
      <c r="BG147" s="314">
        <f t="shared" si="40"/>
        <v>86649</v>
      </c>
      <c r="BH147" s="316">
        <f t="shared" si="57"/>
        <v>3118.7559999999999</v>
      </c>
      <c r="BJ147" s="165">
        <f t="shared" si="41"/>
        <v>11.307314810198321</v>
      </c>
      <c r="BK147" s="313" t="s">
        <v>1056</v>
      </c>
      <c r="BL147" s="144">
        <f>BN139</f>
        <v>0.73611910047215701</v>
      </c>
      <c r="BM147" s="222"/>
      <c r="BN147" s="314">
        <f t="shared" si="42"/>
        <v>86649</v>
      </c>
      <c r="BO147" s="316">
        <f t="shared" si="58"/>
        <v>3118.7559999999999</v>
      </c>
      <c r="BQ147" s="165">
        <f t="shared" si="43"/>
        <v>11.294956004929748</v>
      </c>
      <c r="BR147" s="313" t="s">
        <v>1056</v>
      </c>
      <c r="BS147" s="144">
        <f>BU139</f>
        <v>0.7359912775419053</v>
      </c>
      <c r="BT147" s="222"/>
      <c r="BU147" s="314">
        <f t="shared" si="44"/>
        <v>86648</v>
      </c>
      <c r="BV147" s="316">
        <f t="shared" si="59"/>
        <v>3122.2890000000002</v>
      </c>
      <c r="BX147" s="165">
        <f t="shared" si="45"/>
        <v>11.282442546269255</v>
      </c>
      <c r="BY147" s="313" t="s">
        <v>1056</v>
      </c>
      <c r="BZ147" s="144">
        <f>CB139</f>
        <v>0.73591511215901229</v>
      </c>
      <c r="CA147" s="222"/>
      <c r="CB147" s="314">
        <f t="shared" si="46"/>
        <v>86648</v>
      </c>
      <c r="CC147" s="316">
        <f t="shared" si="60"/>
        <v>3122.2890000000002</v>
      </c>
      <c r="CD147" s="424"/>
      <c r="CE147" s="167"/>
      <c r="CF147" s="424"/>
      <c r="CG147" s="424"/>
      <c r="CH147" s="424"/>
      <c r="CI147" s="169"/>
      <c r="CJ147" s="169"/>
      <c r="CK147" s="424"/>
      <c r="CL147" s="167"/>
      <c r="CM147" s="424"/>
      <c r="CN147" s="424"/>
      <c r="CO147" s="424"/>
      <c r="CP147" s="169"/>
      <c r="CQ147" s="169"/>
      <c r="CR147" s="424"/>
      <c r="CS147" s="167"/>
      <c r="CT147" s="424"/>
      <c r="CU147" s="424"/>
      <c r="CV147" s="424"/>
      <c r="CW147" s="169"/>
      <c r="CX147" s="169"/>
      <c r="CY147" s="424"/>
      <c r="CZ147" s="167"/>
      <c r="DA147" s="424"/>
      <c r="DB147" s="424"/>
      <c r="DC147" s="424"/>
      <c r="DD147" s="169"/>
      <c r="DE147" s="169"/>
      <c r="DF147" s="424"/>
      <c r="DG147" s="167"/>
      <c r="DH147" s="424"/>
      <c r="DI147" s="424"/>
      <c r="DJ147" s="424"/>
      <c r="DK147" s="169"/>
      <c r="DL147" s="169"/>
      <c r="DM147" s="424"/>
      <c r="DN147" s="167"/>
      <c r="DO147" s="424"/>
      <c r="DP147" s="424"/>
      <c r="DQ147" s="424"/>
      <c r="DR147" s="169"/>
      <c r="DS147" s="169"/>
      <c r="DT147" s="424"/>
      <c r="DU147" s="424"/>
      <c r="DV147" s="424"/>
      <c r="DW147" s="424"/>
      <c r="DX147" s="424"/>
      <c r="DY147" s="424"/>
      <c r="DZ147" s="424"/>
    </row>
    <row r="148" spans="1:130" ht="15" customHeight="1">
      <c r="A148" s="310">
        <f t="shared" si="25"/>
        <v>2013</v>
      </c>
      <c r="B148" s="311">
        <f t="shared" si="25"/>
        <v>85843</v>
      </c>
      <c r="C148" s="138">
        <f t="shared" si="47"/>
        <v>11.33670128135744</v>
      </c>
      <c r="D148" s="312">
        <f t="shared" si="48"/>
        <v>8</v>
      </c>
      <c r="E148" s="81" t="s">
        <v>394</v>
      </c>
      <c r="F148" s="145">
        <f>EXP(G145)</f>
        <v>88170.908198658901</v>
      </c>
      <c r="G148" s="424"/>
      <c r="H148" s="424"/>
      <c r="I148" s="314">
        <f t="shared" si="26"/>
        <v>86158</v>
      </c>
      <c r="J148" s="143">
        <f t="shared" si="49"/>
        <v>0.36694896497093532</v>
      </c>
      <c r="K148" s="143">
        <f t="shared" si="50"/>
        <v>99.224999999999994</v>
      </c>
      <c r="M148" s="165">
        <f t="shared" si="27"/>
        <v>11.360275325435733</v>
      </c>
      <c r="N148" s="313" t="s">
        <v>395</v>
      </c>
      <c r="O148" s="173">
        <f>SUM(R141:R150)</f>
        <v>7162.8179999999993</v>
      </c>
      <c r="P148" s="424"/>
      <c r="Q148" s="314">
        <f t="shared" si="28"/>
        <v>86159</v>
      </c>
      <c r="R148" s="316">
        <f t="shared" si="51"/>
        <v>99.855999999999995</v>
      </c>
      <c r="T148" s="165">
        <f t="shared" si="29"/>
        <v>11.34855776873237</v>
      </c>
      <c r="U148" s="313" t="s">
        <v>395</v>
      </c>
      <c r="V148" s="173">
        <f>SUM(Y141:Y150)</f>
        <v>7162.3940000000002</v>
      </c>
      <c r="W148" s="424"/>
      <c r="X148" s="314">
        <f t="shared" si="30"/>
        <v>86158</v>
      </c>
      <c r="Y148" s="316">
        <f t="shared" si="52"/>
        <v>99.224999999999994</v>
      </c>
      <c r="AA148" s="165">
        <f t="shared" si="31"/>
        <v>11.33670128135744</v>
      </c>
      <c r="AB148" s="313" t="s">
        <v>395</v>
      </c>
      <c r="AC148" s="173">
        <f>SUM(AF141:AF150)</f>
        <v>7162.3940000000002</v>
      </c>
      <c r="AD148" s="424"/>
      <c r="AE148" s="314">
        <f t="shared" si="32"/>
        <v>86158</v>
      </c>
      <c r="AF148" s="316">
        <f t="shared" si="53"/>
        <v>99.224999999999994</v>
      </c>
      <c r="AH148" s="165">
        <f t="shared" si="33"/>
        <v>11.324702529242979</v>
      </c>
      <c r="AI148" s="313" t="s">
        <v>395</v>
      </c>
      <c r="AJ148" s="173">
        <f>SUM(AM141:AM150)</f>
        <v>7165.9249999999993</v>
      </c>
      <c r="AK148" s="424"/>
      <c r="AL148" s="314">
        <f t="shared" si="34"/>
        <v>86158</v>
      </c>
      <c r="AM148" s="316">
        <f t="shared" si="54"/>
        <v>99.224999999999994</v>
      </c>
      <c r="AO148" s="165">
        <f t="shared" si="35"/>
        <v>11.312558056845157</v>
      </c>
      <c r="AP148" s="313" t="s">
        <v>395</v>
      </c>
      <c r="AQ148" s="173">
        <f>SUM(AT141:AT150)</f>
        <v>7167.4320000000007</v>
      </c>
      <c r="AR148" s="424"/>
      <c r="AS148" s="314">
        <f t="shared" si="36"/>
        <v>86158</v>
      </c>
      <c r="AT148" s="316">
        <f t="shared" si="55"/>
        <v>99.224999999999994</v>
      </c>
      <c r="AV148" s="165">
        <f t="shared" si="37"/>
        <v>11.300264281170401</v>
      </c>
      <c r="AW148" s="313" t="s">
        <v>395</v>
      </c>
      <c r="AX148" s="173">
        <f>SUM(BA141:BA150)</f>
        <v>7169.3610000000008</v>
      </c>
      <c r="AY148" s="424"/>
      <c r="AZ148" s="314">
        <f t="shared" si="38"/>
        <v>86158</v>
      </c>
      <c r="BA148" s="316">
        <f t="shared" si="56"/>
        <v>99.224999999999994</v>
      </c>
      <c r="BC148" s="165">
        <f t="shared" si="39"/>
        <v>11.287817485429718</v>
      </c>
      <c r="BD148" s="313" t="s">
        <v>395</v>
      </c>
      <c r="BE148" s="173">
        <f>SUM(BH141:BH150)</f>
        <v>7169.8179999999993</v>
      </c>
      <c r="BF148" s="424"/>
      <c r="BG148" s="314">
        <f t="shared" si="40"/>
        <v>86157</v>
      </c>
      <c r="BH148" s="316">
        <f t="shared" si="57"/>
        <v>98.596000000000004</v>
      </c>
      <c r="BJ148" s="165">
        <f t="shared" si="41"/>
        <v>11.275213812293087</v>
      </c>
      <c r="BK148" s="313" t="s">
        <v>395</v>
      </c>
      <c r="BL148" s="173">
        <f>SUM(BO141:BO150)</f>
        <v>7169.8179999999993</v>
      </c>
      <c r="BM148" s="424"/>
      <c r="BN148" s="314">
        <f t="shared" si="42"/>
        <v>86157</v>
      </c>
      <c r="BO148" s="316">
        <f t="shared" si="58"/>
        <v>98.596000000000004</v>
      </c>
      <c r="BQ148" s="165">
        <f t="shared" si="43"/>
        <v>11.262449256713312</v>
      </c>
      <c r="BR148" s="313" t="s">
        <v>395</v>
      </c>
      <c r="BS148" s="173">
        <f>SUM(BV141:BV150)</f>
        <v>7173.3509999999987</v>
      </c>
      <c r="BT148" s="424"/>
      <c r="BU148" s="314">
        <f t="shared" si="44"/>
        <v>86157</v>
      </c>
      <c r="BV148" s="316">
        <f t="shared" si="59"/>
        <v>98.596000000000004</v>
      </c>
      <c r="BX148" s="165">
        <f t="shared" si="45"/>
        <v>11.249519658285907</v>
      </c>
      <c r="BY148" s="313" t="s">
        <v>395</v>
      </c>
      <c r="BZ148" s="173">
        <f>SUM(CC141:CC150)</f>
        <v>7175.494999999999</v>
      </c>
      <c r="CA148" s="424"/>
      <c r="CB148" s="314">
        <f t="shared" si="46"/>
        <v>86157</v>
      </c>
      <c r="CC148" s="316">
        <f t="shared" si="60"/>
        <v>98.596000000000004</v>
      </c>
      <c r="CD148" s="424"/>
      <c r="CE148" s="167"/>
      <c r="CF148" s="126"/>
      <c r="CG148" s="171"/>
      <c r="CH148" s="424"/>
      <c r="CI148" s="169"/>
      <c r="CJ148" s="169"/>
      <c r="CK148" s="424"/>
      <c r="CL148" s="167"/>
      <c r="CM148" s="126"/>
      <c r="CN148" s="171"/>
      <c r="CO148" s="424"/>
      <c r="CP148" s="169"/>
      <c r="CQ148" s="169"/>
      <c r="CR148" s="424"/>
      <c r="CS148" s="167"/>
      <c r="CT148" s="126"/>
      <c r="CU148" s="171"/>
      <c r="CV148" s="424"/>
      <c r="CW148" s="169"/>
      <c r="CX148" s="169"/>
      <c r="CY148" s="424"/>
      <c r="CZ148" s="167"/>
      <c r="DA148" s="126"/>
      <c r="DB148" s="171"/>
      <c r="DC148" s="424"/>
      <c r="DD148" s="169"/>
      <c r="DE148" s="169"/>
      <c r="DF148" s="424"/>
      <c r="DG148" s="167"/>
      <c r="DH148" s="126"/>
      <c r="DI148" s="171"/>
      <c r="DJ148" s="424"/>
      <c r="DK148" s="169"/>
      <c r="DL148" s="169"/>
      <c r="DM148" s="424"/>
      <c r="DN148" s="167"/>
      <c r="DO148" s="126"/>
      <c r="DP148" s="171"/>
      <c r="DQ148" s="424"/>
      <c r="DR148" s="169"/>
      <c r="DS148" s="169"/>
      <c r="DT148" s="424"/>
      <c r="DU148" s="424"/>
      <c r="DV148" s="424"/>
      <c r="DW148" s="424"/>
      <c r="DX148" s="424"/>
      <c r="DY148" s="424"/>
      <c r="DZ148" s="424"/>
    </row>
    <row r="149" spans="1:130" ht="15" customHeight="1">
      <c r="A149" s="310">
        <f t="shared" si="25"/>
        <v>2014</v>
      </c>
      <c r="B149" s="311">
        <f t="shared" si="25"/>
        <v>85853</v>
      </c>
      <c r="C149" s="138">
        <f t="shared" si="47"/>
        <v>11.336820544786644</v>
      </c>
      <c r="D149" s="312">
        <f t="shared" si="48"/>
        <v>9</v>
      </c>
      <c r="E149" s="126" t="s">
        <v>396</v>
      </c>
      <c r="F149" s="172">
        <f>EXP(G146)-1</f>
        <v>-5.8053311610654079E-3</v>
      </c>
      <c r="G149" s="424"/>
      <c r="H149" s="424"/>
      <c r="I149" s="314">
        <f t="shared" si="26"/>
        <v>85670</v>
      </c>
      <c r="J149" s="143">
        <f t="shared" si="49"/>
        <v>0.21315504408698591</v>
      </c>
      <c r="K149" s="143">
        <f t="shared" si="50"/>
        <v>33.488999999999997</v>
      </c>
      <c r="M149" s="165">
        <f t="shared" si="27"/>
        <v>11.360391810386009</v>
      </c>
      <c r="N149" s="424"/>
      <c r="O149" s="424"/>
      <c r="P149" s="424"/>
      <c r="Q149" s="314">
        <f t="shared" si="28"/>
        <v>85670</v>
      </c>
      <c r="R149" s="316">
        <f t="shared" si="51"/>
        <v>33.488999999999997</v>
      </c>
      <c r="T149" s="165">
        <f t="shared" si="29"/>
        <v>11.348675626548836</v>
      </c>
      <c r="U149" s="424"/>
      <c r="V149" s="424"/>
      <c r="W149" s="424"/>
      <c r="X149" s="314">
        <f t="shared" si="30"/>
        <v>85670</v>
      </c>
      <c r="Y149" s="316">
        <f t="shared" si="52"/>
        <v>33.488999999999997</v>
      </c>
      <c r="AA149" s="165">
        <f t="shared" si="31"/>
        <v>11.336820544786644</v>
      </c>
      <c r="AB149" s="424"/>
      <c r="AC149" s="424"/>
      <c r="AD149" s="424"/>
      <c r="AE149" s="314">
        <f t="shared" si="32"/>
        <v>85670</v>
      </c>
      <c r="AF149" s="316">
        <f t="shared" si="53"/>
        <v>33.488999999999997</v>
      </c>
      <c r="AH149" s="165">
        <f t="shared" si="33"/>
        <v>11.324823232217247</v>
      </c>
      <c r="AI149" s="424"/>
      <c r="AJ149" s="424"/>
      <c r="AK149" s="424"/>
      <c r="AL149" s="314">
        <f t="shared" si="34"/>
        <v>85670</v>
      </c>
      <c r="AM149" s="316">
        <f t="shared" si="54"/>
        <v>33.488999999999997</v>
      </c>
      <c r="AO149" s="165">
        <f t="shared" si="35"/>
        <v>11.312680234540549</v>
      </c>
      <c r="AP149" s="424"/>
      <c r="AQ149" s="424"/>
      <c r="AR149" s="424"/>
      <c r="AS149" s="314">
        <f t="shared" si="36"/>
        <v>85669</v>
      </c>
      <c r="AT149" s="316">
        <f t="shared" si="55"/>
        <v>33.856000000000002</v>
      </c>
      <c r="AV149" s="165">
        <f t="shared" si="37"/>
        <v>11.300387970068243</v>
      </c>
      <c r="AW149" s="424"/>
      <c r="AX149" s="424"/>
      <c r="AY149" s="424"/>
      <c r="AZ149" s="314">
        <f t="shared" si="38"/>
        <v>85669</v>
      </c>
      <c r="BA149" s="316">
        <f t="shared" si="56"/>
        <v>33.856000000000002</v>
      </c>
      <c r="BC149" s="165">
        <f t="shared" si="39"/>
        <v>11.28794272338199</v>
      </c>
      <c r="BD149" s="424"/>
      <c r="BE149" s="424"/>
      <c r="BF149" s="424"/>
      <c r="BG149" s="314">
        <f t="shared" si="40"/>
        <v>85669</v>
      </c>
      <c r="BH149" s="316">
        <f t="shared" si="57"/>
        <v>33.856000000000002</v>
      </c>
      <c r="BJ149" s="165">
        <f t="shared" si="41"/>
        <v>11.27534063859196</v>
      </c>
      <c r="BK149" s="424"/>
      <c r="BL149" s="424"/>
      <c r="BM149" s="424"/>
      <c r="BN149" s="314">
        <f t="shared" si="42"/>
        <v>85669</v>
      </c>
      <c r="BO149" s="316">
        <f t="shared" si="58"/>
        <v>33.856000000000002</v>
      </c>
      <c r="BQ149" s="165">
        <f t="shared" si="43"/>
        <v>11.262577712165138</v>
      </c>
      <c r="BR149" s="424"/>
      <c r="BS149" s="424"/>
      <c r="BT149" s="424"/>
      <c r="BU149" s="314">
        <f t="shared" si="44"/>
        <v>85669</v>
      </c>
      <c r="BV149" s="316">
        <f t="shared" si="59"/>
        <v>33.856000000000002</v>
      </c>
      <c r="BX149" s="165">
        <f t="shared" si="45"/>
        <v>11.249649785290046</v>
      </c>
      <c r="BY149" s="424"/>
      <c r="BZ149" s="424"/>
      <c r="CA149" s="424"/>
      <c r="CB149" s="314">
        <f t="shared" si="46"/>
        <v>85669</v>
      </c>
      <c r="CC149" s="316">
        <f t="shared" si="60"/>
        <v>33.856000000000002</v>
      </c>
      <c r="CD149" s="424"/>
      <c r="CE149" s="167"/>
      <c r="CF149" s="126"/>
      <c r="CG149" s="172"/>
      <c r="CH149" s="424"/>
      <c r="CI149" s="169"/>
      <c r="CJ149" s="169"/>
      <c r="CK149" s="424"/>
      <c r="CL149" s="167"/>
      <c r="CM149" s="126"/>
      <c r="CN149" s="172"/>
      <c r="CO149" s="424"/>
      <c r="CP149" s="169"/>
      <c r="CQ149" s="169"/>
      <c r="CR149" s="424"/>
      <c r="CS149" s="167"/>
      <c r="CT149" s="126"/>
      <c r="CU149" s="172"/>
      <c r="CV149" s="424"/>
      <c r="CW149" s="169"/>
      <c r="CX149" s="169"/>
      <c r="CY149" s="424"/>
      <c r="CZ149" s="167"/>
      <c r="DA149" s="126"/>
      <c r="DB149" s="172"/>
      <c r="DC149" s="424"/>
      <c r="DD149" s="169"/>
      <c r="DE149" s="169"/>
      <c r="DF149" s="424"/>
      <c r="DG149" s="167"/>
      <c r="DH149" s="126"/>
      <c r="DI149" s="172"/>
      <c r="DJ149" s="424"/>
      <c r="DK149" s="169"/>
      <c r="DL149" s="169"/>
      <c r="DM149" s="424"/>
      <c r="DN149" s="167"/>
      <c r="DO149" s="126"/>
      <c r="DP149" s="172"/>
      <c r="DQ149" s="424"/>
      <c r="DR149" s="169"/>
      <c r="DS149" s="169"/>
      <c r="DT149" s="424"/>
      <c r="DU149" s="424"/>
      <c r="DV149" s="424"/>
      <c r="DW149" s="424"/>
      <c r="DX149" s="424"/>
      <c r="DY149" s="424"/>
      <c r="DZ149" s="424"/>
    </row>
    <row r="150" spans="1:130" ht="15" customHeight="1" thickBot="1">
      <c r="A150" s="130">
        <f t="shared" si="25"/>
        <v>2015</v>
      </c>
      <c r="B150" s="131">
        <f t="shared" si="25"/>
        <v>83739</v>
      </c>
      <c r="C150" s="147">
        <f t="shared" si="47"/>
        <v>11.311286523131027</v>
      </c>
      <c r="D150" s="460">
        <f t="shared" si="48"/>
        <v>10</v>
      </c>
      <c r="E150" s="317"/>
      <c r="F150" s="317"/>
      <c r="G150" s="650"/>
      <c r="H150" s="317"/>
      <c r="I150" s="319">
        <f t="shared" si="26"/>
        <v>85184</v>
      </c>
      <c r="J150" s="148">
        <f>ABS(B150-I150)/B150*100</f>
        <v>1.7255997802696474</v>
      </c>
      <c r="K150" s="148">
        <f>(B150-I150)^2/1000</f>
        <v>2088.0250000000001</v>
      </c>
      <c r="M150" s="174">
        <f t="shared" si="27"/>
        <v>11.335460097777446</v>
      </c>
      <c r="N150" s="175"/>
      <c r="O150" s="309"/>
      <c r="P150" s="176"/>
      <c r="Q150" s="326">
        <f t="shared" si="28"/>
        <v>85184</v>
      </c>
      <c r="R150" s="177">
        <f>($B150-Q150)^2/1000</f>
        <v>2088.0250000000001</v>
      </c>
      <c r="T150" s="174">
        <f t="shared" si="29"/>
        <v>11.32344635388967</v>
      </c>
      <c r="U150" s="175"/>
      <c r="V150" s="309"/>
      <c r="W150" s="176"/>
      <c r="X150" s="326">
        <f t="shared" si="30"/>
        <v>85184</v>
      </c>
      <c r="Y150" s="177">
        <f>($B150-X150)^2/1000</f>
        <v>2088.0250000000001</v>
      </c>
      <c r="AA150" s="174">
        <f t="shared" si="31"/>
        <v>11.311286523131027</v>
      </c>
      <c r="AB150" s="175"/>
      <c r="AC150" s="309"/>
      <c r="AD150" s="176"/>
      <c r="AE150" s="326">
        <f t="shared" si="32"/>
        <v>85184</v>
      </c>
      <c r="AF150" s="177">
        <f>($B150-AE150)^2/1000</f>
        <v>2088.0250000000001</v>
      </c>
      <c r="AH150" s="174">
        <f t="shared" si="33"/>
        <v>11.298977008895504</v>
      </c>
      <c r="AI150" s="175"/>
      <c r="AJ150" s="309"/>
      <c r="AK150" s="176"/>
      <c r="AL150" s="326">
        <f t="shared" si="34"/>
        <v>85184</v>
      </c>
      <c r="AM150" s="177">
        <f>($B150-AL150)^2/1000</f>
        <v>2088.0250000000001</v>
      </c>
      <c r="AO150" s="174">
        <f t="shared" si="35"/>
        <v>11.286514080099249</v>
      </c>
      <c r="AP150" s="175"/>
      <c r="AQ150" s="309"/>
      <c r="AR150" s="176"/>
      <c r="AS150" s="326">
        <f t="shared" si="36"/>
        <v>85184</v>
      </c>
      <c r="AT150" s="177">
        <f>($B150-AS150)^2/1000</f>
        <v>2088.0250000000001</v>
      </c>
      <c r="AV150" s="174">
        <f t="shared" si="37"/>
        <v>11.273893864391683</v>
      </c>
      <c r="AW150" s="175"/>
      <c r="AX150" s="309"/>
      <c r="AY150" s="176"/>
      <c r="AZ150" s="326">
        <f t="shared" si="38"/>
        <v>85184</v>
      </c>
      <c r="BA150" s="177">
        <f>($B150-AZ150)^2/1000</f>
        <v>2088.0250000000001</v>
      </c>
      <c r="BC150" s="174">
        <f t="shared" si="39"/>
        <v>11.261112340932691</v>
      </c>
      <c r="BD150" s="175"/>
      <c r="BE150" s="309"/>
      <c r="BF150" s="176"/>
      <c r="BG150" s="326">
        <f t="shared" si="40"/>
        <v>85184</v>
      </c>
      <c r="BH150" s="177">
        <f>($B150-BG150)^2/1000</f>
        <v>2088.0250000000001</v>
      </c>
      <c r="BJ150" s="174">
        <f t="shared" si="41"/>
        <v>11.248165332702227</v>
      </c>
      <c r="BK150" s="175"/>
      <c r="BL150" s="309"/>
      <c r="BM150" s="176"/>
      <c r="BN150" s="326">
        <f t="shared" si="42"/>
        <v>85184</v>
      </c>
      <c r="BO150" s="177">
        <f>($B150-BN150)^2/1000</f>
        <v>2088.0250000000001</v>
      </c>
      <c r="BQ150" s="174">
        <f t="shared" si="43"/>
        <v>11.235048498305513</v>
      </c>
      <c r="BR150" s="175"/>
      <c r="BS150" s="309"/>
      <c r="BT150" s="176"/>
      <c r="BU150" s="326">
        <f t="shared" si="44"/>
        <v>85184</v>
      </c>
      <c r="BV150" s="177">
        <f>($B150-BU150)^2/1000</f>
        <v>2088.0250000000001</v>
      </c>
      <c r="BX150" s="174">
        <f t="shared" si="45"/>
        <v>11.221757323233616</v>
      </c>
      <c r="BY150" s="175"/>
      <c r="BZ150" s="309"/>
      <c r="CA150" s="176"/>
      <c r="CB150" s="326">
        <f t="shared" si="46"/>
        <v>85184</v>
      </c>
      <c r="CC150" s="177">
        <f>($B150-CB150)^2/1000</f>
        <v>2088.0250000000001</v>
      </c>
      <c r="CD150" s="424"/>
      <c r="CE150" s="167"/>
      <c r="CF150" s="424"/>
      <c r="CG150" s="424"/>
      <c r="CH150" s="222"/>
      <c r="CI150" s="169"/>
      <c r="CJ150" s="169"/>
      <c r="CK150" s="424"/>
      <c r="CL150" s="167"/>
      <c r="CM150" s="424"/>
      <c r="CN150" s="424"/>
      <c r="CO150" s="222"/>
      <c r="CP150" s="169"/>
      <c r="CQ150" s="169"/>
      <c r="CR150" s="424"/>
      <c r="CS150" s="167"/>
      <c r="CT150" s="424"/>
      <c r="CU150" s="424"/>
      <c r="CV150" s="222"/>
      <c r="CW150" s="169"/>
      <c r="CX150" s="169"/>
      <c r="CY150" s="424"/>
      <c r="CZ150" s="167"/>
      <c r="DA150" s="424"/>
      <c r="DB150" s="424"/>
      <c r="DC150" s="222"/>
      <c r="DD150" s="169"/>
      <c r="DE150" s="169"/>
      <c r="DF150" s="424"/>
      <c r="DG150" s="167"/>
      <c r="DH150" s="424"/>
      <c r="DI150" s="424"/>
      <c r="DJ150" s="222"/>
      <c r="DK150" s="169"/>
      <c r="DL150" s="169"/>
      <c r="DM150" s="424"/>
      <c r="DN150" s="167"/>
      <c r="DO150" s="424"/>
      <c r="DP150" s="424"/>
      <c r="DQ150" s="222"/>
      <c r="DR150" s="169"/>
      <c r="DS150" s="169"/>
      <c r="DT150" s="424"/>
      <c r="DU150" s="424"/>
      <c r="DV150" s="424"/>
      <c r="DW150" s="424"/>
      <c r="DX150" s="424"/>
      <c r="DY150" s="424"/>
      <c r="DZ150" s="424"/>
    </row>
    <row r="151" spans="1:130" ht="15" customHeight="1" thickTop="1">
      <c r="A151" s="310">
        <f t="shared" si="25"/>
        <v>2016</v>
      </c>
      <c r="B151" s="311">
        <f t="shared" ref="B151:B173" si="61">ROUND($F$148*(1+$F$149)^D151+$F$144,$G$1)</f>
        <v>84701</v>
      </c>
      <c r="C151" s="138"/>
      <c r="D151" s="312">
        <f t="shared" si="48"/>
        <v>11</v>
      </c>
      <c r="E151" s="974" t="s">
        <v>345</v>
      </c>
      <c r="F151" s="975"/>
      <c r="G151" s="149">
        <f>I139</f>
        <v>0.73638175264017702</v>
      </c>
      <c r="H151" s="424"/>
      <c r="I151" s="314">
        <f t="shared" si="26"/>
        <v>84701</v>
      </c>
      <c r="J151" s="322"/>
      <c r="K151" s="314"/>
      <c r="M151" s="170" t="s">
        <v>397</v>
      </c>
      <c r="O151" s="170">
        <f>MIN(B141:B150)</f>
        <v>83739</v>
      </c>
      <c r="T151" s="170" t="s">
        <v>397</v>
      </c>
      <c r="V151" s="170">
        <f>O151</f>
        <v>83739</v>
      </c>
      <c r="AA151" s="170" t="s">
        <v>398</v>
      </c>
      <c r="AC151" s="170">
        <f>V151</f>
        <v>83739</v>
      </c>
      <c r="AH151" s="170" t="s">
        <v>399</v>
      </c>
      <c r="AJ151" s="170">
        <f>AC151</f>
        <v>83739</v>
      </c>
      <c r="AO151" s="170" t="s">
        <v>400</v>
      </c>
      <c r="AQ151" s="170">
        <f>AJ151</f>
        <v>83739</v>
      </c>
      <c r="AV151" s="170" t="s">
        <v>401</v>
      </c>
      <c r="AX151" s="170">
        <f>AQ151</f>
        <v>83739</v>
      </c>
      <c r="BC151" s="170" t="s">
        <v>402</v>
      </c>
      <c r="BE151" s="170">
        <f>AX151</f>
        <v>83739</v>
      </c>
      <c r="BJ151" s="170" t="s">
        <v>403</v>
      </c>
      <c r="BL151" s="170">
        <f>BE151</f>
        <v>83739</v>
      </c>
      <c r="BQ151" s="170" t="s">
        <v>404</v>
      </c>
      <c r="BS151" s="170">
        <f>BL151</f>
        <v>83739</v>
      </c>
      <c r="BX151" s="170" t="s">
        <v>402</v>
      </c>
      <c r="BZ151" s="170">
        <f>BS151</f>
        <v>83739</v>
      </c>
      <c r="CD151" s="424"/>
      <c r="CE151" s="167"/>
      <c r="CF151" s="313"/>
      <c r="CG151" s="144"/>
      <c r="CH151" s="222"/>
      <c r="CI151" s="169"/>
      <c r="CJ151" s="169"/>
      <c r="CK151" s="424"/>
      <c r="CL151" s="167"/>
      <c r="CM151" s="313"/>
      <c r="CN151" s="144"/>
      <c r="CO151" s="222"/>
      <c r="CP151" s="169"/>
      <c r="CQ151" s="169"/>
      <c r="CR151" s="424"/>
      <c r="CS151" s="167"/>
      <c r="CT151" s="313"/>
      <c r="CU151" s="144"/>
      <c r="CV151" s="222"/>
      <c r="CW151" s="169"/>
      <c r="CX151" s="169"/>
      <c r="CY151" s="424"/>
      <c r="CZ151" s="167"/>
      <c r="DA151" s="313"/>
      <c r="DB151" s="144"/>
      <c r="DC151" s="222"/>
      <c r="DD151" s="169"/>
      <c r="DE151" s="169"/>
      <c r="DF151" s="424"/>
      <c r="DG151" s="167"/>
      <c r="DH151" s="313"/>
      <c r="DI151" s="144"/>
      <c r="DJ151" s="222"/>
      <c r="DK151" s="169"/>
      <c r="DL151" s="169"/>
      <c r="DM151" s="424"/>
      <c r="DN151" s="167"/>
      <c r="DO151" s="313"/>
      <c r="DP151" s="144"/>
      <c r="DQ151" s="222"/>
      <c r="DR151" s="169"/>
      <c r="DS151" s="169"/>
      <c r="DT151" s="424"/>
      <c r="DU151" s="424"/>
      <c r="DV151" s="424"/>
      <c r="DW151" s="424"/>
      <c r="DX151" s="424"/>
      <c r="DY151" s="424"/>
      <c r="DZ151" s="424"/>
    </row>
    <row r="152" spans="1:130" ht="15" customHeight="1">
      <c r="A152" s="310">
        <f t="shared" si="25"/>
        <v>2017</v>
      </c>
      <c r="B152" s="311">
        <f t="shared" si="61"/>
        <v>84221</v>
      </c>
      <c r="C152" s="138"/>
      <c r="D152" s="312">
        <f t="shared" si="48"/>
        <v>12</v>
      </c>
      <c r="E152" s="972" t="s">
        <v>405</v>
      </c>
      <c r="F152" s="973"/>
      <c r="G152" s="269">
        <f>SUM(K141:K150)</f>
        <v>7162.3940000000002</v>
      </c>
      <c r="H152" s="424"/>
      <c r="I152" s="314">
        <f t="shared" si="26"/>
        <v>84221</v>
      </c>
      <c r="J152" s="322"/>
      <c r="K152" s="314"/>
      <c r="M152" s="170" t="s">
        <v>406</v>
      </c>
      <c r="O152" s="170">
        <v>1</v>
      </c>
      <c r="T152" s="170" t="s">
        <v>406</v>
      </c>
      <c r="V152" s="170">
        <f>O152</f>
        <v>1</v>
      </c>
      <c r="AA152" s="170" t="s">
        <v>407</v>
      </c>
      <c r="AC152" s="170">
        <f>V152</f>
        <v>1</v>
      </c>
      <c r="AH152" s="170" t="s">
        <v>408</v>
      </c>
      <c r="AJ152" s="170">
        <f>AC152</f>
        <v>1</v>
      </c>
      <c r="AO152" s="170" t="s">
        <v>409</v>
      </c>
      <c r="AQ152" s="170">
        <f>AJ152</f>
        <v>1</v>
      </c>
      <c r="AV152" s="170" t="s">
        <v>410</v>
      </c>
      <c r="AX152" s="170">
        <f>AQ152</f>
        <v>1</v>
      </c>
      <c r="BC152" s="170" t="s">
        <v>411</v>
      </c>
      <c r="BE152" s="170">
        <f>AX152</f>
        <v>1</v>
      </c>
      <c r="BJ152" s="170" t="s">
        <v>412</v>
      </c>
      <c r="BL152" s="170">
        <f>BE152</f>
        <v>1</v>
      </c>
      <c r="BQ152" s="170" t="s">
        <v>413</v>
      </c>
      <c r="BS152" s="170">
        <f>BL152</f>
        <v>1</v>
      </c>
      <c r="BX152" s="170" t="s">
        <v>410</v>
      </c>
      <c r="BZ152" s="170">
        <f>BS152</f>
        <v>1</v>
      </c>
      <c r="CD152" s="424"/>
      <c r="CE152" s="167"/>
      <c r="CF152" s="313"/>
      <c r="CG152" s="173"/>
      <c r="CH152" s="424"/>
      <c r="CI152" s="169"/>
      <c r="CJ152" s="169"/>
      <c r="CK152" s="424"/>
      <c r="CL152" s="167"/>
      <c r="CM152" s="313"/>
      <c r="CN152" s="173"/>
      <c r="CO152" s="424"/>
      <c r="CP152" s="169"/>
      <c r="CQ152" s="169"/>
      <c r="CR152" s="424"/>
      <c r="CS152" s="167"/>
      <c r="CT152" s="313"/>
      <c r="CU152" s="173"/>
      <c r="CV152" s="424"/>
      <c r="CW152" s="169"/>
      <c r="CX152" s="169"/>
      <c r="CY152" s="424"/>
      <c r="CZ152" s="167"/>
      <c r="DA152" s="313"/>
      <c r="DB152" s="173"/>
      <c r="DC152" s="424"/>
      <c r="DD152" s="169"/>
      <c r="DE152" s="169"/>
      <c r="DF152" s="424"/>
      <c r="DG152" s="167"/>
      <c r="DH152" s="313"/>
      <c r="DI152" s="173"/>
      <c r="DJ152" s="424"/>
      <c r="DK152" s="169"/>
      <c r="DL152" s="169"/>
      <c r="DM152" s="424"/>
      <c r="DN152" s="167"/>
      <c r="DO152" s="313"/>
      <c r="DP152" s="173"/>
      <c r="DQ152" s="424"/>
      <c r="DR152" s="169"/>
      <c r="DS152" s="169"/>
      <c r="DT152" s="424"/>
      <c r="DU152" s="424"/>
      <c r="DV152" s="424"/>
      <c r="DW152" s="424"/>
      <c r="DX152" s="424"/>
      <c r="DY152" s="424"/>
      <c r="DZ152" s="424"/>
    </row>
    <row r="153" spans="1:130" ht="15" customHeight="1">
      <c r="A153" s="310">
        <f t="shared" si="25"/>
        <v>2018</v>
      </c>
      <c r="B153" s="311">
        <f t="shared" si="61"/>
        <v>83744</v>
      </c>
      <c r="C153" s="138"/>
      <c r="D153" s="312">
        <f t="shared" si="48"/>
        <v>13</v>
      </c>
      <c r="E153" s="972" t="s">
        <v>414</v>
      </c>
      <c r="F153" s="973"/>
      <c r="G153" s="151">
        <f>SUM(J141:J150)/10</f>
        <v>0.76454342263473163</v>
      </c>
      <c r="H153" s="424"/>
      <c r="I153" s="314">
        <f t="shared" si="26"/>
        <v>83744</v>
      </c>
      <c r="J153" s="322"/>
      <c r="K153" s="314"/>
      <c r="M153" s="170" t="s">
        <v>415</v>
      </c>
      <c r="O153" s="170">
        <v>1000</v>
      </c>
      <c r="T153" s="170" t="s">
        <v>415</v>
      </c>
      <c r="V153" s="170">
        <f>O153</f>
        <v>1000</v>
      </c>
      <c r="AA153" s="170" t="s">
        <v>416</v>
      </c>
      <c r="AC153" s="170">
        <f>V153</f>
        <v>1000</v>
      </c>
      <c r="AH153" s="170" t="s">
        <v>417</v>
      </c>
      <c r="AJ153" s="170">
        <f>AC153</f>
        <v>1000</v>
      </c>
      <c r="AO153" s="170" t="s">
        <v>418</v>
      </c>
      <c r="AQ153" s="170">
        <f>AJ153</f>
        <v>1000</v>
      </c>
      <c r="AV153" s="170" t="s">
        <v>419</v>
      </c>
      <c r="AX153" s="170">
        <f>AQ153</f>
        <v>1000</v>
      </c>
      <c r="BC153" s="170" t="s">
        <v>420</v>
      </c>
      <c r="BE153" s="170">
        <f>AX153</f>
        <v>1000</v>
      </c>
      <c r="BJ153" s="170" t="s">
        <v>421</v>
      </c>
      <c r="BL153" s="170">
        <f>BE153</f>
        <v>1000</v>
      </c>
      <c r="BQ153" s="170" t="s">
        <v>422</v>
      </c>
      <c r="BS153" s="170">
        <f>BL153</f>
        <v>1000</v>
      </c>
      <c r="BX153" s="170" t="s">
        <v>423</v>
      </c>
      <c r="BZ153" s="170">
        <f>BS153</f>
        <v>1000</v>
      </c>
      <c r="CD153" s="424"/>
      <c r="CE153" s="167"/>
      <c r="CF153" s="424"/>
      <c r="CG153" s="178"/>
      <c r="CH153" s="424"/>
      <c r="CI153" s="169"/>
      <c r="CJ153" s="169"/>
      <c r="CK153" s="424"/>
      <c r="CL153" s="167"/>
      <c r="CM153" s="424"/>
      <c r="CN153" s="178"/>
      <c r="CO153" s="424"/>
      <c r="CP153" s="169"/>
      <c r="CQ153" s="169"/>
      <c r="CR153" s="424"/>
      <c r="CS153" s="167"/>
      <c r="CT153" s="424"/>
      <c r="CU153" s="178"/>
      <c r="CV153" s="424"/>
      <c r="CW153" s="169"/>
      <c r="CX153" s="169"/>
      <c r="CY153" s="424"/>
      <c r="CZ153" s="167"/>
      <c r="DA153" s="424"/>
      <c r="DB153" s="178"/>
      <c r="DC153" s="424"/>
      <c r="DD153" s="169"/>
      <c r="DE153" s="169"/>
      <c r="DF153" s="424"/>
      <c r="DG153" s="167"/>
      <c r="DH153" s="424"/>
      <c r="DI153" s="178"/>
      <c r="DJ153" s="424"/>
      <c r="DK153" s="169"/>
      <c r="DL153" s="169"/>
      <c r="DM153" s="424"/>
      <c r="DN153" s="167"/>
      <c r="DO153" s="424"/>
      <c r="DP153" s="178"/>
      <c r="DQ153" s="424"/>
      <c r="DR153" s="169"/>
      <c r="DS153" s="169"/>
      <c r="DT153" s="424"/>
      <c r="DU153" s="424"/>
      <c r="DV153" s="424"/>
      <c r="DW153" s="424"/>
      <c r="DX153" s="424"/>
      <c r="DY153" s="424"/>
      <c r="DZ153" s="424"/>
    </row>
    <row r="154" spans="1:130" ht="15" customHeight="1">
      <c r="A154" s="310">
        <f t="shared" si="25"/>
        <v>2019</v>
      </c>
      <c r="B154" s="311">
        <f t="shared" si="61"/>
        <v>83269</v>
      </c>
      <c r="C154" s="138"/>
      <c r="D154" s="312">
        <f t="shared" si="48"/>
        <v>14</v>
      </c>
      <c r="E154" s="972" t="s">
        <v>424</v>
      </c>
      <c r="F154" s="973"/>
      <c r="G154" s="269">
        <f>SUM(K145:K150)</f>
        <v>6456.2289999999994</v>
      </c>
      <c r="H154" s="424"/>
      <c r="I154" s="314">
        <f t="shared" si="26"/>
        <v>83269</v>
      </c>
      <c r="J154" s="322"/>
      <c r="K154" s="314"/>
      <c r="M154" s="167"/>
      <c r="N154" s="424"/>
      <c r="O154" s="424"/>
      <c r="P154" s="424"/>
      <c r="Q154" s="169"/>
      <c r="R154" s="169"/>
      <c r="T154" s="167"/>
      <c r="U154" s="424"/>
      <c r="V154" s="424"/>
      <c r="W154" s="424"/>
      <c r="X154" s="169"/>
      <c r="Y154" s="169"/>
      <c r="AA154" s="167"/>
      <c r="AB154" s="424"/>
      <c r="AC154" s="424"/>
      <c r="AD154" s="424"/>
      <c r="AE154" s="169"/>
      <c r="AF154" s="169"/>
      <c r="AH154" s="167"/>
      <c r="AI154" s="424"/>
      <c r="AJ154" s="424"/>
      <c r="AK154" s="424"/>
      <c r="AL154" s="169"/>
      <c r="AM154" s="179"/>
      <c r="AO154" s="167"/>
      <c r="AP154" s="424"/>
      <c r="AQ154" s="424"/>
      <c r="AR154" s="424"/>
      <c r="AS154" s="169"/>
      <c r="AT154" s="169"/>
      <c r="AV154" s="167"/>
      <c r="AW154" s="424"/>
      <c r="AX154" s="424"/>
      <c r="AY154" s="424"/>
      <c r="AZ154" s="169"/>
      <c r="BA154" s="169"/>
      <c r="BC154" s="167"/>
      <c r="BD154" s="424"/>
      <c r="BE154" s="424"/>
      <c r="BF154" s="424"/>
      <c r="BG154" s="169"/>
      <c r="BH154" s="169"/>
      <c r="BJ154" s="167"/>
      <c r="BK154" s="424"/>
      <c r="BL154" s="424"/>
      <c r="BM154" s="424"/>
      <c r="BN154" s="169"/>
      <c r="BO154" s="169"/>
      <c r="BQ154" s="424"/>
      <c r="BR154" s="424"/>
      <c r="BS154" s="424"/>
      <c r="BT154" s="424"/>
      <c r="BU154" s="424"/>
      <c r="BV154" s="424"/>
      <c r="BX154" s="167"/>
      <c r="BY154" s="424"/>
      <c r="BZ154" s="424"/>
      <c r="CA154" s="424"/>
      <c r="CB154" s="169"/>
      <c r="CC154" s="169"/>
      <c r="CD154" s="424"/>
      <c r="CE154" s="167"/>
      <c r="CF154" s="424"/>
      <c r="CG154" s="424"/>
      <c r="CH154" s="424"/>
      <c r="CI154" s="169"/>
      <c r="CJ154" s="169"/>
      <c r="CK154" s="424"/>
      <c r="CL154" s="167"/>
      <c r="CM154" s="424"/>
      <c r="CN154" s="424"/>
      <c r="CO154" s="424"/>
      <c r="CP154" s="169"/>
      <c r="CQ154" s="169"/>
      <c r="CR154" s="424"/>
      <c r="CS154" s="167"/>
      <c r="CT154" s="424"/>
      <c r="CU154" s="424"/>
      <c r="CV154" s="424"/>
      <c r="CW154" s="169"/>
      <c r="CX154" s="169"/>
      <c r="CY154" s="424"/>
      <c r="CZ154" s="167"/>
      <c r="DA154" s="424"/>
      <c r="DB154" s="424"/>
      <c r="DC154" s="424"/>
      <c r="DD154" s="169"/>
      <c r="DE154" s="169"/>
      <c r="DF154" s="424"/>
      <c r="DG154" s="167"/>
      <c r="DH154" s="424"/>
      <c r="DI154" s="424"/>
      <c r="DJ154" s="424"/>
      <c r="DK154" s="169"/>
      <c r="DL154" s="169"/>
      <c r="DM154" s="424"/>
      <c r="DN154" s="167"/>
      <c r="DO154" s="424"/>
      <c r="DP154" s="424"/>
      <c r="DQ154" s="424"/>
      <c r="DR154" s="169"/>
      <c r="DS154" s="169"/>
      <c r="DT154" s="424"/>
      <c r="DU154" s="424"/>
      <c r="DV154" s="424"/>
      <c r="DW154" s="424"/>
      <c r="DX154" s="424"/>
      <c r="DY154" s="424"/>
      <c r="DZ154" s="424"/>
    </row>
    <row r="155" spans="1:130" ht="15" customHeight="1">
      <c r="A155" s="310">
        <f t="shared" si="25"/>
        <v>2020</v>
      </c>
      <c r="B155" s="311">
        <f t="shared" si="61"/>
        <v>82797</v>
      </c>
      <c r="C155" s="138"/>
      <c r="D155" s="312">
        <f t="shared" si="48"/>
        <v>15</v>
      </c>
      <c r="E155" s="972" t="s">
        <v>425</v>
      </c>
      <c r="F155" s="973"/>
      <c r="G155" s="151">
        <f>SUM(J145:J150)/5</f>
        <v>1.1784468603317051</v>
      </c>
      <c r="H155" s="424"/>
      <c r="I155" s="314">
        <f t="shared" si="26"/>
        <v>82797</v>
      </c>
      <c r="J155" s="322"/>
      <c r="K155" s="314"/>
      <c r="M155" s="167"/>
      <c r="N155" s="424"/>
      <c r="O155" s="424"/>
      <c r="P155" s="424"/>
      <c r="Q155" s="169"/>
      <c r="R155" s="169"/>
      <c r="T155" s="167"/>
      <c r="U155" s="424"/>
      <c r="V155" s="424"/>
      <c r="W155" s="424"/>
      <c r="X155" s="169"/>
      <c r="Y155" s="169"/>
      <c r="AA155" s="167"/>
      <c r="AB155" s="424"/>
      <c r="AC155" s="424"/>
      <c r="AD155" s="424"/>
      <c r="AE155" s="169"/>
      <c r="AF155" s="169"/>
      <c r="AH155" s="167"/>
      <c r="AI155" s="424"/>
      <c r="AJ155" s="424"/>
      <c r="AK155" s="424"/>
      <c r="AL155" s="169"/>
      <c r="AM155" s="179"/>
      <c r="AO155" s="167"/>
      <c r="AP155" s="424"/>
      <c r="AQ155" s="424"/>
      <c r="AR155" s="424"/>
      <c r="AS155" s="169"/>
      <c r="AT155" s="169"/>
      <c r="AV155" s="167"/>
      <c r="AW155" s="424"/>
      <c r="AX155" s="424"/>
      <c r="AY155" s="424"/>
      <c r="AZ155" s="169"/>
      <c r="BA155" s="169"/>
      <c r="BC155" s="167"/>
      <c r="BD155" s="424"/>
      <c r="BE155" s="424"/>
      <c r="BF155" s="424"/>
      <c r="BG155" s="169"/>
      <c r="BH155" s="169"/>
      <c r="BJ155" s="167"/>
      <c r="BK155" s="424"/>
      <c r="BL155" s="424"/>
      <c r="BM155" s="424"/>
      <c r="BN155" s="169"/>
      <c r="BO155" s="169"/>
      <c r="BQ155" s="424"/>
      <c r="BR155" s="424"/>
      <c r="BS155" s="424"/>
      <c r="BT155" s="424"/>
      <c r="BU155" s="424"/>
      <c r="BV155" s="424"/>
      <c r="BX155" s="167"/>
      <c r="BY155" s="424"/>
      <c r="BZ155" s="424"/>
      <c r="CA155" s="424"/>
      <c r="CB155" s="169"/>
      <c r="CC155" s="169"/>
      <c r="CD155" s="424"/>
      <c r="CE155" s="167"/>
      <c r="CF155" s="424"/>
      <c r="CG155" s="424"/>
      <c r="CH155" s="424"/>
      <c r="CI155" s="169"/>
      <c r="CJ155" s="169"/>
      <c r="CK155" s="424"/>
      <c r="CL155" s="167"/>
      <c r="CM155" s="424"/>
      <c r="CN155" s="424"/>
      <c r="CO155" s="424"/>
      <c r="CP155" s="169"/>
      <c r="CQ155" s="169"/>
      <c r="CR155" s="424"/>
      <c r="CS155" s="167"/>
      <c r="CT155" s="424"/>
      <c r="CU155" s="424"/>
      <c r="CV155" s="424"/>
      <c r="CW155" s="169"/>
      <c r="CX155" s="169"/>
      <c r="CY155" s="424"/>
      <c r="CZ155" s="167"/>
      <c r="DA155" s="424"/>
      <c r="DB155" s="424"/>
      <c r="DC155" s="424"/>
      <c r="DD155" s="169"/>
      <c r="DE155" s="169"/>
      <c r="DF155" s="424"/>
      <c r="DG155" s="167"/>
      <c r="DH155" s="424"/>
      <c r="DI155" s="424"/>
      <c r="DJ155" s="424"/>
      <c r="DK155" s="169"/>
      <c r="DL155" s="169"/>
      <c r="DM155" s="424"/>
      <c r="DN155" s="167"/>
      <c r="DO155" s="424"/>
      <c r="DP155" s="424"/>
      <c r="DQ155" s="424"/>
      <c r="DR155" s="169"/>
      <c r="DS155" s="169"/>
      <c r="DT155" s="424"/>
      <c r="DU155" s="424"/>
      <c r="DV155" s="424"/>
      <c r="DW155" s="424"/>
      <c r="DX155" s="424"/>
      <c r="DY155" s="424"/>
      <c r="DZ155" s="424"/>
    </row>
    <row r="156" spans="1:130" ht="15" customHeight="1">
      <c r="A156" s="310">
        <f t="shared" ref="A156:A173" si="62">A119</f>
        <v>2021</v>
      </c>
      <c r="B156" s="311">
        <f t="shared" si="61"/>
        <v>82328</v>
      </c>
      <c r="C156" s="138"/>
      <c r="D156" s="312">
        <f t="shared" si="48"/>
        <v>16</v>
      </c>
      <c r="H156" s="424"/>
      <c r="I156" s="314">
        <f t="shared" si="26"/>
        <v>82328</v>
      </c>
      <c r="J156" s="322"/>
      <c r="K156" s="314"/>
      <c r="M156" s="167"/>
      <c r="O156" s="424"/>
      <c r="P156" s="424"/>
      <c r="Q156" s="169"/>
      <c r="R156" s="169"/>
      <c r="T156" s="167"/>
      <c r="U156" s="424"/>
      <c r="V156" s="424"/>
      <c r="W156" s="424"/>
      <c r="X156" s="169"/>
      <c r="Y156" s="169"/>
      <c r="AA156" s="167"/>
      <c r="AB156" s="424"/>
      <c r="AC156" s="424"/>
      <c r="AD156" s="424"/>
      <c r="AE156" s="169"/>
      <c r="AF156" s="169"/>
      <c r="AH156" s="167"/>
      <c r="AI156" s="424"/>
      <c r="AJ156" s="424"/>
      <c r="AK156" s="424"/>
      <c r="AL156" s="169"/>
      <c r="AM156" s="179"/>
      <c r="AO156" s="167"/>
      <c r="AP156" s="424"/>
      <c r="AQ156" s="424"/>
      <c r="AR156" s="424"/>
      <c r="AS156" s="169"/>
      <c r="AT156" s="169"/>
      <c r="AV156" s="167"/>
      <c r="AW156" s="424"/>
      <c r="AX156" s="424"/>
      <c r="AY156" s="424"/>
      <c r="AZ156" s="169"/>
      <c r="BA156" s="169"/>
      <c r="BC156" s="167"/>
      <c r="BD156" s="424"/>
      <c r="BE156" s="424"/>
      <c r="BF156" s="424"/>
      <c r="BG156" s="169"/>
      <c r="BH156" s="169"/>
      <c r="BJ156" s="167"/>
      <c r="BK156" s="424"/>
      <c r="BL156" s="424"/>
      <c r="BM156" s="424"/>
      <c r="BN156" s="169"/>
      <c r="BO156" s="169"/>
      <c r="BQ156" s="424"/>
      <c r="BR156" s="424"/>
      <c r="BS156" s="424"/>
      <c r="BT156" s="424"/>
      <c r="BU156" s="424"/>
      <c r="BV156" s="424"/>
      <c r="BX156" s="167"/>
      <c r="BY156" s="424"/>
      <c r="BZ156" s="424"/>
      <c r="CA156" s="424"/>
      <c r="CB156" s="169"/>
      <c r="CC156" s="169"/>
      <c r="CD156" s="424"/>
      <c r="CE156" s="167"/>
      <c r="CF156" s="424"/>
      <c r="CG156" s="424"/>
      <c r="CH156" s="424"/>
      <c r="CI156" s="169"/>
      <c r="CJ156" s="169"/>
      <c r="CK156" s="424"/>
      <c r="CL156" s="167"/>
      <c r="CM156" s="424"/>
      <c r="CN156" s="424"/>
      <c r="CO156" s="424"/>
      <c r="CP156" s="169"/>
      <c r="CQ156" s="169"/>
      <c r="CR156" s="424"/>
      <c r="CS156" s="167"/>
      <c r="CT156" s="424"/>
      <c r="CU156" s="424"/>
      <c r="CV156" s="424"/>
      <c r="CW156" s="169"/>
      <c r="CX156" s="169"/>
      <c r="CY156" s="424"/>
      <c r="CZ156" s="167"/>
      <c r="DA156" s="424"/>
      <c r="DB156" s="424"/>
      <c r="DC156" s="424"/>
      <c r="DD156" s="169"/>
      <c r="DE156" s="169"/>
      <c r="DF156" s="424"/>
      <c r="DG156" s="167"/>
      <c r="DH156" s="424"/>
      <c r="DI156" s="424"/>
      <c r="DJ156" s="424"/>
      <c r="DK156" s="169"/>
      <c r="DL156" s="169"/>
      <c r="DM156" s="424"/>
      <c r="DN156" s="167"/>
      <c r="DO156" s="424"/>
      <c r="DP156" s="424"/>
      <c r="DQ156" s="424"/>
      <c r="DR156" s="169"/>
      <c r="DS156" s="169"/>
      <c r="DT156" s="424"/>
      <c r="DU156" s="424"/>
      <c r="DV156" s="424"/>
      <c r="DW156" s="424"/>
      <c r="DX156" s="424"/>
      <c r="DY156" s="424"/>
      <c r="DZ156" s="424"/>
    </row>
    <row r="157" spans="1:130" s="424" customFormat="1" ht="15" customHeight="1">
      <c r="A157" s="310">
        <f t="shared" si="62"/>
        <v>2022</v>
      </c>
      <c r="B157" s="311">
        <f t="shared" si="61"/>
        <v>81862</v>
      </c>
      <c r="C157" s="138"/>
      <c r="D157" s="312">
        <f t="shared" si="48"/>
        <v>17</v>
      </c>
      <c r="I157" s="314">
        <f t="shared" si="26"/>
        <v>81862</v>
      </c>
      <c r="J157" s="322"/>
      <c r="K157" s="314"/>
      <c r="M157" s="167"/>
      <c r="Q157" s="169"/>
      <c r="R157" s="169"/>
      <c r="T157" s="167"/>
      <c r="X157" s="169"/>
      <c r="Y157" s="169"/>
      <c r="AA157" s="167"/>
      <c r="AE157" s="169"/>
      <c r="AF157" s="169"/>
      <c r="AH157" s="167"/>
      <c r="AL157" s="169"/>
      <c r="AM157" s="179"/>
      <c r="AO157" s="167"/>
      <c r="AS157" s="169"/>
      <c r="AT157" s="169"/>
      <c r="AV157" s="167"/>
      <c r="AZ157" s="169"/>
      <c r="BA157" s="169"/>
      <c r="BC157" s="167"/>
      <c r="BG157" s="169"/>
      <c r="BH157" s="169"/>
      <c r="BJ157" s="167"/>
      <c r="BN157" s="169"/>
      <c r="BO157" s="169"/>
      <c r="BX157" s="167"/>
      <c r="CB157" s="169"/>
      <c r="CC157" s="169"/>
      <c r="CE157" s="167"/>
      <c r="CI157" s="169"/>
      <c r="CJ157" s="169"/>
      <c r="CL157" s="167"/>
      <c r="CP157" s="169"/>
      <c r="CQ157" s="169"/>
      <c r="CS157" s="167"/>
      <c r="CW157" s="169"/>
      <c r="CX157" s="169"/>
      <c r="CZ157" s="167"/>
      <c r="DD157" s="169"/>
      <c r="DE157" s="169"/>
      <c r="DG157" s="167"/>
      <c r="DK157" s="169"/>
      <c r="DL157" s="169"/>
      <c r="DN157" s="167"/>
      <c r="DR157" s="169"/>
      <c r="DS157" s="169"/>
    </row>
    <row r="158" spans="1:130" ht="15" customHeight="1" thickBot="1">
      <c r="A158" s="310">
        <f t="shared" si="62"/>
        <v>2023</v>
      </c>
      <c r="B158" s="311">
        <f t="shared" si="61"/>
        <v>81398</v>
      </c>
      <c r="C158" s="138"/>
      <c r="D158" s="312">
        <f t="shared" si="48"/>
        <v>18</v>
      </c>
      <c r="E158" s="180" t="s">
        <v>426</v>
      </c>
      <c r="F158" s="181" t="s">
        <v>1057</v>
      </c>
      <c r="G158" s="181" t="s">
        <v>427</v>
      </c>
      <c r="H158" s="424"/>
      <c r="I158" s="314">
        <f t="shared" si="26"/>
        <v>81398</v>
      </c>
      <c r="J158" s="322"/>
      <c r="K158" s="314"/>
      <c r="M158" s="167"/>
      <c r="O158" s="424"/>
      <c r="P158" s="424"/>
      <c r="Q158" s="169"/>
      <c r="R158" s="169"/>
      <c r="T158" s="167"/>
      <c r="U158" s="424"/>
      <c r="V158" s="424"/>
      <c r="W158" s="424"/>
      <c r="X158" s="169"/>
      <c r="Y158" s="169"/>
      <c r="AA158" s="167"/>
      <c r="AB158" s="424"/>
      <c r="AC158" s="424"/>
      <c r="AD158" s="424"/>
      <c r="AE158" s="169"/>
      <c r="AF158" s="169"/>
      <c r="AH158" s="167"/>
      <c r="AI158" s="424"/>
      <c r="AJ158" s="424"/>
      <c r="AK158" s="424"/>
      <c r="AL158" s="169"/>
      <c r="AM158" s="179"/>
      <c r="AO158" s="167"/>
      <c r="AP158" s="424"/>
      <c r="AQ158" s="424"/>
      <c r="AR158" s="424"/>
      <c r="AS158" s="169"/>
      <c r="AT158" s="169"/>
      <c r="AV158" s="167"/>
      <c r="AW158" s="424"/>
      <c r="AX158" s="424"/>
      <c r="AY158" s="424"/>
      <c r="AZ158" s="169"/>
      <c r="BA158" s="169"/>
      <c r="BC158" s="167"/>
      <c r="BD158" s="424"/>
      <c r="BE158" s="424"/>
      <c r="BF158" s="424"/>
      <c r="BG158" s="169"/>
      <c r="BH158" s="169"/>
      <c r="BJ158" s="167"/>
      <c r="BK158" s="424"/>
      <c r="BL158" s="424"/>
      <c r="BM158" s="424"/>
      <c r="BN158" s="169"/>
      <c r="BO158" s="169"/>
      <c r="BQ158" s="424"/>
      <c r="BR158" s="424"/>
      <c r="BS158" s="424"/>
      <c r="BT158" s="424"/>
      <c r="BU158" s="424"/>
      <c r="BV158" s="424"/>
      <c r="BX158" s="167"/>
      <c r="BY158" s="424"/>
      <c r="BZ158" s="424"/>
      <c r="CA158" s="424"/>
      <c r="CB158" s="169"/>
      <c r="CC158" s="169"/>
      <c r="CD158" s="424"/>
      <c r="CE158" s="167"/>
      <c r="CF158" s="424"/>
      <c r="CG158" s="424"/>
      <c r="CH158" s="424"/>
      <c r="CI158" s="169"/>
      <c r="CJ158" s="169"/>
      <c r="CK158" s="424"/>
      <c r="CL158" s="167"/>
      <c r="CM158" s="424"/>
      <c r="CN158" s="424"/>
      <c r="CO158" s="424"/>
      <c r="CP158" s="169"/>
      <c r="CQ158" s="169"/>
      <c r="CR158" s="424"/>
      <c r="CS158" s="167"/>
      <c r="CT158" s="424"/>
      <c r="CU158" s="424"/>
      <c r="CV158" s="424"/>
      <c r="CW158" s="169"/>
      <c r="CX158" s="169"/>
      <c r="CY158" s="424"/>
      <c r="CZ158" s="167"/>
      <c r="DA158" s="424"/>
      <c r="DB158" s="424"/>
      <c r="DC158" s="424"/>
      <c r="DD158" s="169"/>
      <c r="DE158" s="169"/>
      <c r="DF158" s="424"/>
      <c r="DG158" s="167"/>
      <c r="DH158" s="424"/>
      <c r="DI158" s="424"/>
      <c r="DJ158" s="424"/>
      <c r="DK158" s="169"/>
      <c r="DL158" s="169"/>
      <c r="DM158" s="424"/>
      <c r="DN158" s="167"/>
      <c r="DO158" s="424"/>
      <c r="DP158" s="424"/>
      <c r="DQ158" s="424"/>
      <c r="DR158" s="169"/>
      <c r="DS158" s="169"/>
      <c r="DT158" s="424"/>
      <c r="DU158" s="424"/>
      <c r="DV158" s="424"/>
      <c r="DW158" s="424"/>
      <c r="DX158" s="424"/>
      <c r="DY158" s="424"/>
      <c r="DZ158" s="424"/>
    </row>
    <row r="159" spans="1:130" s="424" customFormat="1" ht="15" customHeight="1" thickTop="1">
      <c r="A159" s="310">
        <f t="shared" si="62"/>
        <v>2024</v>
      </c>
      <c r="B159" s="311">
        <f t="shared" si="61"/>
        <v>80937</v>
      </c>
      <c r="C159" s="138"/>
      <c r="D159" s="312">
        <f t="shared" si="48"/>
        <v>19</v>
      </c>
      <c r="E159" s="170">
        <f>O140</f>
        <v>0</v>
      </c>
      <c r="F159" s="182">
        <f>O147</f>
        <v>0.73636384167625391</v>
      </c>
      <c r="G159" s="183">
        <f>O148</f>
        <v>7162.8179999999993</v>
      </c>
      <c r="I159" s="314">
        <f t="shared" si="26"/>
        <v>80937</v>
      </c>
      <c r="J159" s="322"/>
      <c r="K159" s="314"/>
      <c r="M159" s="167"/>
      <c r="Q159" s="169"/>
      <c r="R159" s="169"/>
      <c r="T159" s="167"/>
      <c r="X159" s="169"/>
      <c r="Y159" s="169"/>
      <c r="AA159" s="167"/>
      <c r="AE159" s="169"/>
      <c r="AF159" s="169"/>
      <c r="AH159" s="167"/>
      <c r="AL159" s="169"/>
      <c r="AM159" s="179"/>
      <c r="AO159" s="167"/>
      <c r="AS159" s="169"/>
      <c r="AT159" s="169"/>
      <c r="AV159" s="167"/>
      <c r="AZ159" s="169"/>
      <c r="BA159" s="169"/>
      <c r="BC159" s="167"/>
      <c r="BG159" s="169"/>
      <c r="BH159" s="169"/>
      <c r="BJ159" s="167"/>
      <c r="BN159" s="169"/>
      <c r="BO159" s="169"/>
      <c r="BX159" s="167"/>
      <c r="CB159" s="169"/>
      <c r="CC159" s="169"/>
      <c r="CE159" s="167"/>
      <c r="CI159" s="169"/>
      <c r="CJ159" s="169"/>
      <c r="CL159" s="167"/>
      <c r="CP159" s="169"/>
      <c r="CQ159" s="169"/>
      <c r="CS159" s="167"/>
      <c r="CW159" s="169"/>
      <c r="CX159" s="169"/>
      <c r="CZ159" s="167"/>
      <c r="DD159" s="169"/>
      <c r="DE159" s="169"/>
      <c r="DG159" s="167"/>
      <c r="DK159" s="169"/>
      <c r="DL159" s="169"/>
      <c r="DN159" s="167"/>
      <c r="DR159" s="169"/>
      <c r="DS159" s="169"/>
    </row>
    <row r="160" spans="1:130" s="424" customFormat="1" ht="15" customHeight="1">
      <c r="A160" s="310">
        <f t="shared" si="62"/>
        <v>2025</v>
      </c>
      <c r="B160" s="311">
        <f t="shared" si="61"/>
        <v>80479</v>
      </c>
      <c r="C160" s="138"/>
      <c r="D160" s="312">
        <f t="shared" si="48"/>
        <v>20</v>
      </c>
      <c r="E160" s="170">
        <f>V140</f>
        <v>1000</v>
      </c>
      <c r="F160" s="182">
        <f>V147</f>
        <v>0.73638175264017702</v>
      </c>
      <c r="G160" s="183">
        <f>V148</f>
        <v>7162.3940000000002</v>
      </c>
      <c r="I160" s="314">
        <f t="shared" si="26"/>
        <v>80479</v>
      </c>
      <c r="J160" s="322"/>
      <c r="K160" s="314"/>
      <c r="M160" s="167"/>
      <c r="Q160" s="169"/>
      <c r="R160" s="169"/>
      <c r="T160" s="167"/>
      <c r="X160" s="169"/>
      <c r="Y160" s="169"/>
      <c r="AA160" s="167"/>
      <c r="AE160" s="169"/>
      <c r="AF160" s="169"/>
      <c r="AH160" s="167"/>
      <c r="AL160" s="169"/>
      <c r="AM160" s="179"/>
      <c r="AO160" s="167"/>
      <c r="AS160" s="169"/>
      <c r="AT160" s="169"/>
      <c r="AV160" s="167"/>
      <c r="AZ160" s="169"/>
      <c r="BA160" s="169"/>
      <c r="BC160" s="167"/>
      <c r="BG160" s="169"/>
      <c r="BH160" s="169"/>
      <c r="BJ160" s="167"/>
      <c r="BN160" s="169"/>
      <c r="BO160" s="169"/>
      <c r="BX160" s="167"/>
      <c r="CB160" s="169"/>
      <c r="CC160" s="169"/>
      <c r="CE160" s="167"/>
      <c r="CI160" s="169"/>
      <c r="CJ160" s="169"/>
      <c r="CL160" s="167"/>
      <c r="CP160" s="169"/>
      <c r="CQ160" s="169"/>
      <c r="CS160" s="167"/>
      <c r="CW160" s="169"/>
      <c r="CX160" s="169"/>
      <c r="CZ160" s="167"/>
      <c r="DD160" s="169"/>
      <c r="DE160" s="169"/>
      <c r="DG160" s="167"/>
      <c r="DK160" s="169"/>
      <c r="DL160" s="169"/>
      <c r="DN160" s="167"/>
      <c r="DR160" s="169"/>
      <c r="DS160" s="169"/>
    </row>
    <row r="161" spans="1:130" s="424" customFormat="1" ht="15" customHeight="1">
      <c r="A161" s="310">
        <f t="shared" si="62"/>
        <v>2026</v>
      </c>
      <c r="B161" s="311">
        <f t="shared" si="61"/>
        <v>80023</v>
      </c>
      <c r="C161" s="138"/>
      <c r="D161" s="312">
        <f t="shared" si="48"/>
        <v>21</v>
      </c>
      <c r="E161" s="170">
        <f>AC140</f>
        <v>2000</v>
      </c>
      <c r="F161" s="182">
        <f>AC147</f>
        <v>0.73638175264017702</v>
      </c>
      <c r="G161" s="183">
        <f>AC148</f>
        <v>7162.3940000000002</v>
      </c>
      <c r="I161" s="314">
        <f t="shared" si="26"/>
        <v>80023</v>
      </c>
      <c r="J161" s="322"/>
      <c r="K161" s="314"/>
      <c r="M161" s="167"/>
      <c r="Q161" s="169"/>
      <c r="R161" s="169"/>
      <c r="T161" s="167"/>
      <c r="X161" s="169"/>
      <c r="Y161" s="169"/>
      <c r="AA161" s="167"/>
      <c r="AE161" s="169"/>
      <c r="AF161" s="169"/>
      <c r="AH161" s="167"/>
      <c r="AL161" s="169"/>
      <c r="AM161" s="179"/>
      <c r="AO161" s="167"/>
      <c r="AS161" s="169"/>
      <c r="AT161" s="169"/>
      <c r="AV161" s="167"/>
      <c r="AZ161" s="169"/>
      <c r="BA161" s="169"/>
      <c r="BC161" s="167"/>
      <c r="BG161" s="169"/>
      <c r="BH161" s="169"/>
      <c r="BJ161" s="167"/>
      <c r="BN161" s="169"/>
      <c r="BO161" s="169"/>
      <c r="BX161" s="167"/>
      <c r="CB161" s="169"/>
      <c r="CC161" s="169"/>
      <c r="CE161" s="167"/>
      <c r="CI161" s="169"/>
      <c r="CJ161" s="169"/>
      <c r="CL161" s="167"/>
      <c r="CP161" s="169"/>
      <c r="CQ161" s="169"/>
      <c r="CS161" s="167"/>
      <c r="CW161" s="169"/>
      <c r="CX161" s="169"/>
      <c r="CZ161" s="167"/>
      <c r="DD161" s="169"/>
      <c r="DE161" s="169"/>
      <c r="DG161" s="167"/>
      <c r="DK161" s="169"/>
      <c r="DL161" s="169"/>
      <c r="DN161" s="167"/>
      <c r="DR161" s="169"/>
      <c r="DS161" s="169"/>
    </row>
    <row r="162" spans="1:130" s="424" customFormat="1" ht="15" customHeight="1">
      <c r="A162" s="310">
        <f t="shared" si="62"/>
        <v>2027</v>
      </c>
      <c r="B162" s="311">
        <f t="shared" si="61"/>
        <v>79571</v>
      </c>
      <c r="C162" s="138"/>
      <c r="D162" s="312">
        <f t="shared" si="48"/>
        <v>22</v>
      </c>
      <c r="E162" s="170">
        <f>AJ140</f>
        <v>3000</v>
      </c>
      <c r="F162" s="182">
        <f>AJ147</f>
        <v>0.73625386539450455</v>
      </c>
      <c r="G162" s="183">
        <f>AJ148</f>
        <v>7165.9249999999993</v>
      </c>
      <c r="I162" s="314">
        <f t="shared" si="26"/>
        <v>79571</v>
      </c>
      <c r="J162" s="322"/>
      <c r="K162" s="314"/>
      <c r="M162" s="167"/>
      <c r="Q162" s="169"/>
      <c r="R162" s="169"/>
      <c r="T162" s="167"/>
      <c r="X162" s="169"/>
      <c r="Y162" s="169"/>
      <c r="AA162" s="167"/>
      <c r="AE162" s="169"/>
      <c r="AF162" s="169"/>
      <c r="AH162" s="167"/>
      <c r="AL162" s="169"/>
      <c r="AM162" s="179"/>
      <c r="AO162" s="167"/>
      <c r="AS162" s="169"/>
      <c r="AT162" s="169"/>
      <c r="AV162" s="167"/>
      <c r="AZ162" s="169"/>
      <c r="BA162" s="169"/>
      <c r="BC162" s="167"/>
      <c r="BG162" s="169"/>
      <c r="BH162" s="169"/>
      <c r="BJ162" s="167"/>
      <c r="BN162" s="169"/>
      <c r="BO162" s="169"/>
      <c r="BX162" s="167"/>
      <c r="CB162" s="169"/>
      <c r="CC162" s="169"/>
      <c r="CE162" s="167"/>
      <c r="CI162" s="169"/>
      <c r="CJ162" s="169"/>
      <c r="CL162" s="167"/>
      <c r="CP162" s="169"/>
      <c r="CQ162" s="169"/>
      <c r="CS162" s="167"/>
      <c r="CW162" s="169"/>
      <c r="CX162" s="169"/>
      <c r="CZ162" s="167"/>
      <c r="DD162" s="169"/>
      <c r="DE162" s="169"/>
      <c r="DG162" s="167"/>
      <c r="DK162" s="169"/>
      <c r="DL162" s="169"/>
      <c r="DN162" s="167"/>
      <c r="DR162" s="169"/>
      <c r="DS162" s="169"/>
    </row>
    <row r="163" spans="1:130" ht="15" customHeight="1">
      <c r="A163" s="310">
        <f t="shared" si="62"/>
        <v>2028</v>
      </c>
      <c r="B163" s="311">
        <f t="shared" si="61"/>
        <v>79120</v>
      </c>
      <c r="C163" s="153"/>
      <c r="D163" s="312">
        <f t="shared" si="48"/>
        <v>23</v>
      </c>
      <c r="E163" s="170">
        <f>AQ140</f>
        <v>4000</v>
      </c>
      <c r="F163" s="182">
        <f>AQ147</f>
        <v>0.73620279022778157</v>
      </c>
      <c r="G163" s="183">
        <f>AQ148</f>
        <v>7167.4320000000007</v>
      </c>
      <c r="H163" s="424"/>
      <c r="I163" s="314">
        <f t="shared" si="26"/>
        <v>79120</v>
      </c>
      <c r="J163" s="133"/>
      <c r="K163" s="133"/>
      <c r="BX163" s="424"/>
      <c r="BY163" s="424"/>
      <c r="BZ163" s="424"/>
      <c r="CA163" s="424"/>
      <c r="CB163" s="424"/>
      <c r="CC163" s="424"/>
      <c r="CD163" s="424"/>
      <c r="CE163" s="424"/>
      <c r="CF163" s="424"/>
      <c r="CG163" s="424"/>
      <c r="CH163" s="424"/>
      <c r="CI163" s="424"/>
      <c r="CJ163" s="424"/>
      <c r="CK163" s="424"/>
      <c r="CL163" s="424"/>
      <c r="CM163" s="424"/>
      <c r="CN163" s="424"/>
      <c r="CO163" s="424"/>
      <c r="CP163" s="424"/>
      <c r="CQ163" s="424"/>
      <c r="CR163" s="424"/>
      <c r="CS163" s="424"/>
      <c r="CT163" s="424"/>
      <c r="CU163" s="424"/>
      <c r="CV163" s="424"/>
      <c r="CW163" s="424"/>
      <c r="CX163" s="424"/>
      <c r="CY163" s="424"/>
      <c r="CZ163" s="424"/>
      <c r="DA163" s="424"/>
      <c r="DB163" s="424"/>
      <c r="DC163" s="424"/>
      <c r="DD163" s="424"/>
      <c r="DE163" s="424"/>
      <c r="DF163" s="424"/>
      <c r="DG163" s="424"/>
      <c r="DH163" s="424"/>
      <c r="DI163" s="424"/>
      <c r="DJ163" s="424"/>
      <c r="DK163" s="424"/>
      <c r="DL163" s="424"/>
      <c r="DM163" s="424"/>
      <c r="DN163" s="424"/>
      <c r="DO163" s="424"/>
      <c r="DP163" s="424"/>
      <c r="DQ163" s="424"/>
      <c r="DR163" s="424"/>
      <c r="DS163" s="424"/>
      <c r="DT163" s="424"/>
      <c r="DU163" s="424"/>
      <c r="DV163" s="424"/>
      <c r="DW163" s="424"/>
      <c r="DX163" s="424"/>
      <c r="DY163" s="424"/>
      <c r="DZ163" s="424"/>
    </row>
    <row r="164" spans="1:130" ht="15" customHeight="1">
      <c r="A164" s="310">
        <f t="shared" si="62"/>
        <v>2029</v>
      </c>
      <c r="B164" s="311">
        <f t="shared" si="61"/>
        <v>78673</v>
      </c>
      <c r="C164" s="153"/>
      <c r="D164" s="312">
        <f t="shared" si="48"/>
        <v>24</v>
      </c>
      <c r="E164" s="170">
        <f>AX140</f>
        <v>5000</v>
      </c>
      <c r="F164" s="182">
        <f>AX147</f>
        <v>0.73613299390883102</v>
      </c>
      <c r="G164" s="183">
        <f>AX148</f>
        <v>7169.3610000000008</v>
      </c>
      <c r="H164" s="424"/>
      <c r="I164" s="314">
        <f t="shared" si="26"/>
        <v>78673</v>
      </c>
      <c r="J164" s="133"/>
      <c r="K164" s="133"/>
      <c r="CD164" s="424"/>
      <c r="CE164" s="424"/>
      <c r="CF164" s="424"/>
      <c r="CG164" s="424"/>
      <c r="CH164" s="424"/>
      <c r="CI164" s="424"/>
      <c r="CJ164" s="424"/>
      <c r="CK164" s="424"/>
      <c r="CL164" s="424"/>
      <c r="CM164" s="424"/>
      <c r="CN164" s="424"/>
      <c r="CO164" s="424"/>
      <c r="CP164" s="424"/>
      <c r="CQ164" s="424"/>
      <c r="CR164" s="424"/>
      <c r="CS164" s="424"/>
      <c r="CT164" s="424"/>
      <c r="CU164" s="424"/>
      <c r="CV164" s="424"/>
      <c r="CW164" s="424"/>
      <c r="CX164" s="424"/>
      <c r="CY164" s="424"/>
      <c r="CZ164" s="424"/>
      <c r="DA164" s="424"/>
      <c r="DB164" s="424"/>
      <c r="DC164" s="424"/>
      <c r="DD164" s="424"/>
      <c r="DE164" s="424"/>
      <c r="DF164" s="424"/>
      <c r="DG164" s="424"/>
      <c r="DH164" s="424"/>
      <c r="DI164" s="424"/>
      <c r="DJ164" s="424"/>
      <c r="DK164" s="424"/>
      <c r="DL164" s="424"/>
      <c r="DM164" s="424"/>
      <c r="DN164" s="424"/>
      <c r="DO164" s="424"/>
      <c r="DP164" s="424"/>
      <c r="DQ164" s="424"/>
      <c r="DR164" s="424"/>
      <c r="DS164" s="424"/>
      <c r="DT164" s="424"/>
      <c r="DU164" s="424"/>
      <c r="DV164" s="424"/>
      <c r="DW164" s="424"/>
      <c r="DX164" s="424"/>
      <c r="DY164" s="424"/>
      <c r="DZ164" s="424"/>
    </row>
    <row r="165" spans="1:130" ht="15" customHeight="1">
      <c r="A165" s="310">
        <f t="shared" si="62"/>
        <v>2030</v>
      </c>
      <c r="B165" s="311">
        <f t="shared" si="61"/>
        <v>78227</v>
      </c>
      <c r="C165" s="153"/>
      <c r="D165" s="312">
        <f t="shared" si="48"/>
        <v>25</v>
      </c>
      <c r="E165" s="170">
        <f>BE140</f>
        <v>6000</v>
      </c>
      <c r="F165" s="182">
        <f>BE147</f>
        <v>0.73611910047215701</v>
      </c>
      <c r="G165" s="183">
        <f>BE148</f>
        <v>7169.8179999999993</v>
      </c>
      <c r="H165" s="424"/>
      <c r="I165" s="314">
        <f t="shared" si="26"/>
        <v>78227</v>
      </c>
      <c r="J165" s="133"/>
      <c r="K165" s="133"/>
      <c r="CD165" s="424"/>
      <c r="CE165" s="173"/>
      <c r="CF165" s="173"/>
      <c r="CG165" s="424"/>
      <c r="CH165" s="424"/>
      <c r="CI165" s="424"/>
      <c r="CJ165" s="424"/>
      <c r="CK165" s="424"/>
      <c r="CL165" s="173"/>
      <c r="CM165" s="173"/>
      <c r="CN165" s="424"/>
      <c r="CO165" s="424"/>
      <c r="CP165" s="424"/>
      <c r="CQ165" s="424"/>
      <c r="CR165" s="424"/>
      <c r="CS165" s="173"/>
      <c r="CT165" s="173"/>
      <c r="CU165" s="424"/>
      <c r="CV165" s="424"/>
      <c r="CW165" s="424"/>
      <c r="CX165" s="424"/>
      <c r="CY165" s="424"/>
      <c r="CZ165" s="173"/>
      <c r="DA165" s="173"/>
      <c r="DB165" s="424"/>
      <c r="DC165" s="424"/>
      <c r="DD165" s="424"/>
      <c r="DE165" s="424"/>
      <c r="DF165" s="424"/>
      <c r="DG165" s="173"/>
      <c r="DH165" s="173"/>
      <c r="DI165" s="424"/>
      <c r="DJ165" s="424"/>
      <c r="DK165" s="424"/>
      <c r="DL165" s="424"/>
      <c r="DM165" s="424"/>
      <c r="DN165" s="173"/>
      <c r="DO165" s="173"/>
      <c r="DP165" s="424"/>
      <c r="DQ165" s="424"/>
      <c r="DR165" s="424"/>
      <c r="DS165" s="424"/>
      <c r="DT165" s="424"/>
      <c r="DU165" s="424"/>
      <c r="DV165" s="424"/>
      <c r="DW165" s="424"/>
      <c r="DX165" s="424"/>
      <c r="DY165" s="424"/>
      <c r="DZ165" s="424"/>
    </row>
    <row r="166" spans="1:130" ht="15" customHeight="1">
      <c r="A166" s="310">
        <f t="shared" si="62"/>
        <v>2031</v>
      </c>
      <c r="B166" s="311">
        <f t="shared" si="61"/>
        <v>77785</v>
      </c>
      <c r="C166" s="153"/>
      <c r="D166" s="312">
        <f t="shared" si="48"/>
        <v>26</v>
      </c>
      <c r="E166" s="170">
        <f>BL140</f>
        <v>7000</v>
      </c>
      <c r="F166" s="182">
        <f>BL147</f>
        <v>0.73611910047215701</v>
      </c>
      <c r="G166" s="183">
        <f>BL148</f>
        <v>7169.8179999999993</v>
      </c>
      <c r="H166" s="424"/>
      <c r="I166" s="314">
        <f t="shared" si="26"/>
        <v>77785</v>
      </c>
      <c r="J166" s="133"/>
      <c r="K166" s="133"/>
      <c r="CD166" s="424"/>
      <c r="CE166" s="173"/>
      <c r="CF166" s="173"/>
      <c r="CG166" s="424"/>
      <c r="CH166" s="424"/>
      <c r="CI166" s="424"/>
      <c r="CJ166" s="424"/>
      <c r="CK166" s="424"/>
      <c r="CL166" s="173"/>
      <c r="CM166" s="173"/>
      <c r="CN166" s="424"/>
      <c r="CO166" s="424"/>
      <c r="CP166" s="424"/>
      <c r="CQ166" s="424"/>
      <c r="CR166" s="424"/>
      <c r="CS166" s="173"/>
      <c r="CT166" s="173"/>
      <c r="CU166" s="424"/>
      <c r="CV166" s="424"/>
      <c r="CW166" s="424"/>
      <c r="CX166" s="424"/>
      <c r="CY166" s="424"/>
      <c r="CZ166" s="173"/>
      <c r="DA166" s="173"/>
      <c r="DB166" s="424"/>
      <c r="DC166" s="424"/>
      <c r="DD166" s="424"/>
      <c r="DE166" s="424"/>
      <c r="DF166" s="424"/>
      <c r="DG166" s="173"/>
      <c r="DH166" s="173"/>
      <c r="DI166" s="424"/>
      <c r="DJ166" s="424"/>
      <c r="DK166" s="424"/>
      <c r="DL166" s="424"/>
      <c r="DM166" s="424"/>
      <c r="DN166" s="173"/>
      <c r="DO166" s="173"/>
      <c r="DP166" s="424"/>
      <c r="DQ166" s="424"/>
      <c r="DR166" s="424"/>
      <c r="DS166" s="424"/>
      <c r="DT166" s="424"/>
      <c r="DU166" s="424"/>
      <c r="DV166" s="424"/>
      <c r="DW166" s="424"/>
      <c r="DX166" s="424"/>
      <c r="DY166" s="424"/>
      <c r="DZ166" s="424"/>
    </row>
    <row r="167" spans="1:130" ht="15" customHeight="1">
      <c r="A167" s="310">
        <f t="shared" si="62"/>
        <v>2032</v>
      </c>
      <c r="B167" s="311">
        <f t="shared" si="61"/>
        <v>77345</v>
      </c>
      <c r="C167" s="153"/>
      <c r="D167" s="312">
        <f t="shared" si="48"/>
        <v>27</v>
      </c>
      <c r="E167" s="170">
        <f>BS140</f>
        <v>8000</v>
      </c>
      <c r="F167" s="182">
        <f>BS147</f>
        <v>0.7359912775419053</v>
      </c>
      <c r="G167" s="183">
        <f>BS148</f>
        <v>7173.3509999999987</v>
      </c>
      <c r="H167" s="424"/>
      <c r="I167" s="314">
        <f t="shared" si="26"/>
        <v>77345</v>
      </c>
      <c r="J167" s="133"/>
      <c r="K167" s="133"/>
      <c r="CD167" s="424"/>
      <c r="CE167" s="173"/>
      <c r="CF167" s="173"/>
      <c r="CG167" s="424"/>
      <c r="CH167" s="424"/>
      <c r="CI167" s="424"/>
      <c r="CJ167" s="424"/>
      <c r="CK167" s="424"/>
      <c r="CL167" s="173"/>
      <c r="CM167" s="173"/>
      <c r="CN167" s="424"/>
      <c r="CO167" s="424"/>
      <c r="CP167" s="424"/>
      <c r="CQ167" s="424"/>
      <c r="CR167" s="424"/>
      <c r="CS167" s="173"/>
      <c r="CT167" s="173"/>
      <c r="CU167" s="424"/>
      <c r="CV167" s="424"/>
      <c r="CW167" s="424"/>
      <c r="CX167" s="424"/>
      <c r="CY167" s="424"/>
      <c r="CZ167" s="173"/>
      <c r="DA167" s="173"/>
      <c r="DB167" s="424"/>
      <c r="DC167" s="424"/>
      <c r="DD167" s="424"/>
      <c r="DE167" s="424"/>
      <c r="DF167" s="424"/>
      <c r="DG167" s="173"/>
      <c r="DH167" s="173"/>
      <c r="DI167" s="424"/>
      <c r="DJ167" s="424"/>
      <c r="DK167" s="424"/>
      <c r="DL167" s="424"/>
      <c r="DM167" s="424"/>
      <c r="DN167" s="173"/>
      <c r="DO167" s="173"/>
      <c r="DP167" s="424"/>
      <c r="DQ167" s="424"/>
      <c r="DR167" s="424"/>
      <c r="DS167" s="424"/>
      <c r="DT167" s="424"/>
      <c r="DU167" s="424"/>
      <c r="DV167" s="424"/>
      <c r="DW167" s="424"/>
      <c r="DX167" s="424"/>
      <c r="DY167" s="424"/>
      <c r="DZ167" s="424"/>
    </row>
    <row r="168" spans="1:130" ht="15" customHeight="1">
      <c r="A168" s="310">
        <f t="shared" si="62"/>
        <v>2033</v>
      </c>
      <c r="B168" s="311">
        <f t="shared" si="61"/>
        <v>76908</v>
      </c>
      <c r="C168" s="153"/>
      <c r="D168" s="312">
        <f t="shared" si="48"/>
        <v>28</v>
      </c>
      <c r="E168" s="170"/>
      <c r="F168" s="182"/>
      <c r="G168" s="182"/>
      <c r="H168" s="424"/>
      <c r="I168" s="314">
        <f t="shared" si="26"/>
        <v>76908</v>
      </c>
      <c r="J168" s="133"/>
      <c r="K168" s="133"/>
      <c r="CD168" s="424"/>
      <c r="CE168" s="424"/>
      <c r="CF168" s="424"/>
      <c r="CG168" s="424"/>
      <c r="CH168" s="424"/>
      <c r="CI168" s="424"/>
      <c r="CJ168" s="424"/>
      <c r="CK168" s="424"/>
      <c r="CL168" s="424"/>
      <c r="CM168" s="424"/>
      <c r="CN168" s="424"/>
      <c r="CO168" s="424"/>
      <c r="CP168" s="424"/>
      <c r="CQ168" s="424"/>
      <c r="CR168" s="424"/>
      <c r="CS168" s="424"/>
      <c r="CT168" s="424"/>
      <c r="CU168" s="424"/>
      <c r="CV168" s="424"/>
      <c r="CW168" s="424"/>
      <c r="CX168" s="424"/>
      <c r="CY168" s="424"/>
      <c r="CZ168" s="424"/>
      <c r="DA168" s="424"/>
      <c r="DB168" s="424"/>
      <c r="DC168" s="424"/>
      <c r="DD168" s="424"/>
      <c r="DE168" s="424"/>
      <c r="DF168" s="424"/>
      <c r="DG168" s="424"/>
      <c r="DH168" s="424"/>
      <c r="DI168" s="424"/>
      <c r="DJ168" s="424"/>
      <c r="DK168" s="424"/>
      <c r="DL168" s="424"/>
      <c r="DM168" s="424"/>
      <c r="DN168" s="424"/>
      <c r="DO168" s="424"/>
      <c r="DP168" s="424"/>
      <c r="DQ168" s="424"/>
      <c r="DR168" s="424"/>
      <c r="DS168" s="424"/>
      <c r="DT168" s="424"/>
      <c r="DU168" s="424"/>
      <c r="DV168" s="424"/>
      <c r="DW168" s="424"/>
      <c r="DX168" s="424"/>
      <c r="DY168" s="424"/>
      <c r="DZ168" s="424"/>
    </row>
    <row r="169" spans="1:130" ht="15" customHeight="1">
      <c r="A169" s="310">
        <f t="shared" si="62"/>
        <v>2034</v>
      </c>
      <c r="B169" s="311">
        <f t="shared" si="61"/>
        <v>76473</v>
      </c>
      <c r="C169" s="153"/>
      <c r="D169" s="312">
        <f t="shared" si="48"/>
        <v>29</v>
      </c>
      <c r="E169" s="170"/>
      <c r="F169" s="182"/>
      <c r="G169" s="183"/>
      <c r="H169" s="424"/>
      <c r="I169" s="314">
        <f t="shared" si="26"/>
        <v>76473</v>
      </c>
      <c r="J169" s="133"/>
      <c r="K169" s="133"/>
    </row>
    <row r="170" spans="1:130" ht="15" customHeight="1">
      <c r="A170" s="310">
        <f t="shared" si="62"/>
        <v>2035</v>
      </c>
      <c r="B170" s="311">
        <f t="shared" si="61"/>
        <v>76040</v>
      </c>
      <c r="C170" s="153"/>
      <c r="D170" s="312">
        <f t="shared" si="48"/>
        <v>30</v>
      </c>
      <c r="H170" s="424"/>
      <c r="I170" s="314">
        <f t="shared" si="26"/>
        <v>76040</v>
      </c>
      <c r="J170" s="133"/>
      <c r="K170" s="133"/>
    </row>
    <row r="171" spans="1:130" ht="15" customHeight="1">
      <c r="A171" s="310">
        <f t="shared" si="62"/>
        <v>2036</v>
      </c>
      <c r="B171" s="311">
        <f t="shared" si="61"/>
        <v>75610</v>
      </c>
      <c r="C171" s="153"/>
      <c r="D171" s="312">
        <f t="shared" si="48"/>
        <v>31</v>
      </c>
      <c r="H171" s="424"/>
      <c r="I171" s="314">
        <f t="shared" si="26"/>
        <v>75610</v>
      </c>
      <c r="J171" s="133"/>
      <c r="K171" s="133"/>
    </row>
    <row r="172" spans="1:130" ht="15" customHeight="1">
      <c r="A172" s="310">
        <f t="shared" si="62"/>
        <v>2037</v>
      </c>
      <c r="B172" s="311">
        <f t="shared" si="61"/>
        <v>75183</v>
      </c>
      <c r="C172" s="153"/>
      <c r="D172" s="312">
        <f t="shared" si="48"/>
        <v>32</v>
      </c>
      <c r="E172" s="424"/>
      <c r="F172" s="424"/>
      <c r="G172" s="424"/>
      <c r="H172" s="424"/>
      <c r="I172" s="314">
        <f t="shared" si="26"/>
        <v>75183</v>
      </c>
      <c r="J172" s="133"/>
      <c r="K172" s="133"/>
    </row>
    <row r="173" spans="1:130" ht="15" customHeight="1">
      <c r="A173" s="323">
        <f t="shared" si="62"/>
        <v>2038</v>
      </c>
      <c r="B173" s="324">
        <f t="shared" si="61"/>
        <v>74758</v>
      </c>
      <c r="C173" s="155"/>
      <c r="D173" s="312">
        <f t="shared" si="48"/>
        <v>33</v>
      </c>
      <c r="E173" s="309"/>
      <c r="F173" s="309"/>
      <c r="G173" s="309"/>
      <c r="H173" s="309"/>
      <c r="I173" s="326">
        <f t="shared" si="26"/>
        <v>74758</v>
      </c>
      <c r="J173" s="327"/>
      <c r="K173" s="327"/>
    </row>
    <row r="174" spans="1:130" ht="15" customHeight="1">
      <c r="A174" s="134"/>
      <c r="B174" s="184"/>
      <c r="C174" s="424"/>
      <c r="D174" s="313"/>
      <c r="E174" s="158"/>
      <c r="F174" s="132"/>
      <c r="G174" s="424"/>
      <c r="H174" s="424"/>
      <c r="I174" s="185"/>
      <c r="J174" s="185"/>
    </row>
    <row r="175" spans="1:130" ht="15" customHeight="1">
      <c r="A175" s="111" t="s">
        <v>428</v>
      </c>
    </row>
    <row r="176" spans="1:130" ht="15" customHeight="1">
      <c r="A176" s="113" t="s">
        <v>320</v>
      </c>
      <c r="B176" s="114" t="s">
        <v>429</v>
      </c>
      <c r="C176" s="115" t="s">
        <v>430</v>
      </c>
      <c r="D176" s="115" t="s">
        <v>431</v>
      </c>
      <c r="E176" s="115" t="s">
        <v>432</v>
      </c>
      <c r="F176" s="137"/>
      <c r="G176" s="116"/>
      <c r="H176" s="118" t="s">
        <v>1054</v>
      </c>
      <c r="I176" s="119">
        <f>RSQ(I178:I187,B178:B187)</f>
        <v>0.58488816556160661</v>
      </c>
      <c r="J176" s="120" t="s">
        <v>433</v>
      </c>
      <c r="K176" s="121" t="s">
        <v>434</v>
      </c>
      <c r="M176" s="160" t="s">
        <v>430</v>
      </c>
      <c r="N176" s="186"/>
      <c r="O176" s="116"/>
      <c r="P176" s="161" t="s">
        <v>1055</v>
      </c>
      <c r="Q176" s="162">
        <f>RSQ($B178:$B187,Q178:Q187)</f>
        <v>0.58488816556160661</v>
      </c>
      <c r="R176" s="121" t="s">
        <v>434</v>
      </c>
      <c r="T176" s="160" t="s">
        <v>430</v>
      </c>
      <c r="U176" s="186"/>
      <c r="V176" s="116"/>
      <c r="W176" s="161" t="s">
        <v>1055</v>
      </c>
      <c r="X176" s="162">
        <f>RSQ($B178:$B187,X178:X187)</f>
        <v>0.58488816556160661</v>
      </c>
      <c r="Y176" s="121" t="s">
        <v>434</v>
      </c>
      <c r="AA176" s="160" t="s">
        <v>430</v>
      </c>
      <c r="AB176" s="186"/>
      <c r="AC176" s="116"/>
      <c r="AD176" s="161" t="s">
        <v>1055</v>
      </c>
      <c r="AE176" s="162">
        <f>RSQ($B178:$B187,AE178:AE187)</f>
        <v>0.58488816556160661</v>
      </c>
      <c r="AF176" s="121" t="s">
        <v>434</v>
      </c>
      <c r="AH176" s="160" t="s">
        <v>430</v>
      </c>
      <c r="AI176" s="186"/>
      <c r="AJ176" s="116"/>
      <c r="AK176" s="161" t="s">
        <v>1055</v>
      </c>
      <c r="AL176" s="162">
        <f>RSQ($B178:$B187,AL178:AL187)</f>
        <v>0.58488816556160661</v>
      </c>
      <c r="AM176" s="121" t="s">
        <v>434</v>
      </c>
      <c r="AO176" s="160" t="s">
        <v>430</v>
      </c>
      <c r="AP176" s="186"/>
      <c r="AQ176" s="116"/>
      <c r="AR176" s="161" t="s">
        <v>1055</v>
      </c>
      <c r="AS176" s="162">
        <f>RSQ($B178:$B187,AS178:AS187)</f>
        <v>0.58488816556160661</v>
      </c>
      <c r="AT176" s="121" t="s">
        <v>434</v>
      </c>
      <c r="AV176" s="160" t="s">
        <v>430</v>
      </c>
      <c r="AW176" s="186"/>
      <c r="AX176" s="116"/>
      <c r="AY176" s="161" t="s">
        <v>1055</v>
      </c>
      <c r="AZ176" s="162">
        <f>RSQ($B178:$B187,AZ178:AZ187)</f>
        <v>0.58488816556160661</v>
      </c>
      <c r="BA176" s="121" t="s">
        <v>434</v>
      </c>
      <c r="BC176" s="160" t="s">
        <v>430</v>
      </c>
      <c r="BD176" s="186"/>
      <c r="BE176" s="116"/>
      <c r="BF176" s="161" t="s">
        <v>1055</v>
      </c>
      <c r="BG176" s="162">
        <f>RSQ($B178:$B187,BG178:BG187)</f>
        <v>0.58488816556160661</v>
      </c>
      <c r="BH176" s="121" t="s">
        <v>434</v>
      </c>
      <c r="BJ176" s="160" t="s">
        <v>430</v>
      </c>
      <c r="BK176" s="186"/>
      <c r="BL176" s="116"/>
      <c r="BM176" s="161" t="s">
        <v>1055</v>
      </c>
      <c r="BN176" s="162">
        <f>RSQ($B178:$B187,BN178:BN187)</f>
        <v>0.58488816556160661</v>
      </c>
      <c r="BO176" s="121" t="s">
        <v>434</v>
      </c>
      <c r="BQ176" s="160" t="s">
        <v>430</v>
      </c>
      <c r="BR176" s="186"/>
      <c r="BS176" s="116"/>
      <c r="BT176" s="161" t="s">
        <v>1055</v>
      </c>
      <c r="BU176" s="162">
        <f>RSQ($B178:$B187,BU178:BU187)</f>
        <v>0.58488816556160661</v>
      </c>
      <c r="BV176" s="121" t="s">
        <v>434</v>
      </c>
      <c r="BX176" s="160" t="s">
        <v>430</v>
      </c>
      <c r="BY176" s="186"/>
      <c r="BZ176" s="116"/>
      <c r="CA176" s="161" t="s">
        <v>1055</v>
      </c>
      <c r="CB176" s="162">
        <f>RSQ($B178:$B187,CB178:CB187)</f>
        <v>0.58488816556160661</v>
      </c>
      <c r="CC176" s="121" t="s">
        <v>434</v>
      </c>
      <c r="CE176" s="160" t="s">
        <v>430</v>
      </c>
      <c r="CF176" s="186"/>
      <c r="CG176" s="116"/>
      <c r="CH176" s="161" t="s">
        <v>1055</v>
      </c>
      <c r="CI176" s="162">
        <f>RSQ($B178:$B187,CI178:CI187)</f>
        <v>0.58488816556160661</v>
      </c>
      <c r="CJ176" s="121" t="s">
        <v>434</v>
      </c>
      <c r="CL176" s="160" t="s">
        <v>430</v>
      </c>
      <c r="CM176" s="186"/>
      <c r="CN176" s="116"/>
      <c r="CO176" s="161" t="s">
        <v>1055</v>
      </c>
      <c r="CP176" s="162">
        <f>RSQ($B178:$B187,CP178:CP187)</f>
        <v>0.58488816556160661</v>
      </c>
      <c r="CQ176" s="121" t="s">
        <v>434</v>
      </c>
      <c r="CS176" s="160" t="s">
        <v>430</v>
      </c>
      <c r="CT176" s="186"/>
      <c r="CU176" s="116"/>
      <c r="CV176" s="161" t="s">
        <v>1055</v>
      </c>
      <c r="CW176" s="162">
        <f>RSQ($B178:$B187,CW178:CW187)</f>
        <v>0.58488816556160661</v>
      </c>
      <c r="CX176" s="121" t="s">
        <v>434</v>
      </c>
      <c r="CZ176" s="160" t="s">
        <v>430</v>
      </c>
      <c r="DA176" s="186"/>
      <c r="DB176" s="116"/>
      <c r="DC176" s="161" t="s">
        <v>1055</v>
      </c>
      <c r="DD176" s="162">
        <f>RSQ($B178:$B187,DD178:DD187)</f>
        <v>0.58488816556160661</v>
      </c>
      <c r="DE176" s="121" t="s">
        <v>434</v>
      </c>
      <c r="DG176" s="160" t="s">
        <v>430</v>
      </c>
      <c r="DH176" s="186"/>
      <c r="DI176" s="116"/>
      <c r="DJ176" s="161" t="s">
        <v>1055</v>
      </c>
      <c r="DK176" s="162">
        <f>RSQ($B178:$B187,DK178:DK187)</f>
        <v>0.58488816556160661</v>
      </c>
      <c r="DL176" s="121" t="s">
        <v>434</v>
      </c>
      <c r="DN176" s="160" t="s">
        <v>430</v>
      </c>
      <c r="DO176" s="186"/>
      <c r="DP176" s="116"/>
      <c r="DQ176" s="161" t="s">
        <v>1055</v>
      </c>
      <c r="DR176" s="162">
        <f>RSQ($B178:$B187,DR178:DR187)</f>
        <v>0.58488816556160661</v>
      </c>
      <c r="DS176" s="121" t="s">
        <v>434</v>
      </c>
    </row>
    <row r="177" spans="1:123" ht="15" customHeight="1">
      <c r="A177" s="310">
        <f t="shared" ref="A177:B192" si="63">A103</f>
        <v>2005</v>
      </c>
      <c r="B177" s="311">
        <f t="shared" si="63"/>
        <v>90931</v>
      </c>
      <c r="C177" s="187">
        <f>LN(B177-$G$181)</f>
        <v>11.417856256130069</v>
      </c>
      <c r="D177" s="312"/>
      <c r="E177" s="188" t="e">
        <f>LN(D177)</f>
        <v>#NUM!</v>
      </c>
      <c r="F177" s="139" t="s">
        <v>435</v>
      </c>
      <c r="I177" s="314" t="e">
        <f t="array" ref="I177">ROUND($G$181+$G$184*D177^$G$182,$G$1)</f>
        <v>#DIV/0!</v>
      </c>
      <c r="J177" s="143" t="e">
        <f>ABS(B177-I177)/B177*100</f>
        <v>#DIV/0!</v>
      </c>
      <c r="K177" s="143" t="e">
        <f>(B177-I177)^2/1000</f>
        <v>#DIV/0!</v>
      </c>
      <c r="M177" s="189">
        <f t="shared" ref="M177:M187" si="64">LN($B177-O$180)</f>
        <v>11.417856256130069</v>
      </c>
      <c r="N177" s="190" t="s">
        <v>435</v>
      </c>
      <c r="Q177" s="133" t="e">
        <f t="shared" ref="Q177:Q187" si="65">ROUND(O$180+O$183*$D177^O$181,$G$1)</f>
        <v>#DIV/0!</v>
      </c>
      <c r="R177" s="315" t="e">
        <f>($B177-Q177)^2/1000</f>
        <v>#DIV/0!</v>
      </c>
      <c r="T177" s="189">
        <f t="shared" ref="T177:T187" si="66">LN($B177-V$180)</f>
        <v>11.417845258719959</v>
      </c>
      <c r="U177" s="190" t="s">
        <v>435</v>
      </c>
      <c r="X177" s="133" t="e">
        <f t="shared" ref="X177:X187" si="67">ROUND(V$180+V$183*$D177^V$181,$G$1)</f>
        <v>#DIV/0!</v>
      </c>
      <c r="Y177" s="315" t="e">
        <f>($B177-X177)^2/1000</f>
        <v>#DIV/0!</v>
      </c>
      <c r="AA177" s="189">
        <f t="shared" ref="AA177:AA187" si="68">LN($B177-AC$180)</f>
        <v>11.417834261188904</v>
      </c>
      <c r="AB177" s="190" t="s">
        <v>435</v>
      </c>
      <c r="AE177" s="133" t="e">
        <f t="shared" ref="AE177:AE187" si="69">ROUND(AC$180+AC$183*$D177^AC$181,$G$1)</f>
        <v>#DIV/0!</v>
      </c>
      <c r="AF177" s="315" t="e">
        <f>($B177-AE177)^2/1000</f>
        <v>#DIV/0!</v>
      </c>
      <c r="AH177" s="189">
        <f t="shared" ref="AH177:AH187" si="70">LN($B177-AJ$180)</f>
        <v>11.417823263536903</v>
      </c>
      <c r="AI177" s="190" t="s">
        <v>435</v>
      </c>
      <c r="AL177" s="133" t="e">
        <f t="shared" ref="AL177:AL187" si="71">ROUND(AJ$180+AJ$183*$D177^AJ$181,$G$1)</f>
        <v>#DIV/0!</v>
      </c>
      <c r="AM177" s="315" t="e">
        <f>($B177-AL177)^2/1000</f>
        <v>#DIV/0!</v>
      </c>
      <c r="AO177" s="189">
        <f t="shared" ref="AO177:AO187" si="72">LN($B177-AQ$180)</f>
        <v>11.417812265763951</v>
      </c>
      <c r="AP177" s="190" t="s">
        <v>435</v>
      </c>
      <c r="AS177" s="133" t="e">
        <f t="shared" ref="AS177:AS187" si="73">ROUND(AQ$180+AQ$183*$D177^AQ$181,$G$1)</f>
        <v>#DIV/0!</v>
      </c>
      <c r="AT177" s="315" t="e">
        <f>($B177-AS177)^2/1000</f>
        <v>#DIV/0!</v>
      </c>
      <c r="AV177" s="189">
        <f t="shared" ref="AV177:AV187" si="74">LN($B177-AX$180)</f>
        <v>11.417801267870049</v>
      </c>
      <c r="AW177" s="190" t="s">
        <v>435</v>
      </c>
      <c r="AZ177" s="133" t="e">
        <f t="shared" ref="AZ177:AZ187" si="75">ROUND(AX$180+AX$183*$D177^AX$181,$G$1)</f>
        <v>#DIV/0!</v>
      </c>
      <c r="BA177" s="315" t="e">
        <f>($B177-AZ177)^2/1000</f>
        <v>#DIV/0!</v>
      </c>
      <c r="BC177" s="189">
        <f t="shared" ref="BC177:BC187" si="76">LN($B177-BE$180)</f>
        <v>11.417790269855189</v>
      </c>
      <c r="BD177" s="190" t="s">
        <v>435</v>
      </c>
      <c r="BG177" s="133" t="e">
        <f t="shared" ref="BG177:BG187" si="77">ROUND(BE$180+BE$183*$D177^BE$181,$G$1)</f>
        <v>#DIV/0!</v>
      </c>
      <c r="BH177" s="315" t="e">
        <f>($B177-BG177)^2/1000</f>
        <v>#DIV/0!</v>
      </c>
      <c r="BJ177" s="189">
        <f t="shared" ref="BJ177:BJ187" si="78">LN($B177-BL$180)</f>
        <v>11.417779271719374</v>
      </c>
      <c r="BK177" s="190" t="s">
        <v>435</v>
      </c>
      <c r="BN177" s="133" t="e">
        <f t="shared" ref="BN177:BN187" si="79">ROUND(BL$180+BL$183*$D177^BL$181,$G$1)</f>
        <v>#DIV/0!</v>
      </c>
      <c r="BO177" s="315" t="e">
        <f>($B177-BN177)^2/1000</f>
        <v>#DIV/0!</v>
      </c>
      <c r="BQ177" s="189">
        <f t="shared" ref="BQ177:BQ187" si="80">LN($B177-BS$180)</f>
        <v>11.417768273462597</v>
      </c>
      <c r="BR177" s="190" t="s">
        <v>435</v>
      </c>
      <c r="BU177" s="133" t="e">
        <f t="shared" ref="BU177:BU187" si="81">ROUND(BS$180+BS$183*$D177^BS$181,$G$1)</f>
        <v>#DIV/0!</v>
      </c>
      <c r="BV177" s="315" t="e">
        <f>($B177-BU177)^2/1000</f>
        <v>#DIV/0!</v>
      </c>
      <c r="BX177" s="189">
        <f t="shared" ref="BX177:BX187" si="82">LN($B177-BZ$180)</f>
        <v>11.417757275084858</v>
      </c>
      <c r="BY177" s="190" t="s">
        <v>435</v>
      </c>
      <c r="CB177" s="133" t="e">
        <f t="shared" ref="CB177:CB187" si="83">ROUND(BZ$180+BZ$183*$D177^BZ$181,$G$1)</f>
        <v>#DIV/0!</v>
      </c>
      <c r="CC177" s="315" t="e">
        <f>($B177-CB177)^2/1000</f>
        <v>#DIV/0!</v>
      </c>
      <c r="CE177" s="189">
        <f t="shared" ref="CE177:CE187" si="84">LN($B177-CG$180)</f>
        <v>11.417746276586152</v>
      </c>
      <c r="CF177" s="190" t="s">
        <v>435</v>
      </c>
      <c r="CI177" s="133" t="e">
        <f t="shared" ref="CI177:CI187" si="85">ROUND(CG$180+CG$183*$D177^CG$181,$G$1)</f>
        <v>#DIV/0!</v>
      </c>
      <c r="CJ177" s="315" t="e">
        <f>($B177-CI177)^2/1000</f>
        <v>#DIV/0!</v>
      </c>
      <c r="CL177" s="189">
        <f t="shared" ref="CL177:CL187" si="86">LN($B177-CN$180)</f>
        <v>11.417735277966479</v>
      </c>
      <c r="CM177" s="190" t="s">
        <v>435</v>
      </c>
      <c r="CP177" s="133" t="e">
        <f t="shared" ref="CP177:CP187" si="87">ROUND(CN$180+CN$183*$D177^CN$181,$G$1)</f>
        <v>#DIV/0!</v>
      </c>
      <c r="CQ177" s="315" t="e">
        <f>($B177-CP177)^2/1000</f>
        <v>#DIV/0!</v>
      </c>
      <c r="CS177" s="189">
        <f t="shared" ref="CS177:CS187" si="88">LN($B177-CU$180)</f>
        <v>11.417724279225835</v>
      </c>
      <c r="CT177" s="190" t="s">
        <v>435</v>
      </c>
      <c r="CW177" s="133" t="e">
        <f t="shared" ref="CW177:CW187" si="89">ROUND(CU$180+CU$183*$D177^CU$181,$G$1)</f>
        <v>#DIV/0!</v>
      </c>
      <c r="CX177" s="315" t="e">
        <f>($B177-CW177)^2/1000</f>
        <v>#DIV/0!</v>
      </c>
      <c r="CZ177" s="189">
        <f t="shared" ref="CZ177:CZ187" si="90">LN($B177-DB$180)</f>
        <v>11.417713280364218</v>
      </c>
      <c r="DA177" s="190" t="s">
        <v>435</v>
      </c>
      <c r="DD177" s="133" t="e">
        <f t="shared" ref="DD177:DD187" si="91">ROUND(DB$180+DB$183*$D177^DB$181,$G$1)</f>
        <v>#DIV/0!</v>
      </c>
      <c r="DE177" s="315" t="e">
        <f>($B177-DD177)^2/1000</f>
        <v>#DIV/0!</v>
      </c>
      <c r="DG177" s="189">
        <f t="shared" ref="DG177:DG187" si="92">LN($B177-DI$180)</f>
        <v>11.417702281381622</v>
      </c>
      <c r="DH177" s="190" t="s">
        <v>435</v>
      </c>
      <c r="DK177" s="133" t="e">
        <f t="shared" ref="DK177:DK187" si="93">ROUND(DI$180+DI$183*$D177^DI$181,$G$1)</f>
        <v>#DIV/0!</v>
      </c>
      <c r="DL177" s="315" t="e">
        <f>($B177-DK177)^2/1000</f>
        <v>#DIV/0!</v>
      </c>
      <c r="DN177" s="189">
        <f t="shared" ref="DN177:DN187" si="94">LN($B177-DP$180)</f>
        <v>11.417691282278049</v>
      </c>
      <c r="DO177" s="190" t="s">
        <v>435</v>
      </c>
      <c r="DR177" s="133" t="e">
        <f t="shared" ref="DR177:DR187" si="95">ROUND(DP$180+DP$183*$D177^DP$181,$G$1)</f>
        <v>#DIV/0!</v>
      </c>
      <c r="DS177" s="315" t="e">
        <f>($B177-DR177)^2/1000</f>
        <v>#DIV/0!</v>
      </c>
    </row>
    <row r="178" spans="1:123" ht="15" customHeight="1">
      <c r="A178" s="310">
        <f t="shared" si="63"/>
        <v>2006</v>
      </c>
      <c r="B178" s="311">
        <f t="shared" si="63"/>
        <v>89555</v>
      </c>
      <c r="C178" s="187">
        <f>LN(B178-$G$181)</f>
        <v>11.402608240659358</v>
      </c>
      <c r="D178" s="312">
        <v>1</v>
      </c>
      <c r="E178" s="188">
        <f>LN(D178)</f>
        <v>0</v>
      </c>
      <c r="F178" s="139" t="s">
        <v>436</v>
      </c>
      <c r="I178" s="314">
        <f t="shared" ref="I178:I210" si="96">ROUND($G$181+$G$184*D178^$G$182,$G$1)</f>
        <v>90194</v>
      </c>
      <c r="J178" s="143">
        <f>ABS(B178-I178)/B178*100</f>
        <v>0.71352799955334711</v>
      </c>
      <c r="K178" s="143">
        <f>(B178-I178)^2/1000</f>
        <v>408.32100000000003</v>
      </c>
      <c r="M178" s="189">
        <f t="shared" si="64"/>
        <v>11.402608240659358</v>
      </c>
      <c r="N178" s="190" t="s">
        <v>436</v>
      </c>
      <c r="Q178" s="133">
        <f t="shared" si="65"/>
        <v>90194</v>
      </c>
      <c r="R178" s="315">
        <f>($B178-Q178)^2/1000</f>
        <v>408.32100000000003</v>
      </c>
      <c r="T178" s="189">
        <f t="shared" si="66"/>
        <v>11.402597074274643</v>
      </c>
      <c r="U178" s="190" t="s">
        <v>436</v>
      </c>
      <c r="X178" s="133">
        <f t="shared" si="67"/>
        <v>90194</v>
      </c>
      <c r="Y178" s="315">
        <f>($B178-X178)^2/1000</f>
        <v>408.32100000000003</v>
      </c>
      <c r="AA178" s="189">
        <f t="shared" si="68"/>
        <v>11.402585907765237</v>
      </c>
      <c r="AB178" s="190" t="s">
        <v>436</v>
      </c>
      <c r="AE178" s="133">
        <f t="shared" si="69"/>
        <v>90194</v>
      </c>
      <c r="AF178" s="315">
        <f>($B178-AE178)^2/1000</f>
        <v>408.32100000000003</v>
      </c>
      <c r="AH178" s="189">
        <f t="shared" si="70"/>
        <v>11.40257474113114</v>
      </c>
      <c r="AI178" s="190" t="s">
        <v>436</v>
      </c>
      <c r="AL178" s="133">
        <f t="shared" si="71"/>
        <v>90194</v>
      </c>
      <c r="AM178" s="315">
        <f>($B178-AL178)^2/1000</f>
        <v>408.32100000000003</v>
      </c>
      <c r="AO178" s="189">
        <f t="shared" si="72"/>
        <v>11.402563574372348</v>
      </c>
      <c r="AP178" s="190" t="s">
        <v>436</v>
      </c>
      <c r="AS178" s="133">
        <f t="shared" si="73"/>
        <v>90194</v>
      </c>
      <c r="AT178" s="315">
        <f>($B178-AS178)^2/1000</f>
        <v>408.32100000000003</v>
      </c>
      <c r="AV178" s="189">
        <f t="shared" si="74"/>
        <v>11.402552407488859</v>
      </c>
      <c r="AW178" s="190" t="s">
        <v>436</v>
      </c>
      <c r="AZ178" s="133">
        <f t="shared" si="75"/>
        <v>90194</v>
      </c>
      <c r="BA178" s="315">
        <f>($B178-AZ178)^2/1000</f>
        <v>408.32100000000003</v>
      </c>
      <c r="BC178" s="189">
        <f t="shared" si="76"/>
        <v>11.402541240480666</v>
      </c>
      <c r="BD178" s="190" t="s">
        <v>436</v>
      </c>
      <c r="BG178" s="133">
        <f t="shared" si="77"/>
        <v>90194</v>
      </c>
      <c r="BH178" s="315">
        <f>($B178-BG178)^2/1000</f>
        <v>408.32100000000003</v>
      </c>
      <c r="BJ178" s="189">
        <f t="shared" si="78"/>
        <v>11.402530073347773</v>
      </c>
      <c r="BK178" s="190" t="s">
        <v>436</v>
      </c>
      <c r="BN178" s="133">
        <f t="shared" si="79"/>
        <v>90194</v>
      </c>
      <c r="BO178" s="315">
        <f>($B178-BN178)^2/1000</f>
        <v>408.32100000000003</v>
      </c>
      <c r="BQ178" s="189">
        <f t="shared" si="80"/>
        <v>11.402518906090171</v>
      </c>
      <c r="BR178" s="190" t="s">
        <v>436</v>
      </c>
      <c r="BU178" s="133">
        <f t="shared" si="81"/>
        <v>90194</v>
      </c>
      <c r="BV178" s="315">
        <f>($B178-BU178)^2/1000</f>
        <v>408.32100000000003</v>
      </c>
      <c r="BX178" s="189">
        <f t="shared" si="82"/>
        <v>11.402507738707861</v>
      </c>
      <c r="BY178" s="190" t="s">
        <v>436</v>
      </c>
      <c r="CB178" s="133">
        <f t="shared" si="83"/>
        <v>90194</v>
      </c>
      <c r="CC178" s="315">
        <f>($B178-CB178)^2/1000</f>
        <v>408.32100000000003</v>
      </c>
      <c r="CE178" s="189">
        <f t="shared" si="84"/>
        <v>11.402496571200841</v>
      </c>
      <c r="CF178" s="190" t="s">
        <v>436</v>
      </c>
      <c r="CI178" s="133">
        <f t="shared" si="85"/>
        <v>90194</v>
      </c>
      <c r="CJ178" s="315">
        <f>($B178-CI178)^2/1000</f>
        <v>408.32100000000003</v>
      </c>
      <c r="CL178" s="189">
        <f t="shared" si="86"/>
        <v>11.402485403569104</v>
      </c>
      <c r="CM178" s="190" t="s">
        <v>436</v>
      </c>
      <c r="CP178" s="133">
        <f t="shared" si="87"/>
        <v>90194</v>
      </c>
      <c r="CQ178" s="315">
        <f>($B178-CP178)^2/1000</f>
        <v>408.32100000000003</v>
      </c>
      <c r="CS178" s="189">
        <f t="shared" si="88"/>
        <v>11.402474235812649</v>
      </c>
      <c r="CT178" s="190" t="s">
        <v>436</v>
      </c>
      <c r="CW178" s="133">
        <f t="shared" si="89"/>
        <v>90194</v>
      </c>
      <c r="CX178" s="315">
        <f>($B178-CW178)^2/1000</f>
        <v>408.32100000000003</v>
      </c>
      <c r="CZ178" s="189">
        <f t="shared" si="90"/>
        <v>11.402463067931476</v>
      </c>
      <c r="DA178" s="190" t="s">
        <v>436</v>
      </c>
      <c r="DD178" s="133">
        <f t="shared" si="91"/>
        <v>90194</v>
      </c>
      <c r="DE178" s="315">
        <f>($B178-DD178)^2/1000</f>
        <v>408.32100000000003</v>
      </c>
      <c r="DG178" s="189">
        <f t="shared" si="92"/>
        <v>11.402451899925579</v>
      </c>
      <c r="DH178" s="190" t="s">
        <v>436</v>
      </c>
      <c r="DK178" s="133">
        <f t="shared" si="93"/>
        <v>90194</v>
      </c>
      <c r="DL178" s="315">
        <f>($B178-DK178)^2/1000</f>
        <v>408.32100000000003</v>
      </c>
      <c r="DN178" s="189">
        <f t="shared" si="94"/>
        <v>11.402440731794956</v>
      </c>
      <c r="DO178" s="190" t="s">
        <v>436</v>
      </c>
      <c r="DR178" s="133">
        <f t="shared" si="95"/>
        <v>90194</v>
      </c>
      <c r="DS178" s="315">
        <f>($B178-DR178)^2/1000</f>
        <v>408.32100000000003</v>
      </c>
    </row>
    <row r="179" spans="1:123" ht="15" customHeight="1">
      <c r="A179" s="310">
        <f t="shared" si="63"/>
        <v>2007</v>
      </c>
      <c r="B179" s="311">
        <f t="shared" si="63"/>
        <v>88685</v>
      </c>
      <c r="C179" s="187">
        <f>LN(B179-$G$181)</f>
        <v>11.392846044639686</v>
      </c>
      <c r="D179" s="312">
        <f>D178+1</f>
        <v>2</v>
      </c>
      <c r="E179" s="188">
        <f>LN(D179)</f>
        <v>0.69314718055994529</v>
      </c>
      <c r="F179" s="424" t="s">
        <v>437</v>
      </c>
      <c r="G179" s="190"/>
      <c r="H179" s="313"/>
      <c r="I179" s="314">
        <f t="shared" si="96"/>
        <v>88897</v>
      </c>
      <c r="J179" s="143">
        <f>ABS(B179-I179)/B179*100</f>
        <v>0.23904831707729607</v>
      </c>
      <c r="K179" s="143">
        <f>(B179-I179)^2/1000</f>
        <v>44.944000000000003</v>
      </c>
      <c r="M179" s="189">
        <f t="shared" si="64"/>
        <v>11.392846044639686</v>
      </c>
      <c r="N179" s="424" t="s">
        <v>437</v>
      </c>
      <c r="P179" s="313"/>
      <c r="Q179" s="133">
        <f t="shared" si="65"/>
        <v>88897</v>
      </c>
      <c r="R179" s="315">
        <f>($B179-Q179)^2/1000</f>
        <v>44.944000000000003</v>
      </c>
      <c r="T179" s="189">
        <f t="shared" si="66"/>
        <v>11.392834768712101</v>
      </c>
      <c r="U179" s="424" t="s">
        <v>437</v>
      </c>
      <c r="W179" s="313"/>
      <c r="X179" s="133">
        <f t="shared" si="67"/>
        <v>88897</v>
      </c>
      <c r="Y179" s="315">
        <f>($B179-X179)^2/1000</f>
        <v>44.944000000000003</v>
      </c>
      <c r="AA179" s="189">
        <f t="shared" si="68"/>
        <v>11.392823492657367</v>
      </c>
      <c r="AB179" s="424" t="s">
        <v>437</v>
      </c>
      <c r="AD179" s="313"/>
      <c r="AE179" s="133">
        <f t="shared" si="69"/>
        <v>88897</v>
      </c>
      <c r="AF179" s="315">
        <f>($B179-AE179)^2/1000</f>
        <v>44.944000000000003</v>
      </c>
      <c r="AH179" s="189">
        <f t="shared" si="70"/>
        <v>11.392812216475482</v>
      </c>
      <c r="AI179" s="424" t="s">
        <v>437</v>
      </c>
      <c r="AK179" s="313"/>
      <c r="AL179" s="133">
        <f t="shared" si="71"/>
        <v>88897</v>
      </c>
      <c r="AM179" s="315">
        <f>($B179-AL179)^2/1000</f>
        <v>44.944000000000003</v>
      </c>
      <c r="AO179" s="189">
        <f t="shared" si="72"/>
        <v>11.392800940166444</v>
      </c>
      <c r="AP179" s="424" t="s">
        <v>437</v>
      </c>
      <c r="AR179" s="313"/>
      <c r="AS179" s="133">
        <f t="shared" si="73"/>
        <v>88897</v>
      </c>
      <c r="AT179" s="315">
        <f>($B179-AS179)^2/1000</f>
        <v>44.944000000000003</v>
      </c>
      <c r="AV179" s="189">
        <f t="shared" si="74"/>
        <v>11.392789663730248</v>
      </c>
      <c r="AW179" s="424" t="s">
        <v>437</v>
      </c>
      <c r="AY179" s="313"/>
      <c r="AZ179" s="133">
        <f t="shared" si="75"/>
        <v>88897</v>
      </c>
      <c r="BA179" s="315">
        <f>($B179-AZ179)^2/1000</f>
        <v>44.944000000000003</v>
      </c>
      <c r="BC179" s="189">
        <f t="shared" si="76"/>
        <v>11.392778387166894</v>
      </c>
      <c r="BD179" s="424" t="s">
        <v>437</v>
      </c>
      <c r="BF179" s="313"/>
      <c r="BG179" s="133">
        <f t="shared" si="77"/>
        <v>88897</v>
      </c>
      <c r="BH179" s="315">
        <f>($B179-BG179)^2/1000</f>
        <v>44.944000000000003</v>
      </c>
      <c r="BJ179" s="189">
        <f t="shared" si="78"/>
        <v>11.392767110476376</v>
      </c>
      <c r="BK179" s="424" t="s">
        <v>437</v>
      </c>
      <c r="BM179" s="313"/>
      <c r="BN179" s="133">
        <f t="shared" si="79"/>
        <v>88897</v>
      </c>
      <c r="BO179" s="315">
        <f>($B179-BN179)^2/1000</f>
        <v>44.944000000000003</v>
      </c>
      <c r="BQ179" s="189">
        <f t="shared" si="80"/>
        <v>11.392755833658693</v>
      </c>
      <c r="BR179" s="424" t="s">
        <v>437</v>
      </c>
      <c r="BT179" s="313"/>
      <c r="BU179" s="133">
        <f t="shared" si="81"/>
        <v>88897</v>
      </c>
      <c r="BV179" s="315">
        <f>($B179-BU179)^2/1000</f>
        <v>44.944000000000003</v>
      </c>
      <c r="BX179" s="189">
        <f t="shared" si="82"/>
        <v>11.392744556713843</v>
      </c>
      <c r="BY179" s="424" t="s">
        <v>437</v>
      </c>
      <c r="CA179" s="313"/>
      <c r="CB179" s="133">
        <f t="shared" si="83"/>
        <v>88897</v>
      </c>
      <c r="CC179" s="315">
        <f>($B179-CB179)^2/1000</f>
        <v>44.944000000000003</v>
      </c>
      <c r="CE179" s="189">
        <f t="shared" si="84"/>
        <v>11.392733279641822</v>
      </c>
      <c r="CF179" s="424" t="s">
        <v>437</v>
      </c>
      <c r="CH179" s="313"/>
      <c r="CI179" s="133">
        <f t="shared" si="85"/>
        <v>88897</v>
      </c>
      <c r="CJ179" s="315">
        <f>($B179-CI179)^2/1000</f>
        <v>44.944000000000003</v>
      </c>
      <c r="CL179" s="189">
        <f t="shared" si="86"/>
        <v>11.392722002442628</v>
      </c>
      <c r="CM179" s="424" t="s">
        <v>437</v>
      </c>
      <c r="CO179" s="313"/>
      <c r="CP179" s="133">
        <f t="shared" si="87"/>
        <v>88897</v>
      </c>
      <c r="CQ179" s="315">
        <f>($B179-CP179)^2/1000</f>
        <v>44.944000000000003</v>
      </c>
      <c r="CS179" s="189">
        <f t="shared" si="88"/>
        <v>11.392710725116256</v>
      </c>
      <c r="CT179" s="424" t="s">
        <v>437</v>
      </c>
      <c r="CV179" s="313"/>
      <c r="CW179" s="133">
        <f t="shared" si="89"/>
        <v>88897</v>
      </c>
      <c r="CX179" s="315">
        <f>($B179-CW179)^2/1000</f>
        <v>44.944000000000003</v>
      </c>
      <c r="CZ179" s="189">
        <f t="shared" si="90"/>
        <v>11.392699447662705</v>
      </c>
      <c r="DA179" s="424" t="s">
        <v>437</v>
      </c>
      <c r="DC179" s="313"/>
      <c r="DD179" s="133">
        <f t="shared" si="91"/>
        <v>88897</v>
      </c>
      <c r="DE179" s="315">
        <f>($B179-DD179)^2/1000</f>
        <v>44.944000000000003</v>
      </c>
      <c r="DG179" s="189">
        <f t="shared" si="92"/>
        <v>11.392688170081971</v>
      </c>
      <c r="DH179" s="424" t="s">
        <v>437</v>
      </c>
      <c r="DJ179" s="313"/>
      <c r="DK179" s="133">
        <f t="shared" si="93"/>
        <v>88897</v>
      </c>
      <c r="DL179" s="315">
        <f>($B179-DK179)^2/1000</f>
        <v>44.944000000000003</v>
      </c>
      <c r="DN179" s="189">
        <f t="shared" si="94"/>
        <v>11.392676892374054</v>
      </c>
      <c r="DO179" s="424" t="s">
        <v>437</v>
      </c>
      <c r="DQ179" s="313"/>
      <c r="DR179" s="133">
        <f t="shared" si="95"/>
        <v>88897</v>
      </c>
      <c r="DS179" s="315">
        <f>($B179-DR179)^2/1000</f>
        <v>44.944000000000003</v>
      </c>
    </row>
    <row r="180" spans="1:123" ht="15" customHeight="1">
      <c r="A180" s="310">
        <f t="shared" si="63"/>
        <v>2008</v>
      </c>
      <c r="B180" s="311">
        <f t="shared" si="63"/>
        <v>88176</v>
      </c>
      <c r="C180" s="187">
        <f t="shared" ref="C180:C187" si="97">LN(B180-$G$181)</f>
        <v>11.387090096123016</v>
      </c>
      <c r="D180" s="312">
        <f t="shared" ref="D180:D210" si="98">D179+1</f>
        <v>3</v>
      </c>
      <c r="E180" s="188">
        <f t="shared" ref="E180:E187" si="99">LN(D180)</f>
        <v>1.0986122886681098</v>
      </c>
      <c r="I180" s="314">
        <f t="shared" si="96"/>
        <v>88148</v>
      </c>
      <c r="J180" s="143">
        <f t="shared" ref="J180:J194" si="100">ABS(B180-I180)/B180*100</f>
        <v>3.1754672473235351E-2</v>
      </c>
      <c r="K180" s="143">
        <f t="shared" ref="K180:K194" si="101">(B180-I180)^2/1000</f>
        <v>0.78400000000000003</v>
      </c>
      <c r="M180" s="189">
        <f t="shared" si="64"/>
        <v>11.387090096123016</v>
      </c>
      <c r="N180" s="313" t="s">
        <v>438</v>
      </c>
      <c r="O180" s="191">
        <v>0</v>
      </c>
      <c r="P180" s="313"/>
      <c r="Q180" s="133">
        <f t="shared" si="65"/>
        <v>88148</v>
      </c>
      <c r="R180" s="315">
        <f t="shared" ref="R180:R186" si="102">($B180-Q180)^2/1000</f>
        <v>0.78400000000000003</v>
      </c>
      <c r="T180" s="189">
        <f t="shared" si="66"/>
        <v>11.387078755104254</v>
      </c>
      <c r="U180" s="313" t="s">
        <v>438</v>
      </c>
      <c r="V180" s="191">
        <f>O180+V190</f>
        <v>1</v>
      </c>
      <c r="W180" s="313"/>
      <c r="X180" s="133">
        <f t="shared" si="67"/>
        <v>88148</v>
      </c>
      <c r="Y180" s="315">
        <f t="shared" ref="Y180:Y187" si="103">($B180-X180)^2/1000</f>
        <v>0.78400000000000003</v>
      </c>
      <c r="AA180" s="189">
        <f t="shared" si="68"/>
        <v>11.387067413956869</v>
      </c>
      <c r="AB180" s="313" t="s">
        <v>438</v>
      </c>
      <c r="AC180" s="191">
        <f>V180+AC190</f>
        <v>2</v>
      </c>
      <c r="AD180" s="313"/>
      <c r="AE180" s="133">
        <f t="shared" si="69"/>
        <v>88148</v>
      </c>
      <c r="AF180" s="315">
        <f t="shared" ref="AF180:AF187" si="104">($B180-AE180)^2/1000</f>
        <v>0.78400000000000003</v>
      </c>
      <c r="AH180" s="189">
        <f t="shared" si="70"/>
        <v>11.387056072680862</v>
      </c>
      <c r="AI180" s="313" t="s">
        <v>438</v>
      </c>
      <c r="AJ180" s="191">
        <f>AC180+AJ190</f>
        <v>3</v>
      </c>
      <c r="AK180" s="313"/>
      <c r="AL180" s="133">
        <f t="shared" si="71"/>
        <v>88148</v>
      </c>
      <c r="AM180" s="315">
        <f t="shared" ref="AM180:AM187" si="105">($B180-AL180)^2/1000</f>
        <v>0.78400000000000003</v>
      </c>
      <c r="AO180" s="189">
        <f t="shared" si="72"/>
        <v>11.387044731276228</v>
      </c>
      <c r="AP180" s="313" t="s">
        <v>438</v>
      </c>
      <c r="AQ180" s="191">
        <f>AJ180+AQ190</f>
        <v>4</v>
      </c>
      <c r="AR180" s="313"/>
      <c r="AS180" s="133">
        <f t="shared" si="73"/>
        <v>88148</v>
      </c>
      <c r="AT180" s="315">
        <f t="shared" ref="AT180:AT187" si="106">($B180-AS180)^2/1000</f>
        <v>0.78400000000000003</v>
      </c>
      <c r="AV180" s="189">
        <f t="shared" si="74"/>
        <v>11.387033389742967</v>
      </c>
      <c r="AW180" s="313" t="s">
        <v>438</v>
      </c>
      <c r="AX180" s="191">
        <f>AQ180+AX190</f>
        <v>5</v>
      </c>
      <c r="AY180" s="313"/>
      <c r="AZ180" s="133">
        <f t="shared" si="75"/>
        <v>88148</v>
      </c>
      <c r="BA180" s="315">
        <f t="shared" ref="BA180:BA187" si="107">($B180-AZ180)^2/1000</f>
        <v>0.78400000000000003</v>
      </c>
      <c r="BC180" s="189">
        <f t="shared" si="76"/>
        <v>11.387022048081073</v>
      </c>
      <c r="BD180" s="313" t="s">
        <v>438</v>
      </c>
      <c r="BE180" s="191">
        <f>AX180+BE190</f>
        <v>6</v>
      </c>
      <c r="BF180" s="313"/>
      <c r="BG180" s="133">
        <f t="shared" si="77"/>
        <v>88148</v>
      </c>
      <c r="BH180" s="315">
        <f t="shared" ref="BH180:BH187" si="108">($B180-BG180)^2/1000</f>
        <v>0.78400000000000003</v>
      </c>
      <c r="BJ180" s="189">
        <f t="shared" si="78"/>
        <v>11.387010706290544</v>
      </c>
      <c r="BK180" s="313" t="s">
        <v>438</v>
      </c>
      <c r="BL180" s="191">
        <f>BE180+BL190</f>
        <v>7</v>
      </c>
      <c r="BM180" s="313"/>
      <c r="BN180" s="133">
        <f t="shared" si="79"/>
        <v>88148</v>
      </c>
      <c r="BO180" s="315">
        <f t="shared" ref="BO180:BO187" si="109">($B180-BN180)^2/1000</f>
        <v>0.78400000000000003</v>
      </c>
      <c r="BQ180" s="189">
        <f t="shared" si="80"/>
        <v>11.386999364371379</v>
      </c>
      <c r="BR180" s="313" t="s">
        <v>438</v>
      </c>
      <c r="BS180" s="191">
        <f>BL180+BS190</f>
        <v>8</v>
      </c>
      <c r="BT180" s="313"/>
      <c r="BU180" s="133">
        <f t="shared" si="81"/>
        <v>88148</v>
      </c>
      <c r="BV180" s="315">
        <f t="shared" ref="BV180:BV187" si="110">($B180-BU180)^2/1000</f>
        <v>0.78400000000000003</v>
      </c>
      <c r="BX180" s="189">
        <f t="shared" si="82"/>
        <v>11.386988022323571</v>
      </c>
      <c r="BY180" s="313" t="s">
        <v>438</v>
      </c>
      <c r="BZ180" s="191">
        <f>BS180+BZ190</f>
        <v>9</v>
      </c>
      <c r="CA180" s="313"/>
      <c r="CB180" s="133">
        <f t="shared" si="83"/>
        <v>88148</v>
      </c>
      <c r="CC180" s="315">
        <f t="shared" ref="CC180:CC187" si="111">($B180-CB180)^2/1000</f>
        <v>0.78400000000000003</v>
      </c>
      <c r="CE180" s="189">
        <f t="shared" si="84"/>
        <v>11.386976680147121</v>
      </c>
      <c r="CF180" s="313" t="s">
        <v>438</v>
      </c>
      <c r="CG180" s="191">
        <f>BZ180+CG190</f>
        <v>10</v>
      </c>
      <c r="CH180" s="313"/>
      <c r="CI180" s="133">
        <f t="shared" si="85"/>
        <v>88148</v>
      </c>
      <c r="CJ180" s="315">
        <f t="shared" ref="CJ180:CJ187" si="112">($B180-CI180)^2/1000</f>
        <v>0.78400000000000003</v>
      </c>
      <c r="CL180" s="189">
        <f t="shared" si="86"/>
        <v>11.386965337842025</v>
      </c>
      <c r="CM180" s="313" t="s">
        <v>438</v>
      </c>
      <c r="CN180" s="191">
        <f>CG180+CN190</f>
        <v>11</v>
      </c>
      <c r="CO180" s="313"/>
      <c r="CP180" s="133">
        <f t="shared" si="87"/>
        <v>88148</v>
      </c>
      <c r="CQ180" s="315">
        <f t="shared" ref="CQ180:CQ187" si="113">($B180-CP180)^2/1000</f>
        <v>0.78400000000000003</v>
      </c>
      <c r="CS180" s="189">
        <f t="shared" si="88"/>
        <v>11.386953995408279</v>
      </c>
      <c r="CT180" s="313" t="s">
        <v>438</v>
      </c>
      <c r="CU180" s="191">
        <f>CN180+CU190</f>
        <v>12</v>
      </c>
      <c r="CV180" s="313"/>
      <c r="CW180" s="133">
        <f t="shared" si="89"/>
        <v>88148</v>
      </c>
      <c r="CX180" s="315">
        <f t="shared" ref="CX180:CX187" si="114">($B180-CW180)^2/1000</f>
        <v>0.78400000000000003</v>
      </c>
      <c r="CZ180" s="189">
        <f t="shared" si="90"/>
        <v>11.38694265284588</v>
      </c>
      <c r="DA180" s="313" t="s">
        <v>438</v>
      </c>
      <c r="DB180" s="191">
        <f>CU180+DB190</f>
        <v>13</v>
      </c>
      <c r="DC180" s="313"/>
      <c r="DD180" s="133">
        <f t="shared" si="91"/>
        <v>88148</v>
      </c>
      <c r="DE180" s="315">
        <f t="shared" ref="DE180:DE187" si="115">($B180-DD180)^2/1000</f>
        <v>0.78400000000000003</v>
      </c>
      <c r="DG180" s="189">
        <f t="shared" si="92"/>
        <v>11.386931310154825</v>
      </c>
      <c r="DH180" s="313" t="s">
        <v>438</v>
      </c>
      <c r="DI180" s="191">
        <f>DB180+DI190</f>
        <v>14</v>
      </c>
      <c r="DJ180" s="313"/>
      <c r="DK180" s="133">
        <f t="shared" si="93"/>
        <v>88148</v>
      </c>
      <c r="DL180" s="315">
        <f t="shared" ref="DL180:DL187" si="116">($B180-DK180)^2/1000</f>
        <v>0.78400000000000003</v>
      </c>
      <c r="DN180" s="189">
        <f t="shared" si="94"/>
        <v>11.386919967335114</v>
      </c>
      <c r="DO180" s="313" t="s">
        <v>438</v>
      </c>
      <c r="DP180" s="191">
        <f>DI180+DP190</f>
        <v>15</v>
      </c>
      <c r="DQ180" s="313"/>
      <c r="DR180" s="133">
        <f t="shared" si="95"/>
        <v>88148</v>
      </c>
      <c r="DS180" s="315">
        <f t="shared" ref="DS180:DS187" si="117">($B180-DR180)^2/1000</f>
        <v>0.78400000000000003</v>
      </c>
    </row>
    <row r="181" spans="1:123" ht="15" customHeight="1">
      <c r="A181" s="310">
        <f t="shared" si="63"/>
        <v>2009</v>
      </c>
      <c r="B181" s="311">
        <f t="shared" si="63"/>
        <v>87631</v>
      </c>
      <c r="C181" s="187">
        <f t="shared" si="97"/>
        <v>11.38089009560181</v>
      </c>
      <c r="D181" s="312">
        <f t="shared" si="98"/>
        <v>4</v>
      </c>
      <c r="E181" s="188">
        <f t="shared" si="99"/>
        <v>1.3862943611198906</v>
      </c>
      <c r="F181" s="192" t="s">
        <v>438</v>
      </c>
      <c r="G181" s="191">
        <f>F194</f>
        <v>0</v>
      </c>
      <c r="H181" s="313"/>
      <c r="I181" s="314">
        <f t="shared" si="96"/>
        <v>87619</v>
      </c>
      <c r="J181" s="143">
        <f t="shared" si="100"/>
        <v>1.3693784163138614E-2</v>
      </c>
      <c r="K181" s="143">
        <f t="shared" si="101"/>
        <v>0.14399999999999999</v>
      </c>
      <c r="M181" s="189">
        <f t="shared" si="64"/>
        <v>11.38089009560181</v>
      </c>
      <c r="N181" s="313" t="s">
        <v>439</v>
      </c>
      <c r="O181" s="144">
        <f>INDEX(LINEST(M178:M187,$E178:$E187),1)</f>
        <v>-2.0888319238256133E-2</v>
      </c>
      <c r="P181" s="313"/>
      <c r="Q181" s="133">
        <f t="shared" si="65"/>
        <v>87619</v>
      </c>
      <c r="R181" s="315">
        <f t="shared" si="102"/>
        <v>0.14399999999999999</v>
      </c>
      <c r="T181" s="189">
        <f t="shared" si="66"/>
        <v>11.380878684049897</v>
      </c>
      <c r="U181" s="313" t="s">
        <v>439</v>
      </c>
      <c r="V181" s="144">
        <f>INDEX(LINEST(T178:T187,$E178:$E187),1)</f>
        <v>-2.0888559259340005E-2</v>
      </c>
      <c r="W181" s="313"/>
      <c r="X181" s="133">
        <f t="shared" si="67"/>
        <v>87619</v>
      </c>
      <c r="Y181" s="315">
        <f t="shared" si="103"/>
        <v>0.14399999999999999</v>
      </c>
      <c r="AA181" s="189">
        <f t="shared" si="68"/>
        <v>11.380867272367757</v>
      </c>
      <c r="AB181" s="313" t="s">
        <v>439</v>
      </c>
      <c r="AC181" s="144">
        <f>INDEX(LINEST(AA178:AA187,$E178:$E187),1)</f>
        <v>-2.0888799285940701E-2</v>
      </c>
      <c r="AD181" s="313"/>
      <c r="AE181" s="133">
        <f t="shared" si="69"/>
        <v>87619</v>
      </c>
      <c r="AF181" s="315">
        <f t="shared" si="104"/>
        <v>0.14399999999999999</v>
      </c>
      <c r="AH181" s="189">
        <f t="shared" si="70"/>
        <v>11.380855860555391</v>
      </c>
      <c r="AI181" s="313" t="s">
        <v>439</v>
      </c>
      <c r="AJ181" s="144">
        <f>INDEX(LINEST(AH178:AH187,$E178:$E187),1)</f>
        <v>-2.0889039318059442E-2</v>
      </c>
      <c r="AK181" s="313"/>
      <c r="AL181" s="133">
        <f t="shared" si="71"/>
        <v>87619</v>
      </c>
      <c r="AM181" s="315">
        <f t="shared" si="105"/>
        <v>0.14399999999999999</v>
      </c>
      <c r="AO181" s="189">
        <f t="shared" si="72"/>
        <v>11.380844448612793</v>
      </c>
      <c r="AP181" s="313" t="s">
        <v>439</v>
      </c>
      <c r="AQ181" s="144">
        <f>INDEX(LINEST(AO178:AO187,$E178:$E187),1)</f>
        <v>-2.088927935569642E-2</v>
      </c>
      <c r="AR181" s="313"/>
      <c r="AS181" s="133">
        <f t="shared" si="73"/>
        <v>87619</v>
      </c>
      <c r="AT181" s="315">
        <f t="shared" si="106"/>
        <v>0.14399999999999999</v>
      </c>
      <c r="AV181" s="189">
        <f t="shared" si="74"/>
        <v>11.380833036539959</v>
      </c>
      <c r="AW181" s="313" t="s">
        <v>439</v>
      </c>
      <c r="AX181" s="144">
        <f>INDEX(LINEST(AV178:AV187,$E178:$E187),1)</f>
        <v>-2.088951939885212E-2</v>
      </c>
      <c r="AY181" s="313"/>
      <c r="AZ181" s="133">
        <f t="shared" si="75"/>
        <v>87619</v>
      </c>
      <c r="BA181" s="315">
        <f t="shared" si="107"/>
        <v>0.14399999999999999</v>
      </c>
      <c r="BC181" s="189">
        <f t="shared" si="76"/>
        <v>11.380821624336891</v>
      </c>
      <c r="BD181" s="313" t="s">
        <v>439</v>
      </c>
      <c r="BE181" s="144">
        <f>INDEX(LINEST(BC178:BC187,$E178:$E187),1)</f>
        <v>-2.0889759447525209E-2</v>
      </c>
      <c r="BF181" s="313"/>
      <c r="BG181" s="133">
        <f t="shared" si="77"/>
        <v>87619</v>
      </c>
      <c r="BH181" s="315">
        <f t="shared" si="108"/>
        <v>0.14399999999999999</v>
      </c>
      <c r="BJ181" s="189">
        <f t="shared" si="78"/>
        <v>11.380810212003583</v>
      </c>
      <c r="BK181" s="313" t="s">
        <v>439</v>
      </c>
      <c r="BL181" s="144">
        <f>INDEX(LINEST(BJ178:BJ187,$E178:$E187),1)</f>
        <v>-2.0889999501717826E-2</v>
      </c>
      <c r="BM181" s="313"/>
      <c r="BN181" s="133">
        <f t="shared" si="79"/>
        <v>87619</v>
      </c>
      <c r="BO181" s="315">
        <f t="shared" si="109"/>
        <v>0.14399999999999999</v>
      </c>
      <c r="BQ181" s="189">
        <f t="shared" si="80"/>
        <v>11.380798799540031</v>
      </c>
      <c r="BR181" s="313" t="s">
        <v>439</v>
      </c>
      <c r="BS181" s="144">
        <f>INDEX(LINEST(BQ178:BQ187,$E178:$E187),1)</f>
        <v>-2.0890239561428572E-2</v>
      </c>
      <c r="BT181" s="313"/>
      <c r="BU181" s="133">
        <f t="shared" si="81"/>
        <v>87619</v>
      </c>
      <c r="BV181" s="315">
        <f t="shared" si="110"/>
        <v>0.14399999999999999</v>
      </c>
      <c r="BX181" s="189">
        <f t="shared" si="82"/>
        <v>11.380787386946233</v>
      </c>
      <c r="BY181" s="313" t="s">
        <v>439</v>
      </c>
      <c r="BZ181" s="144">
        <f>INDEX(LINEST(BX178:BX187,$E178:$E187),1)</f>
        <v>-2.0890479626658544E-2</v>
      </c>
      <c r="CA181" s="313"/>
      <c r="CB181" s="133">
        <f t="shared" si="83"/>
        <v>87619</v>
      </c>
      <c r="CC181" s="315">
        <f t="shared" si="111"/>
        <v>0.14399999999999999</v>
      </c>
      <c r="CE181" s="189">
        <f t="shared" si="84"/>
        <v>11.380775974222187</v>
      </c>
      <c r="CF181" s="313" t="s">
        <v>439</v>
      </c>
      <c r="CG181" s="144">
        <f>INDEX(LINEST(CE178:CE187,$E178:$E187),1)</f>
        <v>-2.0890719697408123E-2</v>
      </c>
      <c r="CH181" s="313"/>
      <c r="CI181" s="133">
        <f t="shared" si="85"/>
        <v>87619</v>
      </c>
      <c r="CJ181" s="315">
        <f t="shared" si="112"/>
        <v>0.14399999999999999</v>
      </c>
      <c r="CL181" s="189">
        <f t="shared" si="86"/>
        <v>11.38076456136789</v>
      </c>
      <c r="CM181" s="313" t="s">
        <v>439</v>
      </c>
      <c r="CN181" s="144">
        <f>INDEX(LINEST(CL178:CL187,$E178:$E187),1)</f>
        <v>-2.089095977367714E-2</v>
      </c>
      <c r="CO181" s="313"/>
      <c r="CP181" s="133">
        <f t="shared" si="87"/>
        <v>87619</v>
      </c>
      <c r="CQ181" s="315">
        <f t="shared" si="113"/>
        <v>0.14399999999999999</v>
      </c>
      <c r="CS181" s="189">
        <f t="shared" si="88"/>
        <v>11.380753148383336</v>
      </c>
      <c r="CT181" s="313" t="s">
        <v>439</v>
      </c>
      <c r="CU181" s="144">
        <f>INDEX(LINEST(CS178:CS187,$E178:$E187),1)</f>
        <v>-2.0891199855465177E-2</v>
      </c>
      <c r="CV181" s="313"/>
      <c r="CW181" s="133">
        <f t="shared" si="89"/>
        <v>87619</v>
      </c>
      <c r="CX181" s="315">
        <f t="shared" si="114"/>
        <v>0.14399999999999999</v>
      </c>
      <c r="CZ181" s="189">
        <f t="shared" si="90"/>
        <v>11.380741735268526</v>
      </c>
      <c r="DA181" s="313" t="s">
        <v>439</v>
      </c>
      <c r="DB181" s="144">
        <f>INDEX(LINEST(CZ178:CZ187,$E178:$E187),1)</f>
        <v>-2.0891439942773756E-2</v>
      </c>
      <c r="DC181" s="313"/>
      <c r="DD181" s="133">
        <f t="shared" si="91"/>
        <v>87619</v>
      </c>
      <c r="DE181" s="315">
        <f t="shared" si="115"/>
        <v>0.14399999999999999</v>
      </c>
      <c r="DG181" s="189">
        <f t="shared" si="92"/>
        <v>11.380730322023455</v>
      </c>
      <c r="DH181" s="313" t="s">
        <v>439</v>
      </c>
      <c r="DI181" s="144">
        <f>INDEX(LINEST(DG178:DG187,$E178:$E187),1)</f>
        <v>-2.0891680035600872E-2</v>
      </c>
      <c r="DJ181" s="313"/>
      <c r="DK181" s="133">
        <f t="shared" si="93"/>
        <v>87619</v>
      </c>
      <c r="DL181" s="315">
        <f t="shared" si="116"/>
        <v>0.14399999999999999</v>
      </c>
      <c r="DN181" s="189">
        <f t="shared" si="94"/>
        <v>11.38071890864812</v>
      </c>
      <c r="DO181" s="313" t="s">
        <v>439</v>
      </c>
      <c r="DP181" s="144">
        <f>INDEX(LINEST(DN178:DN187,$E178:$E187),1)</f>
        <v>-2.0891920133949159E-2</v>
      </c>
      <c r="DQ181" s="313"/>
      <c r="DR181" s="133">
        <f t="shared" si="95"/>
        <v>87619</v>
      </c>
      <c r="DS181" s="315">
        <f t="shared" si="117"/>
        <v>0.14399999999999999</v>
      </c>
    </row>
    <row r="182" spans="1:123" ht="15" customHeight="1">
      <c r="A182" s="310">
        <f t="shared" si="63"/>
        <v>2010</v>
      </c>
      <c r="B182" s="311">
        <f t="shared" si="63"/>
        <v>88078</v>
      </c>
      <c r="C182" s="187">
        <f t="shared" si="97"/>
        <v>11.385978064508427</v>
      </c>
      <c r="D182" s="312">
        <f t="shared" si="98"/>
        <v>5</v>
      </c>
      <c r="E182" s="188">
        <f t="shared" si="99"/>
        <v>1.6094379124341003</v>
      </c>
      <c r="F182" s="192" t="s">
        <v>439</v>
      </c>
      <c r="G182" s="144">
        <f>INDEX(LINEST(C178:C187,E178:E187),1)</f>
        <v>-2.0888319238256133E-2</v>
      </c>
      <c r="H182" s="313"/>
      <c r="I182" s="314">
        <f t="shared" si="96"/>
        <v>87212</v>
      </c>
      <c r="J182" s="143">
        <f t="shared" si="100"/>
        <v>0.98321941915120692</v>
      </c>
      <c r="K182" s="143">
        <f t="shared" si="101"/>
        <v>749.95600000000002</v>
      </c>
      <c r="M182" s="189">
        <f t="shared" si="64"/>
        <v>11.385978064508427</v>
      </c>
      <c r="N182" s="313" t="s">
        <v>440</v>
      </c>
      <c r="O182" s="144">
        <f>INDEX(LINEST(M178:M187,$E178:$E187),2)</f>
        <v>11.409716109805736</v>
      </c>
      <c r="P182" s="193" t="s">
        <v>441</v>
      </c>
      <c r="Q182" s="133">
        <f t="shared" si="65"/>
        <v>87212</v>
      </c>
      <c r="R182" s="315">
        <f t="shared" si="102"/>
        <v>749.95600000000002</v>
      </c>
      <c r="T182" s="189">
        <f t="shared" si="66"/>
        <v>11.385966710871005</v>
      </c>
      <c r="U182" s="313" t="s">
        <v>440</v>
      </c>
      <c r="V182" s="144">
        <f>INDEX(LINEST(T178:T187,$E178:$E187),2)</f>
        <v>11.409705027571675</v>
      </c>
      <c r="W182" s="193" t="s">
        <v>441</v>
      </c>
      <c r="X182" s="133">
        <f t="shared" si="67"/>
        <v>87212</v>
      </c>
      <c r="Y182" s="315">
        <f t="shared" si="103"/>
        <v>749.95600000000002</v>
      </c>
      <c r="AA182" s="189">
        <f t="shared" si="68"/>
        <v>11.385955357104676</v>
      </c>
      <c r="AB182" s="313" t="s">
        <v>440</v>
      </c>
      <c r="AC182" s="144">
        <f>INDEX(LINEST(AA178:AA187,$E178:$E187),2)</f>
        <v>11.409693945214917</v>
      </c>
      <c r="AD182" s="193" t="s">
        <v>441</v>
      </c>
      <c r="AE182" s="133">
        <f t="shared" si="69"/>
        <v>87212</v>
      </c>
      <c r="AF182" s="315">
        <f t="shared" si="104"/>
        <v>749.95600000000002</v>
      </c>
      <c r="AH182" s="189">
        <f t="shared" si="70"/>
        <v>11.385944003209438</v>
      </c>
      <c r="AI182" s="313" t="s">
        <v>440</v>
      </c>
      <c r="AJ182" s="144">
        <f>INDEX(LINEST(AH178:AH187,$E178:$E187),2)</f>
        <v>11.409682862735457</v>
      </c>
      <c r="AK182" s="193" t="s">
        <v>441</v>
      </c>
      <c r="AL182" s="133">
        <f t="shared" si="71"/>
        <v>87212</v>
      </c>
      <c r="AM182" s="315">
        <f t="shared" si="105"/>
        <v>749.95600000000002</v>
      </c>
      <c r="AO182" s="189">
        <f t="shared" si="72"/>
        <v>11.385932649185289</v>
      </c>
      <c r="AP182" s="313" t="s">
        <v>440</v>
      </c>
      <c r="AQ182" s="144">
        <f>INDEX(LINEST(AO178:AO187,$E178:$E187),2)</f>
        <v>11.409671780133291</v>
      </c>
      <c r="AR182" s="193" t="s">
        <v>441</v>
      </c>
      <c r="AS182" s="133">
        <f t="shared" si="73"/>
        <v>87212</v>
      </c>
      <c r="AT182" s="315">
        <f t="shared" si="106"/>
        <v>749.95600000000002</v>
      </c>
      <c r="AV182" s="189">
        <f t="shared" si="74"/>
        <v>11.385921295032222</v>
      </c>
      <c r="AW182" s="313" t="s">
        <v>440</v>
      </c>
      <c r="AX182" s="144">
        <f>INDEX(LINEST(AV178:AV187,$E178:$E187),2)</f>
        <v>11.409660697408425</v>
      </c>
      <c r="AY182" s="193" t="s">
        <v>441</v>
      </c>
      <c r="AZ182" s="133">
        <f t="shared" si="75"/>
        <v>87212</v>
      </c>
      <c r="BA182" s="315">
        <f t="shared" si="107"/>
        <v>749.95600000000002</v>
      </c>
      <c r="BC182" s="189">
        <f t="shared" si="76"/>
        <v>11.385909940750238</v>
      </c>
      <c r="BD182" s="313" t="s">
        <v>440</v>
      </c>
      <c r="BE182" s="144">
        <f>INDEX(LINEST(BC178:BC187,$E178:$E187),2)</f>
        <v>11.409649614560843</v>
      </c>
      <c r="BF182" s="193" t="s">
        <v>441</v>
      </c>
      <c r="BG182" s="133">
        <f t="shared" si="77"/>
        <v>87212</v>
      </c>
      <c r="BH182" s="315">
        <f t="shared" si="108"/>
        <v>749.95600000000002</v>
      </c>
      <c r="BJ182" s="189">
        <f t="shared" si="78"/>
        <v>11.385898586339334</v>
      </c>
      <c r="BK182" s="313" t="s">
        <v>440</v>
      </c>
      <c r="BL182" s="144">
        <f>INDEX(LINEST(BJ178:BJ187,$E178:$E187),2)</f>
        <v>11.40963853159055</v>
      </c>
      <c r="BM182" s="193" t="s">
        <v>441</v>
      </c>
      <c r="BN182" s="133">
        <f t="shared" si="79"/>
        <v>87212</v>
      </c>
      <c r="BO182" s="315">
        <f t="shared" si="109"/>
        <v>749.95600000000002</v>
      </c>
      <c r="BQ182" s="189">
        <f t="shared" si="80"/>
        <v>11.385887231799504</v>
      </c>
      <c r="BR182" s="313" t="s">
        <v>440</v>
      </c>
      <c r="BS182" s="144">
        <f>INDEX(LINEST(BQ178:BQ187,$E178:$E187),2)</f>
        <v>11.409627448497544</v>
      </c>
      <c r="BT182" s="193" t="s">
        <v>441</v>
      </c>
      <c r="BU182" s="133">
        <f t="shared" si="81"/>
        <v>87212</v>
      </c>
      <c r="BV182" s="315">
        <f t="shared" si="110"/>
        <v>749.95600000000002</v>
      </c>
      <c r="BX182" s="189">
        <f t="shared" si="82"/>
        <v>11.385875877130749</v>
      </c>
      <c r="BY182" s="313" t="s">
        <v>440</v>
      </c>
      <c r="BZ182" s="144">
        <f>INDEX(LINEST(BX178:BX187,$E178:$E187),2)</f>
        <v>11.409616365281821</v>
      </c>
      <c r="CA182" s="193" t="s">
        <v>441</v>
      </c>
      <c r="CB182" s="133">
        <f t="shared" si="83"/>
        <v>87212</v>
      </c>
      <c r="CC182" s="315">
        <f t="shared" si="111"/>
        <v>749.95600000000002</v>
      </c>
      <c r="CE182" s="189">
        <f t="shared" si="84"/>
        <v>11.385864522333064</v>
      </c>
      <c r="CF182" s="313" t="s">
        <v>440</v>
      </c>
      <c r="CG182" s="144">
        <f>INDEX(LINEST(CE178:CE187,$E178:$E187),2)</f>
        <v>11.409605281943378</v>
      </c>
      <c r="CH182" s="193" t="s">
        <v>441</v>
      </c>
      <c r="CI182" s="133">
        <f t="shared" si="85"/>
        <v>87212</v>
      </c>
      <c r="CJ182" s="315">
        <f t="shared" si="112"/>
        <v>749.95600000000002</v>
      </c>
      <c r="CL182" s="189">
        <f t="shared" si="86"/>
        <v>11.385853167406443</v>
      </c>
      <c r="CM182" s="313" t="s">
        <v>440</v>
      </c>
      <c r="CN182" s="144">
        <f>INDEX(LINEST(CL178:CL187,$E178:$E187),2)</f>
        <v>11.409594198482209</v>
      </c>
      <c r="CO182" s="193" t="s">
        <v>441</v>
      </c>
      <c r="CP182" s="133">
        <f t="shared" si="87"/>
        <v>87212</v>
      </c>
      <c r="CQ182" s="315">
        <f t="shared" si="113"/>
        <v>749.95600000000002</v>
      </c>
      <c r="CS182" s="189">
        <f t="shared" si="88"/>
        <v>11.38584181235089</v>
      </c>
      <c r="CT182" s="313" t="s">
        <v>440</v>
      </c>
      <c r="CU182" s="144">
        <f>INDEX(LINEST(CS178:CS187,$E178:$E187),2)</f>
        <v>11.409583114898314</v>
      </c>
      <c r="CV182" s="193" t="s">
        <v>441</v>
      </c>
      <c r="CW182" s="133">
        <f t="shared" si="89"/>
        <v>87212</v>
      </c>
      <c r="CX182" s="315">
        <f t="shared" si="114"/>
        <v>749.95600000000002</v>
      </c>
      <c r="CZ182" s="189">
        <f t="shared" si="90"/>
        <v>11.385830457166396</v>
      </c>
      <c r="DA182" s="313" t="s">
        <v>440</v>
      </c>
      <c r="DB182" s="144">
        <f>INDEX(LINEST(CZ178:CZ187,$E178:$E187),2)</f>
        <v>11.409572031191695</v>
      </c>
      <c r="DC182" s="193" t="s">
        <v>441</v>
      </c>
      <c r="DD182" s="133">
        <f t="shared" si="91"/>
        <v>87212</v>
      </c>
      <c r="DE182" s="315">
        <f t="shared" si="115"/>
        <v>749.95600000000002</v>
      </c>
      <c r="DG182" s="189">
        <f t="shared" si="92"/>
        <v>11.385819101852961</v>
      </c>
      <c r="DH182" s="313" t="s">
        <v>440</v>
      </c>
      <c r="DI182" s="144">
        <f>INDEX(LINEST(DG178:DG187,$E178:$E187),2)</f>
        <v>11.409560947362342</v>
      </c>
      <c r="DJ182" s="193" t="s">
        <v>441</v>
      </c>
      <c r="DK182" s="133">
        <f t="shared" si="93"/>
        <v>87212</v>
      </c>
      <c r="DL182" s="315">
        <f t="shared" si="116"/>
        <v>749.95600000000002</v>
      </c>
      <c r="DN182" s="189">
        <f t="shared" si="94"/>
        <v>11.385807746410581</v>
      </c>
      <c r="DO182" s="313" t="s">
        <v>440</v>
      </c>
      <c r="DP182" s="144">
        <f>INDEX(LINEST(DN178:DN187,$E178:$E187),2)</f>
        <v>11.409549863410255</v>
      </c>
      <c r="DQ182" s="193" t="s">
        <v>441</v>
      </c>
      <c r="DR182" s="133">
        <f t="shared" si="95"/>
        <v>87212</v>
      </c>
      <c r="DS182" s="315">
        <f t="shared" si="117"/>
        <v>749.95600000000002</v>
      </c>
    </row>
    <row r="183" spans="1:123" ht="15" customHeight="1">
      <c r="A183" s="310">
        <f t="shared" si="63"/>
        <v>2011</v>
      </c>
      <c r="B183" s="311">
        <f t="shared" si="63"/>
        <v>88108</v>
      </c>
      <c r="C183" s="187">
        <f t="shared" si="97"/>
        <v>11.386318613704049</v>
      </c>
      <c r="D183" s="312">
        <f t="shared" si="98"/>
        <v>6</v>
      </c>
      <c r="E183" s="188">
        <f t="shared" si="99"/>
        <v>1.791759469228055</v>
      </c>
      <c r="F183" s="192" t="s">
        <v>440</v>
      </c>
      <c r="G183" s="144">
        <f>INDEX(LINEST(C178:C187,E178:E187),2)</f>
        <v>11.409716109805736</v>
      </c>
      <c r="H183" s="193" t="s">
        <v>441</v>
      </c>
      <c r="I183" s="314">
        <f t="shared" si="96"/>
        <v>86881</v>
      </c>
      <c r="J183" s="143">
        <f t="shared" si="100"/>
        <v>1.3926090706859764</v>
      </c>
      <c r="K183" s="143">
        <f t="shared" si="101"/>
        <v>1505.529</v>
      </c>
      <c r="M183" s="189">
        <f t="shared" si="64"/>
        <v>11.386318613704049</v>
      </c>
      <c r="N183" s="313" t="s">
        <v>442</v>
      </c>
      <c r="O183" s="194">
        <f>EXP(O182)</f>
        <v>90193.812830913565</v>
      </c>
      <c r="Q183" s="133">
        <f t="shared" si="65"/>
        <v>86881</v>
      </c>
      <c r="R183" s="315">
        <f t="shared" si="102"/>
        <v>1505.529</v>
      </c>
      <c r="T183" s="189">
        <f t="shared" si="66"/>
        <v>11.386307263932462</v>
      </c>
      <c r="U183" s="313" t="s">
        <v>443</v>
      </c>
      <c r="V183" s="194">
        <f>EXP(V182)</f>
        <v>90192.813287507583</v>
      </c>
      <c r="X183" s="133">
        <f t="shared" si="67"/>
        <v>86881</v>
      </c>
      <c r="Y183" s="315">
        <f t="shared" si="103"/>
        <v>1505.529</v>
      </c>
      <c r="AA183" s="189">
        <f t="shared" si="68"/>
        <v>11.386295914032058</v>
      </c>
      <c r="AB183" s="313" t="s">
        <v>444</v>
      </c>
      <c r="AC183" s="194">
        <f>EXP(AC182)</f>
        <v>90191.81374411234</v>
      </c>
      <c r="AE183" s="133">
        <f t="shared" si="69"/>
        <v>86881</v>
      </c>
      <c r="AF183" s="315">
        <f t="shared" si="104"/>
        <v>1505.529</v>
      </c>
      <c r="AH183" s="189">
        <f t="shared" si="70"/>
        <v>11.386284564002832</v>
      </c>
      <c r="AI183" s="313" t="s">
        <v>394</v>
      </c>
      <c r="AJ183" s="194">
        <f>EXP(AJ182)</f>
        <v>90190.814200727749</v>
      </c>
      <c r="AL183" s="133">
        <f t="shared" si="71"/>
        <v>86881</v>
      </c>
      <c r="AM183" s="315">
        <f t="shared" si="105"/>
        <v>1505.529</v>
      </c>
      <c r="AO183" s="189">
        <f t="shared" si="72"/>
        <v>11.386273213844779</v>
      </c>
      <c r="AP183" s="313" t="s">
        <v>445</v>
      </c>
      <c r="AQ183" s="194">
        <f>EXP(AQ182)</f>
        <v>90189.814657353738</v>
      </c>
      <c r="AS183" s="133">
        <f t="shared" si="73"/>
        <v>86881</v>
      </c>
      <c r="AT183" s="315">
        <f t="shared" si="106"/>
        <v>1505.529</v>
      </c>
      <c r="AV183" s="189">
        <f t="shared" si="74"/>
        <v>11.386261863557902</v>
      </c>
      <c r="AW183" s="313" t="s">
        <v>446</v>
      </c>
      <c r="AX183" s="194">
        <f>EXP(AX182)</f>
        <v>90188.815113991033</v>
      </c>
      <c r="AZ183" s="133">
        <f t="shared" si="75"/>
        <v>86881</v>
      </c>
      <c r="BA183" s="315">
        <f t="shared" si="107"/>
        <v>1505.529</v>
      </c>
      <c r="BC183" s="189">
        <f t="shared" si="76"/>
        <v>11.386250513142192</v>
      </c>
      <c r="BD183" s="313" t="s">
        <v>447</v>
      </c>
      <c r="BE183" s="194">
        <f>EXP(BE182)</f>
        <v>90187.815570638428</v>
      </c>
      <c r="BG183" s="133">
        <f t="shared" si="77"/>
        <v>86881</v>
      </c>
      <c r="BH183" s="315">
        <f t="shared" si="108"/>
        <v>1505.529</v>
      </c>
      <c r="BJ183" s="189">
        <f t="shared" si="78"/>
        <v>11.386239162597649</v>
      </c>
      <c r="BK183" s="313" t="s">
        <v>448</v>
      </c>
      <c r="BL183" s="194">
        <f>EXP(BL182)</f>
        <v>90186.816027296678</v>
      </c>
      <c r="BN183" s="133">
        <f t="shared" si="79"/>
        <v>86881</v>
      </c>
      <c r="BO183" s="315">
        <f t="shared" si="109"/>
        <v>1505.529</v>
      </c>
      <c r="BQ183" s="189">
        <f t="shared" si="80"/>
        <v>11.386227811924272</v>
      </c>
      <c r="BR183" s="313" t="s">
        <v>449</v>
      </c>
      <c r="BS183" s="194">
        <f>EXP(BS182)</f>
        <v>90185.816483965667</v>
      </c>
      <c r="BU183" s="133">
        <f t="shared" si="81"/>
        <v>86881</v>
      </c>
      <c r="BV183" s="315">
        <f t="shared" si="110"/>
        <v>1505.529</v>
      </c>
      <c r="BX183" s="189">
        <f t="shared" si="82"/>
        <v>11.386216461122054</v>
      </c>
      <c r="BY183" s="313" t="s">
        <v>445</v>
      </c>
      <c r="BZ183" s="194">
        <f>EXP(BZ182)</f>
        <v>90184.816940645513</v>
      </c>
      <c r="CB183" s="133">
        <f t="shared" si="83"/>
        <v>86881</v>
      </c>
      <c r="CC183" s="315">
        <f t="shared" si="111"/>
        <v>1505.529</v>
      </c>
      <c r="CE183" s="189">
        <f t="shared" si="84"/>
        <v>11.386205110190993</v>
      </c>
      <c r="CF183" s="313" t="s">
        <v>386</v>
      </c>
      <c r="CG183" s="194">
        <f>EXP(CG182)</f>
        <v>90183.817397336126</v>
      </c>
      <c r="CI183" s="133">
        <f t="shared" si="85"/>
        <v>86881</v>
      </c>
      <c r="CJ183" s="315">
        <f t="shared" si="112"/>
        <v>1505.529</v>
      </c>
      <c r="CL183" s="189">
        <f t="shared" si="86"/>
        <v>11.386193759131087</v>
      </c>
      <c r="CM183" s="313" t="s">
        <v>450</v>
      </c>
      <c r="CN183" s="194">
        <f>EXP(CN182)</f>
        <v>90182.817854037115</v>
      </c>
      <c r="CP183" s="133">
        <f t="shared" si="87"/>
        <v>86881</v>
      </c>
      <c r="CQ183" s="315">
        <f t="shared" si="113"/>
        <v>1505.529</v>
      </c>
      <c r="CS183" s="189">
        <f t="shared" si="88"/>
        <v>11.386182407942334</v>
      </c>
      <c r="CT183" s="313" t="s">
        <v>451</v>
      </c>
      <c r="CU183" s="194">
        <f>EXP(CU182)</f>
        <v>90181.818310748888</v>
      </c>
      <c r="CW183" s="133">
        <f t="shared" si="89"/>
        <v>86881</v>
      </c>
      <c r="CX183" s="315">
        <f t="shared" si="114"/>
        <v>1505.529</v>
      </c>
      <c r="CZ183" s="189">
        <f t="shared" si="90"/>
        <v>11.386171056624729</v>
      </c>
      <c r="DA183" s="313" t="s">
        <v>443</v>
      </c>
      <c r="DB183" s="194">
        <f>EXP(DB182)</f>
        <v>90180.818767471676</v>
      </c>
      <c r="DD183" s="133">
        <f t="shared" si="91"/>
        <v>86881</v>
      </c>
      <c r="DE183" s="315">
        <f t="shared" si="115"/>
        <v>1505.529</v>
      </c>
      <c r="DG183" s="189">
        <f t="shared" si="92"/>
        <v>11.386159705178271</v>
      </c>
      <c r="DH183" s="313" t="s">
        <v>452</v>
      </c>
      <c r="DI183" s="194">
        <f>EXP(DI182)</f>
        <v>90179.819224204941</v>
      </c>
      <c r="DK183" s="133">
        <f t="shared" si="93"/>
        <v>86881</v>
      </c>
      <c r="DL183" s="315">
        <f t="shared" si="116"/>
        <v>1505.529</v>
      </c>
      <c r="DN183" s="189">
        <f t="shared" si="94"/>
        <v>11.386148353602957</v>
      </c>
      <c r="DO183" s="313" t="s">
        <v>453</v>
      </c>
      <c r="DP183" s="194">
        <f>EXP(DP182)</f>
        <v>90178.819680948916</v>
      </c>
      <c r="DR183" s="133">
        <f t="shared" si="95"/>
        <v>86881</v>
      </c>
      <c r="DS183" s="315">
        <f t="shared" si="117"/>
        <v>1505.529</v>
      </c>
    </row>
    <row r="184" spans="1:123" ht="15" customHeight="1">
      <c r="A184" s="310">
        <f t="shared" si="63"/>
        <v>2012</v>
      </c>
      <c r="B184" s="311">
        <f t="shared" si="63"/>
        <v>88415</v>
      </c>
      <c r="C184" s="187">
        <f t="shared" si="97"/>
        <v>11.389796917489077</v>
      </c>
      <c r="D184" s="312">
        <f t="shared" si="98"/>
        <v>7</v>
      </c>
      <c r="E184" s="188">
        <f t="shared" si="99"/>
        <v>1.9459101490553132</v>
      </c>
      <c r="F184" s="192" t="s">
        <v>454</v>
      </c>
      <c r="G184" s="194">
        <f>EXP(G183)</f>
        <v>90193.812830913565</v>
      </c>
      <c r="I184" s="314">
        <f t="shared" si="96"/>
        <v>86601</v>
      </c>
      <c r="J184" s="143">
        <f t="shared" si="100"/>
        <v>2.0516880619804332</v>
      </c>
      <c r="K184" s="143">
        <f t="shared" si="101"/>
        <v>3290.596</v>
      </c>
      <c r="M184" s="189">
        <f t="shared" si="64"/>
        <v>11.389796917489077</v>
      </c>
      <c r="O184" s="424"/>
      <c r="Q184" s="133">
        <f t="shared" si="65"/>
        <v>86601</v>
      </c>
      <c r="R184" s="315">
        <f t="shared" si="102"/>
        <v>3290.596</v>
      </c>
      <c r="T184" s="189">
        <f t="shared" si="66"/>
        <v>11.38978560712709</v>
      </c>
      <c r="V184" s="424"/>
      <c r="X184" s="133">
        <f t="shared" si="67"/>
        <v>86601</v>
      </c>
      <c r="Y184" s="315">
        <f t="shared" si="103"/>
        <v>3290.596</v>
      </c>
      <c r="AA184" s="189">
        <f t="shared" si="68"/>
        <v>11.389774296637176</v>
      </c>
      <c r="AC184" s="424"/>
      <c r="AE184" s="133">
        <f t="shared" si="69"/>
        <v>86601</v>
      </c>
      <c r="AF184" s="315">
        <f t="shared" si="104"/>
        <v>3290.596</v>
      </c>
      <c r="AH184" s="189">
        <f t="shared" si="70"/>
        <v>11.389762986019333</v>
      </c>
      <c r="AJ184" s="424"/>
      <c r="AL184" s="133">
        <f t="shared" si="71"/>
        <v>86601</v>
      </c>
      <c r="AM184" s="315">
        <f t="shared" si="105"/>
        <v>3290.596</v>
      </c>
      <c r="AO184" s="189">
        <f t="shared" si="72"/>
        <v>11.389751675273558</v>
      </c>
      <c r="AQ184" s="424"/>
      <c r="AS184" s="133">
        <f t="shared" si="73"/>
        <v>86601</v>
      </c>
      <c r="AT184" s="315">
        <f t="shared" si="106"/>
        <v>3290.596</v>
      </c>
      <c r="AV184" s="189">
        <f t="shared" si="74"/>
        <v>11.38974036439985</v>
      </c>
      <c r="AX184" s="424"/>
      <c r="AZ184" s="133">
        <f t="shared" si="75"/>
        <v>86601</v>
      </c>
      <c r="BA184" s="315">
        <f t="shared" si="107"/>
        <v>3290.596</v>
      </c>
      <c r="BC184" s="189">
        <f t="shared" si="76"/>
        <v>11.389729053398204</v>
      </c>
      <c r="BE184" s="424"/>
      <c r="BG184" s="133">
        <f t="shared" si="77"/>
        <v>86601</v>
      </c>
      <c r="BH184" s="315">
        <f t="shared" si="108"/>
        <v>3290.596</v>
      </c>
      <c r="BJ184" s="189">
        <f t="shared" si="78"/>
        <v>11.389717742268617</v>
      </c>
      <c r="BL184" s="424"/>
      <c r="BN184" s="133">
        <f t="shared" si="79"/>
        <v>86601</v>
      </c>
      <c r="BO184" s="315">
        <f t="shared" si="109"/>
        <v>3290.596</v>
      </c>
      <c r="BQ184" s="189">
        <f t="shared" si="80"/>
        <v>11.389706431011088</v>
      </c>
      <c r="BS184" s="424"/>
      <c r="BU184" s="133">
        <f t="shared" si="81"/>
        <v>86601</v>
      </c>
      <c r="BV184" s="315">
        <f t="shared" si="110"/>
        <v>3290.596</v>
      </c>
      <c r="BX184" s="189">
        <f t="shared" si="82"/>
        <v>11.389695119625614</v>
      </c>
      <c r="BZ184" s="424"/>
      <c r="CB184" s="133">
        <f t="shared" si="83"/>
        <v>86601</v>
      </c>
      <c r="CC184" s="315">
        <f t="shared" si="111"/>
        <v>3290.596</v>
      </c>
      <c r="CE184" s="189">
        <f t="shared" si="84"/>
        <v>11.38968380811219</v>
      </c>
      <c r="CG184" s="424"/>
      <c r="CI184" s="133">
        <f t="shared" si="85"/>
        <v>86601</v>
      </c>
      <c r="CJ184" s="315">
        <f t="shared" si="112"/>
        <v>3290.596</v>
      </c>
      <c r="CL184" s="189">
        <f t="shared" si="86"/>
        <v>11.389672496470814</v>
      </c>
      <c r="CN184" s="424"/>
      <c r="CP184" s="133">
        <f t="shared" si="87"/>
        <v>86601</v>
      </c>
      <c r="CQ184" s="315">
        <f t="shared" si="113"/>
        <v>3290.596</v>
      </c>
      <c r="CS184" s="189">
        <f t="shared" si="88"/>
        <v>11.389661184701483</v>
      </c>
      <c r="CU184" s="424"/>
      <c r="CW184" s="133">
        <f t="shared" si="89"/>
        <v>86601</v>
      </c>
      <c r="CX184" s="315">
        <f t="shared" si="114"/>
        <v>3290.596</v>
      </c>
      <c r="CZ184" s="189">
        <f t="shared" si="90"/>
        <v>11.389649872804195</v>
      </c>
      <c r="DB184" s="424"/>
      <c r="DD184" s="133">
        <f t="shared" si="91"/>
        <v>86601</v>
      </c>
      <c r="DE184" s="315">
        <f t="shared" si="115"/>
        <v>3290.596</v>
      </c>
      <c r="DG184" s="189">
        <f t="shared" si="92"/>
        <v>11.389638560778947</v>
      </c>
      <c r="DI184" s="424"/>
      <c r="DK184" s="133">
        <f t="shared" si="93"/>
        <v>86601</v>
      </c>
      <c r="DL184" s="315">
        <f t="shared" si="116"/>
        <v>3290.596</v>
      </c>
      <c r="DN184" s="189">
        <f t="shared" si="94"/>
        <v>11.389627248625734</v>
      </c>
      <c r="DP184" s="424"/>
      <c r="DR184" s="133">
        <f t="shared" si="95"/>
        <v>86601</v>
      </c>
      <c r="DS184" s="315">
        <f t="shared" si="117"/>
        <v>3290.596</v>
      </c>
    </row>
    <row r="185" spans="1:123" ht="15" customHeight="1">
      <c r="A185" s="310">
        <f t="shared" si="63"/>
        <v>2013</v>
      </c>
      <c r="B185" s="311">
        <f t="shared" si="63"/>
        <v>85843</v>
      </c>
      <c r="C185" s="187">
        <f t="shared" si="97"/>
        <v>11.360275325435733</v>
      </c>
      <c r="D185" s="312">
        <f t="shared" si="98"/>
        <v>8</v>
      </c>
      <c r="E185" s="188">
        <f t="shared" si="99"/>
        <v>2.0794415416798357</v>
      </c>
      <c r="H185" s="313"/>
      <c r="I185" s="314">
        <f t="shared" si="96"/>
        <v>86360</v>
      </c>
      <c r="J185" s="143">
        <f t="shared" si="100"/>
        <v>0.60226226949197958</v>
      </c>
      <c r="K185" s="143">
        <f t="shared" si="101"/>
        <v>267.28899999999999</v>
      </c>
      <c r="M185" s="189">
        <f t="shared" si="64"/>
        <v>11.360275325435733</v>
      </c>
      <c r="N185" s="313" t="s">
        <v>1056</v>
      </c>
      <c r="O185" s="144">
        <f>Q176</f>
        <v>0.58488816556160661</v>
      </c>
      <c r="P185" s="313"/>
      <c r="Q185" s="133">
        <f t="shared" si="65"/>
        <v>86360</v>
      </c>
      <c r="R185" s="315">
        <f t="shared" si="102"/>
        <v>267.28899999999999</v>
      </c>
      <c r="T185" s="189">
        <f t="shared" si="66"/>
        <v>11.360263676194389</v>
      </c>
      <c r="U185" s="313" t="s">
        <v>1056</v>
      </c>
      <c r="V185" s="144">
        <f>X176</f>
        <v>0.58488816556160661</v>
      </c>
      <c r="W185" s="313"/>
      <c r="X185" s="133">
        <f t="shared" si="67"/>
        <v>86360</v>
      </c>
      <c r="Y185" s="315">
        <f t="shared" si="103"/>
        <v>267.28899999999999</v>
      </c>
      <c r="AA185" s="189">
        <f t="shared" si="68"/>
        <v>11.360252026817339</v>
      </c>
      <c r="AB185" s="313" t="s">
        <v>1056</v>
      </c>
      <c r="AC185" s="144">
        <f>AE176</f>
        <v>0.58488816556160661</v>
      </c>
      <c r="AD185" s="313"/>
      <c r="AE185" s="133">
        <f t="shared" si="69"/>
        <v>86360</v>
      </c>
      <c r="AF185" s="315">
        <f t="shared" si="104"/>
        <v>267.28899999999999</v>
      </c>
      <c r="AH185" s="189">
        <f t="shared" si="70"/>
        <v>11.36024037730458</v>
      </c>
      <c r="AI185" s="313" t="s">
        <v>1056</v>
      </c>
      <c r="AJ185" s="144">
        <f>AL176</f>
        <v>0.58488816556160661</v>
      </c>
      <c r="AK185" s="313"/>
      <c r="AL185" s="133">
        <f t="shared" si="71"/>
        <v>86360</v>
      </c>
      <c r="AM185" s="315">
        <f t="shared" si="105"/>
        <v>267.28899999999999</v>
      </c>
      <c r="AO185" s="189">
        <f t="shared" si="72"/>
        <v>11.360228727656109</v>
      </c>
      <c r="AP185" s="313" t="s">
        <v>1056</v>
      </c>
      <c r="AQ185" s="144">
        <f>AS176</f>
        <v>0.58488816556160661</v>
      </c>
      <c r="AR185" s="313"/>
      <c r="AS185" s="133">
        <f t="shared" si="73"/>
        <v>86360</v>
      </c>
      <c r="AT185" s="315">
        <f t="shared" si="106"/>
        <v>267.28899999999999</v>
      </c>
      <c r="AV185" s="189">
        <f t="shared" si="74"/>
        <v>11.360217077871921</v>
      </c>
      <c r="AW185" s="313" t="s">
        <v>1056</v>
      </c>
      <c r="AX185" s="144">
        <f>AZ176</f>
        <v>0.58488816556160661</v>
      </c>
      <c r="AY185" s="313"/>
      <c r="AZ185" s="133">
        <f t="shared" si="75"/>
        <v>86360</v>
      </c>
      <c r="BA185" s="315">
        <f t="shared" si="107"/>
        <v>267.28899999999999</v>
      </c>
      <c r="BC185" s="189">
        <f t="shared" si="76"/>
        <v>11.360205427952014</v>
      </c>
      <c r="BD185" s="313" t="s">
        <v>1056</v>
      </c>
      <c r="BE185" s="144">
        <f>BG176</f>
        <v>0.58488816556160661</v>
      </c>
      <c r="BF185" s="313"/>
      <c r="BG185" s="133">
        <f t="shared" si="77"/>
        <v>86360</v>
      </c>
      <c r="BH185" s="315">
        <f t="shared" si="108"/>
        <v>267.28899999999999</v>
      </c>
      <c r="BJ185" s="189">
        <f t="shared" si="78"/>
        <v>11.360193777896384</v>
      </c>
      <c r="BK185" s="313" t="s">
        <v>1056</v>
      </c>
      <c r="BL185" s="144">
        <f>BN176</f>
        <v>0.58488816556160661</v>
      </c>
      <c r="BM185" s="313"/>
      <c r="BN185" s="133">
        <f t="shared" si="79"/>
        <v>86360</v>
      </c>
      <c r="BO185" s="315">
        <f t="shared" si="109"/>
        <v>267.28899999999999</v>
      </c>
      <c r="BQ185" s="189">
        <f t="shared" si="80"/>
        <v>11.360182127705029</v>
      </c>
      <c r="BR185" s="313" t="s">
        <v>1056</v>
      </c>
      <c r="BS185" s="144">
        <f>BU176</f>
        <v>0.58488816556160661</v>
      </c>
      <c r="BT185" s="313"/>
      <c r="BU185" s="133">
        <f t="shared" si="81"/>
        <v>86360</v>
      </c>
      <c r="BV185" s="315">
        <f t="shared" si="110"/>
        <v>267.28899999999999</v>
      </c>
      <c r="BX185" s="189">
        <f t="shared" si="82"/>
        <v>11.360170477377947</v>
      </c>
      <c r="BY185" s="313" t="s">
        <v>1056</v>
      </c>
      <c r="BZ185" s="144">
        <f>CB176</f>
        <v>0.58488816556160661</v>
      </c>
      <c r="CA185" s="313"/>
      <c r="CB185" s="133">
        <f t="shared" si="83"/>
        <v>86360</v>
      </c>
      <c r="CC185" s="315">
        <f t="shared" si="111"/>
        <v>267.28899999999999</v>
      </c>
      <c r="CE185" s="189">
        <f t="shared" si="84"/>
        <v>11.360158826915132</v>
      </c>
      <c r="CF185" s="313" t="s">
        <v>1056</v>
      </c>
      <c r="CG185" s="144">
        <f>CI176</f>
        <v>0.58488816556160661</v>
      </c>
      <c r="CH185" s="313"/>
      <c r="CI185" s="133">
        <f t="shared" si="85"/>
        <v>86360</v>
      </c>
      <c r="CJ185" s="315">
        <f t="shared" si="112"/>
        <v>267.28899999999999</v>
      </c>
      <c r="CL185" s="189">
        <f t="shared" si="86"/>
        <v>11.360147176316582</v>
      </c>
      <c r="CM185" s="313" t="s">
        <v>1056</v>
      </c>
      <c r="CN185" s="144">
        <f>CP176</f>
        <v>0.58488816556160661</v>
      </c>
      <c r="CO185" s="313"/>
      <c r="CP185" s="133">
        <f t="shared" si="87"/>
        <v>86360</v>
      </c>
      <c r="CQ185" s="315">
        <f t="shared" si="113"/>
        <v>267.28899999999999</v>
      </c>
      <c r="CS185" s="189">
        <f t="shared" si="88"/>
        <v>11.360135525582294</v>
      </c>
      <c r="CT185" s="313" t="s">
        <v>1056</v>
      </c>
      <c r="CU185" s="144">
        <f>CW176</f>
        <v>0.58488816556160661</v>
      </c>
      <c r="CV185" s="313"/>
      <c r="CW185" s="133">
        <f t="shared" si="89"/>
        <v>86360</v>
      </c>
      <c r="CX185" s="315">
        <f t="shared" si="114"/>
        <v>267.28899999999999</v>
      </c>
      <c r="CZ185" s="189">
        <f t="shared" si="90"/>
        <v>11.360123874712265</v>
      </c>
      <c r="DA185" s="313" t="s">
        <v>1056</v>
      </c>
      <c r="DB185" s="144">
        <f>DD176</f>
        <v>0.58488816556160661</v>
      </c>
      <c r="DC185" s="313"/>
      <c r="DD185" s="133">
        <f t="shared" si="91"/>
        <v>86360</v>
      </c>
      <c r="DE185" s="315">
        <f t="shared" si="115"/>
        <v>267.28899999999999</v>
      </c>
      <c r="DG185" s="189">
        <f t="shared" si="92"/>
        <v>11.360112223706492</v>
      </c>
      <c r="DH185" s="313" t="s">
        <v>1056</v>
      </c>
      <c r="DI185" s="144">
        <f>DK176</f>
        <v>0.58488816556160661</v>
      </c>
      <c r="DJ185" s="313"/>
      <c r="DK185" s="133">
        <f t="shared" si="93"/>
        <v>86360</v>
      </c>
      <c r="DL185" s="315">
        <f t="shared" si="116"/>
        <v>267.28899999999999</v>
      </c>
      <c r="DN185" s="189">
        <f t="shared" si="94"/>
        <v>11.360100572564972</v>
      </c>
      <c r="DO185" s="313" t="s">
        <v>1056</v>
      </c>
      <c r="DP185" s="144">
        <f>DR176</f>
        <v>0.58488816556160661</v>
      </c>
      <c r="DQ185" s="313"/>
      <c r="DR185" s="133">
        <f t="shared" si="95"/>
        <v>86360</v>
      </c>
      <c r="DS185" s="315">
        <f t="shared" si="117"/>
        <v>267.28899999999999</v>
      </c>
    </row>
    <row r="186" spans="1:123" ht="15" customHeight="1">
      <c r="A186" s="310">
        <f t="shared" si="63"/>
        <v>2014</v>
      </c>
      <c r="B186" s="311">
        <f t="shared" si="63"/>
        <v>85853</v>
      </c>
      <c r="C186" s="187">
        <f t="shared" si="97"/>
        <v>11.360391810386009</v>
      </c>
      <c r="D186" s="312">
        <f t="shared" si="98"/>
        <v>9</v>
      </c>
      <c r="E186" s="188">
        <f t="shared" si="99"/>
        <v>2.1972245773362196</v>
      </c>
      <c r="F186" s="424"/>
      <c r="G186" s="424"/>
      <c r="H186" s="424"/>
      <c r="I186" s="314">
        <f t="shared" si="96"/>
        <v>86148</v>
      </c>
      <c r="J186" s="143">
        <f t="shared" si="100"/>
        <v>0.343610590194868</v>
      </c>
      <c r="K186" s="143">
        <f t="shared" si="101"/>
        <v>87.025000000000006</v>
      </c>
      <c r="M186" s="189">
        <f t="shared" si="64"/>
        <v>11.360391810386009</v>
      </c>
      <c r="N186" s="313" t="s">
        <v>455</v>
      </c>
      <c r="O186" s="170">
        <f>SUM(R178:R187)</f>
        <v>11278.548999999999</v>
      </c>
      <c r="Q186" s="133">
        <f t="shared" si="65"/>
        <v>86148</v>
      </c>
      <c r="R186" s="315">
        <f t="shared" si="102"/>
        <v>87.025000000000006</v>
      </c>
      <c r="T186" s="189">
        <f t="shared" si="66"/>
        <v>11.360380162501555</v>
      </c>
      <c r="U186" s="313" t="s">
        <v>455</v>
      </c>
      <c r="V186" s="170">
        <f>SUM(Y178:Y187)</f>
        <v>11278.548999999999</v>
      </c>
      <c r="X186" s="133">
        <f t="shared" si="67"/>
        <v>86148</v>
      </c>
      <c r="Y186" s="315">
        <f t="shared" si="103"/>
        <v>87.025000000000006</v>
      </c>
      <c r="AA186" s="189">
        <f t="shared" si="68"/>
        <v>11.360368514481427</v>
      </c>
      <c r="AB186" s="313" t="s">
        <v>455</v>
      </c>
      <c r="AC186" s="170">
        <f>SUM(AF178:AF187)</f>
        <v>11278.548999999999</v>
      </c>
      <c r="AE186" s="133">
        <f t="shared" si="69"/>
        <v>86148</v>
      </c>
      <c r="AF186" s="315">
        <f t="shared" si="104"/>
        <v>87.025000000000006</v>
      </c>
      <c r="AH186" s="189">
        <f t="shared" si="70"/>
        <v>11.360356866325622</v>
      </c>
      <c r="AI186" s="313" t="s">
        <v>455</v>
      </c>
      <c r="AJ186" s="170">
        <f>SUM(AM178:AM187)</f>
        <v>11278.548999999999</v>
      </c>
      <c r="AL186" s="133">
        <f t="shared" si="71"/>
        <v>86148</v>
      </c>
      <c r="AM186" s="315">
        <f t="shared" si="105"/>
        <v>87.025000000000006</v>
      </c>
      <c r="AO186" s="189">
        <f t="shared" si="72"/>
        <v>11.360345218034135</v>
      </c>
      <c r="AP186" s="313" t="s">
        <v>455</v>
      </c>
      <c r="AQ186" s="170">
        <f>SUM(AT178:AT187)</f>
        <v>11278.548999999999</v>
      </c>
      <c r="AS186" s="133">
        <f t="shared" si="73"/>
        <v>86148</v>
      </c>
      <c r="AT186" s="315">
        <f t="shared" si="106"/>
        <v>87.025000000000006</v>
      </c>
      <c r="AV186" s="189">
        <f t="shared" si="74"/>
        <v>11.360333569606963</v>
      </c>
      <c r="AW186" s="313" t="s">
        <v>455</v>
      </c>
      <c r="AX186" s="170">
        <f>SUM(BA178:BA187)</f>
        <v>11278.548999999999</v>
      </c>
      <c r="AZ186" s="133">
        <f t="shared" si="75"/>
        <v>86148</v>
      </c>
      <c r="BA186" s="315">
        <f t="shared" si="107"/>
        <v>87.025000000000006</v>
      </c>
      <c r="BC186" s="189">
        <f t="shared" si="76"/>
        <v>11.360321921044104</v>
      </c>
      <c r="BD186" s="313" t="s">
        <v>455</v>
      </c>
      <c r="BE186" s="170">
        <f>SUM(BH178:BH187)</f>
        <v>11278.548999999999</v>
      </c>
      <c r="BG186" s="133">
        <f t="shared" si="77"/>
        <v>86148</v>
      </c>
      <c r="BH186" s="315">
        <f t="shared" si="108"/>
        <v>87.025000000000006</v>
      </c>
      <c r="BJ186" s="189">
        <f t="shared" si="78"/>
        <v>11.360310272345556</v>
      </c>
      <c r="BK186" s="313" t="s">
        <v>455</v>
      </c>
      <c r="BL186" s="170">
        <f>SUM(BO178:BO187)</f>
        <v>11278.548999999999</v>
      </c>
      <c r="BN186" s="133">
        <f t="shared" si="79"/>
        <v>86148</v>
      </c>
      <c r="BO186" s="315">
        <f t="shared" si="109"/>
        <v>87.025000000000006</v>
      </c>
      <c r="BQ186" s="189">
        <f t="shared" si="80"/>
        <v>11.360298623511312</v>
      </c>
      <c r="BR186" s="313" t="s">
        <v>455</v>
      </c>
      <c r="BS186" s="170">
        <f>SUM(BV178:BV187)</f>
        <v>11278.548999999999</v>
      </c>
      <c r="BU186" s="133">
        <f t="shared" si="81"/>
        <v>86148</v>
      </c>
      <c r="BV186" s="315">
        <f t="shared" si="110"/>
        <v>87.025000000000006</v>
      </c>
      <c r="BX186" s="189">
        <f t="shared" si="82"/>
        <v>11.360286974541372</v>
      </c>
      <c r="BY186" s="313" t="s">
        <v>455</v>
      </c>
      <c r="BZ186" s="170">
        <f>SUM(CC178:CC187)</f>
        <v>11278.548999999999</v>
      </c>
      <c r="CB186" s="133">
        <f t="shared" si="83"/>
        <v>86148</v>
      </c>
      <c r="CC186" s="315">
        <f t="shared" si="111"/>
        <v>87.025000000000006</v>
      </c>
      <c r="CE186" s="189">
        <f t="shared" si="84"/>
        <v>11.360275325435733</v>
      </c>
      <c r="CF186" s="313" t="s">
        <v>455</v>
      </c>
      <c r="CG186" s="170">
        <f>SUM(CJ178:CJ187)</f>
        <v>11278.548999999999</v>
      </c>
      <c r="CI186" s="133">
        <f t="shared" si="85"/>
        <v>86148</v>
      </c>
      <c r="CJ186" s="315">
        <f t="shared" si="112"/>
        <v>87.025000000000006</v>
      </c>
      <c r="CL186" s="189">
        <f t="shared" si="86"/>
        <v>11.360263676194389</v>
      </c>
      <c r="CM186" s="313" t="s">
        <v>455</v>
      </c>
      <c r="CN186" s="170">
        <f>SUM(CQ178:CQ187)</f>
        <v>11278.548999999999</v>
      </c>
      <c r="CP186" s="133">
        <f t="shared" si="87"/>
        <v>86148</v>
      </c>
      <c r="CQ186" s="315">
        <f t="shared" si="113"/>
        <v>87.025000000000006</v>
      </c>
      <c r="CS186" s="189">
        <f t="shared" si="88"/>
        <v>11.360252026817339</v>
      </c>
      <c r="CT186" s="313" t="s">
        <v>455</v>
      </c>
      <c r="CU186" s="170">
        <f>SUM(CX178:CX187)</f>
        <v>11278.548999999999</v>
      </c>
      <c r="CW186" s="133">
        <f t="shared" si="89"/>
        <v>86148</v>
      </c>
      <c r="CX186" s="315">
        <f t="shared" si="114"/>
        <v>87.025000000000006</v>
      </c>
      <c r="CZ186" s="189">
        <f t="shared" si="90"/>
        <v>11.36024037730458</v>
      </c>
      <c r="DA186" s="313" t="s">
        <v>455</v>
      </c>
      <c r="DB186" s="170">
        <f>SUM(DE178:DE187)</f>
        <v>11278.548999999999</v>
      </c>
      <c r="DD186" s="133">
        <f t="shared" si="91"/>
        <v>86148</v>
      </c>
      <c r="DE186" s="315">
        <f t="shared" si="115"/>
        <v>87.025000000000006</v>
      </c>
      <c r="DG186" s="189">
        <f t="shared" si="92"/>
        <v>11.360228727656109</v>
      </c>
      <c r="DH186" s="313" t="s">
        <v>455</v>
      </c>
      <c r="DI186" s="170">
        <f>SUM(DL178:DL187)</f>
        <v>11278.548999999999</v>
      </c>
      <c r="DK186" s="133">
        <f t="shared" si="93"/>
        <v>86148</v>
      </c>
      <c r="DL186" s="315">
        <f t="shared" si="116"/>
        <v>87.025000000000006</v>
      </c>
      <c r="DN186" s="189">
        <f t="shared" si="94"/>
        <v>11.360217077871921</v>
      </c>
      <c r="DO186" s="313" t="s">
        <v>455</v>
      </c>
      <c r="DP186" s="170">
        <f>SUM(DS178:DS187)</f>
        <v>11278.548999999999</v>
      </c>
      <c r="DR186" s="133">
        <f t="shared" si="95"/>
        <v>86148</v>
      </c>
      <c r="DS186" s="315">
        <f t="shared" si="117"/>
        <v>87.025000000000006</v>
      </c>
    </row>
    <row r="187" spans="1:123" ht="15" customHeight="1" thickBot="1">
      <c r="A187" s="130">
        <f t="shared" si="63"/>
        <v>2015</v>
      </c>
      <c r="B187" s="131">
        <f t="shared" si="63"/>
        <v>83739</v>
      </c>
      <c r="C187" s="195">
        <f t="shared" si="97"/>
        <v>11.335460097777446</v>
      </c>
      <c r="D187" s="312">
        <f t="shared" si="98"/>
        <v>10</v>
      </c>
      <c r="E187" s="196">
        <f t="shared" si="99"/>
        <v>2.3025850929940459</v>
      </c>
      <c r="F187" s="317"/>
      <c r="G187" s="317"/>
      <c r="H187" s="317"/>
      <c r="I187" s="319">
        <f t="shared" si="96"/>
        <v>85958</v>
      </c>
      <c r="J187" s="197">
        <f t="shared" si="100"/>
        <v>2.6499002854106211</v>
      </c>
      <c r="K187" s="320">
        <f t="shared" si="101"/>
        <v>4923.9610000000002</v>
      </c>
      <c r="M187" s="198">
        <f t="shared" si="64"/>
        <v>11.335460097777446</v>
      </c>
      <c r="N187" s="309"/>
      <c r="O187" s="309"/>
      <c r="P187" s="309"/>
      <c r="Q187" s="327">
        <f t="shared" si="65"/>
        <v>85958</v>
      </c>
      <c r="R187" s="199">
        <f>($B187-Q187)^2/1000</f>
        <v>4923.9610000000002</v>
      </c>
      <c r="T187" s="198">
        <f t="shared" si="66"/>
        <v>11.335448155839151</v>
      </c>
      <c r="U187" s="309"/>
      <c r="V187" s="309"/>
      <c r="W187" s="309"/>
      <c r="X187" s="327">
        <f t="shared" si="67"/>
        <v>85958</v>
      </c>
      <c r="Y187" s="199">
        <f t="shared" si="103"/>
        <v>4923.9610000000002</v>
      </c>
      <c r="AA187" s="198">
        <f t="shared" si="68"/>
        <v>11.335436213758243</v>
      </c>
      <c r="AB187" s="309"/>
      <c r="AC187" s="309"/>
      <c r="AD187" s="309"/>
      <c r="AE187" s="327">
        <f t="shared" si="69"/>
        <v>85958</v>
      </c>
      <c r="AF187" s="199">
        <f t="shared" si="104"/>
        <v>4923.9610000000002</v>
      </c>
      <c r="AH187" s="198">
        <f t="shared" si="70"/>
        <v>11.33542427153472</v>
      </c>
      <c r="AI187" s="309"/>
      <c r="AJ187" s="309"/>
      <c r="AK187" s="309"/>
      <c r="AL187" s="327">
        <f t="shared" si="71"/>
        <v>85958</v>
      </c>
      <c r="AM187" s="199">
        <f t="shared" si="105"/>
        <v>4923.9610000000002</v>
      </c>
      <c r="AO187" s="198">
        <f t="shared" si="72"/>
        <v>11.335412329168578</v>
      </c>
      <c r="AP187" s="309"/>
      <c r="AQ187" s="309"/>
      <c r="AR187" s="309"/>
      <c r="AS187" s="327">
        <f t="shared" si="73"/>
        <v>85958</v>
      </c>
      <c r="AT187" s="199">
        <f t="shared" si="106"/>
        <v>4923.9610000000002</v>
      </c>
      <c r="AV187" s="198">
        <f t="shared" si="74"/>
        <v>11.335400386659815</v>
      </c>
      <c r="AW187" s="309"/>
      <c r="AX187" s="309"/>
      <c r="AY187" s="309"/>
      <c r="AZ187" s="327">
        <f t="shared" si="75"/>
        <v>85958</v>
      </c>
      <c r="BA187" s="199">
        <f t="shared" si="107"/>
        <v>4923.9610000000002</v>
      </c>
      <c r="BC187" s="198">
        <f t="shared" si="76"/>
        <v>11.335388444008428</v>
      </c>
      <c r="BD187" s="309"/>
      <c r="BE187" s="309"/>
      <c r="BF187" s="309"/>
      <c r="BG187" s="327">
        <f t="shared" si="77"/>
        <v>85958</v>
      </c>
      <c r="BH187" s="199">
        <f t="shared" si="108"/>
        <v>4923.9610000000002</v>
      </c>
      <c r="BJ187" s="198">
        <f t="shared" si="78"/>
        <v>11.335376501214411</v>
      </c>
      <c r="BK187" s="309"/>
      <c r="BL187" s="309"/>
      <c r="BM187" s="309"/>
      <c r="BN187" s="327">
        <f t="shared" si="79"/>
        <v>85958</v>
      </c>
      <c r="BO187" s="199">
        <f t="shared" si="109"/>
        <v>4923.9610000000002</v>
      </c>
      <c r="BQ187" s="198">
        <f t="shared" si="80"/>
        <v>11.335364558277762</v>
      </c>
      <c r="BR187" s="309"/>
      <c r="BS187" s="309"/>
      <c r="BT187" s="309"/>
      <c r="BU187" s="327">
        <f t="shared" si="81"/>
        <v>85958</v>
      </c>
      <c r="BV187" s="199">
        <f t="shared" si="110"/>
        <v>4923.9610000000002</v>
      </c>
      <c r="BX187" s="198">
        <f t="shared" si="82"/>
        <v>11.335352615198477</v>
      </c>
      <c r="BY187" s="309"/>
      <c r="BZ187" s="309"/>
      <c r="CA187" s="309"/>
      <c r="CB187" s="327">
        <f t="shared" si="83"/>
        <v>85958</v>
      </c>
      <c r="CC187" s="199">
        <f t="shared" si="111"/>
        <v>4923.9610000000002</v>
      </c>
      <c r="CE187" s="198">
        <f t="shared" si="84"/>
        <v>11.335340671976555</v>
      </c>
      <c r="CF187" s="309"/>
      <c r="CG187" s="309"/>
      <c r="CH187" s="309"/>
      <c r="CI187" s="327">
        <f t="shared" si="85"/>
        <v>85958</v>
      </c>
      <c r="CJ187" s="199">
        <f t="shared" si="112"/>
        <v>4923.9610000000002</v>
      </c>
      <c r="CL187" s="198">
        <f t="shared" si="86"/>
        <v>11.335328728611989</v>
      </c>
      <c r="CM187" s="309"/>
      <c r="CN187" s="309"/>
      <c r="CO187" s="309"/>
      <c r="CP187" s="327">
        <f t="shared" si="87"/>
        <v>85958</v>
      </c>
      <c r="CQ187" s="199">
        <f t="shared" si="113"/>
        <v>4923.9610000000002</v>
      </c>
      <c r="CS187" s="198">
        <f t="shared" si="88"/>
        <v>11.335316785104778</v>
      </c>
      <c r="CT187" s="309"/>
      <c r="CU187" s="309"/>
      <c r="CV187" s="309"/>
      <c r="CW187" s="327">
        <f t="shared" si="89"/>
        <v>85958</v>
      </c>
      <c r="CX187" s="199">
        <f t="shared" si="114"/>
        <v>4923.9610000000002</v>
      </c>
      <c r="CZ187" s="198">
        <f t="shared" si="90"/>
        <v>11.335304841454917</v>
      </c>
      <c r="DA187" s="309"/>
      <c r="DB187" s="309"/>
      <c r="DC187" s="309"/>
      <c r="DD187" s="327">
        <f t="shared" si="91"/>
        <v>85958</v>
      </c>
      <c r="DE187" s="199">
        <f t="shared" si="115"/>
        <v>4923.9610000000002</v>
      </c>
      <c r="DG187" s="198">
        <f t="shared" si="92"/>
        <v>11.335292897662406</v>
      </c>
      <c r="DH187" s="309"/>
      <c r="DI187" s="309"/>
      <c r="DJ187" s="309"/>
      <c r="DK187" s="327">
        <f t="shared" si="93"/>
        <v>85958</v>
      </c>
      <c r="DL187" s="199">
        <f t="shared" si="116"/>
        <v>4923.9610000000002</v>
      </c>
      <c r="DN187" s="198">
        <f t="shared" si="94"/>
        <v>11.335280953727237</v>
      </c>
      <c r="DO187" s="309"/>
      <c r="DP187" s="309"/>
      <c r="DQ187" s="309"/>
      <c r="DR187" s="327">
        <f t="shared" si="95"/>
        <v>85958</v>
      </c>
      <c r="DS187" s="199">
        <f t="shared" si="117"/>
        <v>4923.9610000000002</v>
      </c>
    </row>
    <row r="188" spans="1:123" ht="15" customHeight="1" thickTop="1">
      <c r="A188" s="310">
        <f t="shared" si="63"/>
        <v>2016</v>
      </c>
      <c r="B188" s="311">
        <f t="shared" ref="B188:B210" si="118">ROUND($G$181+$G$184*D188^$G$182,$G$1)</f>
        <v>85787</v>
      </c>
      <c r="C188" s="187"/>
      <c r="D188" s="312">
        <f t="shared" si="98"/>
        <v>11</v>
      </c>
      <c r="E188" s="188"/>
      <c r="F188" s="974" t="s">
        <v>456</v>
      </c>
      <c r="G188" s="977"/>
      <c r="H188" s="149">
        <f>I176</f>
        <v>0.58488816556160661</v>
      </c>
      <c r="I188" s="314">
        <f t="shared" si="96"/>
        <v>85787</v>
      </c>
      <c r="J188" s="322">
        <f t="shared" si="100"/>
        <v>0</v>
      </c>
      <c r="K188" s="314">
        <f t="shared" si="101"/>
        <v>0</v>
      </c>
      <c r="M188" s="170" t="s">
        <v>457</v>
      </c>
      <c r="N188" s="170"/>
      <c r="O188" s="170">
        <f>MIN(B178:B187)</f>
        <v>83739</v>
      </c>
      <c r="P188" s="170"/>
      <c r="Q188" s="170"/>
      <c r="R188" s="170"/>
      <c r="S188" s="170"/>
      <c r="T188" s="170" t="s">
        <v>457</v>
      </c>
      <c r="U188" s="170"/>
      <c r="V188" s="170">
        <f>O188</f>
        <v>83739</v>
      </c>
      <c r="W188" s="170"/>
      <c r="X188" s="170"/>
      <c r="Y188" s="170"/>
      <c r="Z188" s="170"/>
      <c r="AA188" s="170" t="s">
        <v>458</v>
      </c>
      <c r="AB188" s="170"/>
      <c r="AC188" s="170">
        <f>V188</f>
        <v>83739</v>
      </c>
      <c r="AD188" s="170"/>
      <c r="AE188" s="170"/>
      <c r="AF188" s="170"/>
      <c r="AH188" s="170" t="s">
        <v>459</v>
      </c>
      <c r="AI188" s="170"/>
      <c r="AJ188" s="170">
        <f>AC188</f>
        <v>83739</v>
      </c>
      <c r="AK188" s="170"/>
      <c r="AL188" s="170"/>
      <c r="AM188" s="170"/>
      <c r="AO188" s="170" t="s">
        <v>460</v>
      </c>
      <c r="AP188" s="170"/>
      <c r="AQ188" s="170">
        <f>AJ188</f>
        <v>83739</v>
      </c>
      <c r="AR188" s="170"/>
      <c r="AS188" s="170"/>
      <c r="AT188" s="170"/>
      <c r="AV188" s="170" t="s">
        <v>461</v>
      </c>
      <c r="AW188" s="170"/>
      <c r="AX188" s="170">
        <f>AQ188</f>
        <v>83739</v>
      </c>
      <c r="AY188" s="170"/>
      <c r="AZ188" s="170"/>
      <c r="BA188" s="170"/>
      <c r="BC188" s="170" t="s">
        <v>462</v>
      </c>
      <c r="BD188" s="170"/>
      <c r="BE188" s="170">
        <f>AX188</f>
        <v>83739</v>
      </c>
      <c r="BF188" s="170"/>
      <c r="BG188" s="170"/>
      <c r="BH188" s="170"/>
      <c r="BJ188" s="170" t="s">
        <v>460</v>
      </c>
      <c r="BK188" s="170"/>
      <c r="BL188" s="170">
        <f>BE188</f>
        <v>83739</v>
      </c>
      <c r="BM188" s="170"/>
      <c r="BN188" s="170"/>
      <c r="BO188" s="170"/>
      <c r="BQ188" s="170" t="s">
        <v>463</v>
      </c>
      <c r="BR188" s="170"/>
      <c r="BS188" s="170">
        <f>BL188</f>
        <v>83739</v>
      </c>
      <c r="BT188" s="170"/>
      <c r="BU188" s="170"/>
      <c r="BV188" s="170"/>
      <c r="BX188" s="170" t="s">
        <v>464</v>
      </c>
      <c r="BY188" s="170"/>
      <c r="BZ188" s="170">
        <f>BS188</f>
        <v>83739</v>
      </c>
      <c r="CA188" s="170"/>
      <c r="CB188" s="170"/>
      <c r="CC188" s="170"/>
      <c r="CE188" s="170" t="s">
        <v>465</v>
      </c>
      <c r="CF188" s="170"/>
      <c r="CG188" s="170">
        <f>BZ188</f>
        <v>83739</v>
      </c>
      <c r="CH188" s="170"/>
      <c r="CI188" s="170"/>
      <c r="CJ188" s="170"/>
      <c r="CL188" s="170" t="s">
        <v>466</v>
      </c>
      <c r="CM188" s="170"/>
      <c r="CN188" s="170">
        <f>CG188</f>
        <v>83739</v>
      </c>
      <c r="CO188" s="170"/>
      <c r="CP188" s="170"/>
      <c r="CQ188" s="170"/>
      <c r="CS188" s="170" t="s">
        <v>467</v>
      </c>
      <c r="CT188" s="170"/>
      <c r="CU188" s="170">
        <f>CN188</f>
        <v>83739</v>
      </c>
      <c r="CV188" s="170"/>
      <c r="CW188" s="170"/>
      <c r="CX188" s="170"/>
      <c r="CZ188" s="170" t="s">
        <v>460</v>
      </c>
      <c r="DA188" s="170"/>
      <c r="DB188" s="170">
        <f>CU188</f>
        <v>83739</v>
      </c>
      <c r="DC188" s="170"/>
      <c r="DD188" s="170"/>
      <c r="DE188" s="170"/>
      <c r="DG188" s="170" t="s">
        <v>468</v>
      </c>
      <c r="DH188" s="170"/>
      <c r="DI188" s="170">
        <f>DB188</f>
        <v>83739</v>
      </c>
      <c r="DJ188" s="170"/>
      <c r="DK188" s="170"/>
      <c r="DL188" s="170"/>
      <c r="DN188" s="170" t="s">
        <v>469</v>
      </c>
      <c r="DO188" s="170"/>
      <c r="DP188" s="170">
        <f>DI188</f>
        <v>83739</v>
      </c>
      <c r="DQ188" s="170"/>
      <c r="DR188" s="170"/>
      <c r="DS188" s="170"/>
    </row>
    <row r="189" spans="1:123" ht="15" customHeight="1">
      <c r="A189" s="310">
        <f t="shared" si="63"/>
        <v>2017</v>
      </c>
      <c r="B189" s="311">
        <f t="shared" si="118"/>
        <v>85632</v>
      </c>
      <c r="C189" s="187"/>
      <c r="D189" s="312">
        <f t="shared" si="98"/>
        <v>12</v>
      </c>
      <c r="E189" s="188"/>
      <c r="F189" s="972" t="s">
        <v>470</v>
      </c>
      <c r="G189" s="976"/>
      <c r="H189" s="461">
        <f>SUM(K178:K187)</f>
        <v>11278.548999999999</v>
      </c>
      <c r="I189" s="314">
        <f t="shared" si="96"/>
        <v>85632</v>
      </c>
      <c r="J189" s="322">
        <f t="shared" si="100"/>
        <v>0</v>
      </c>
      <c r="K189" s="314">
        <f t="shared" si="101"/>
        <v>0</v>
      </c>
      <c r="M189" s="170" t="s">
        <v>471</v>
      </c>
      <c r="N189" s="170"/>
      <c r="O189" s="200">
        <v>0</v>
      </c>
      <c r="P189" s="170"/>
      <c r="Q189" s="170"/>
      <c r="R189" s="170"/>
      <c r="S189" s="170"/>
      <c r="T189" s="170" t="s">
        <v>471</v>
      </c>
      <c r="U189" s="170"/>
      <c r="V189" s="200">
        <f>O189</f>
        <v>0</v>
      </c>
      <c r="W189" s="170"/>
      <c r="X189" s="170"/>
      <c r="Y189" s="170"/>
      <c r="Z189" s="170"/>
      <c r="AA189" s="170" t="s">
        <v>472</v>
      </c>
      <c r="AB189" s="170"/>
      <c r="AC189" s="200">
        <f>V189</f>
        <v>0</v>
      </c>
      <c r="AD189" s="170"/>
      <c r="AE189" s="170"/>
      <c r="AF189" s="170"/>
      <c r="AH189" s="170" t="s">
        <v>473</v>
      </c>
      <c r="AI189" s="170"/>
      <c r="AJ189" s="200">
        <f>AC189</f>
        <v>0</v>
      </c>
      <c r="AK189" s="170"/>
      <c r="AL189" s="170"/>
      <c r="AM189" s="170"/>
      <c r="AO189" s="170" t="s">
        <v>474</v>
      </c>
      <c r="AP189" s="170"/>
      <c r="AQ189" s="200">
        <f>AJ189</f>
        <v>0</v>
      </c>
      <c r="AR189" s="170"/>
      <c r="AS189" s="170"/>
      <c r="AT189" s="170"/>
      <c r="AV189" s="170" t="s">
        <v>475</v>
      </c>
      <c r="AW189" s="170"/>
      <c r="AX189" s="200">
        <f>AQ189</f>
        <v>0</v>
      </c>
      <c r="AY189" s="170"/>
      <c r="AZ189" s="170"/>
      <c r="BA189" s="170"/>
      <c r="BC189" s="170" t="s">
        <v>476</v>
      </c>
      <c r="BD189" s="170"/>
      <c r="BE189" s="200">
        <f>AX189</f>
        <v>0</v>
      </c>
      <c r="BF189" s="170"/>
      <c r="BG189" s="170"/>
      <c r="BH189" s="170"/>
      <c r="BJ189" s="170" t="s">
        <v>477</v>
      </c>
      <c r="BK189" s="170"/>
      <c r="BL189" s="200">
        <f>BE189</f>
        <v>0</v>
      </c>
      <c r="BM189" s="170"/>
      <c r="BN189" s="170"/>
      <c r="BO189" s="170"/>
      <c r="BQ189" s="170" t="s">
        <v>478</v>
      </c>
      <c r="BR189" s="170"/>
      <c r="BS189" s="200">
        <f>BL189</f>
        <v>0</v>
      </c>
      <c r="BT189" s="170"/>
      <c r="BU189" s="170"/>
      <c r="BV189" s="170"/>
      <c r="BX189" s="170" t="s">
        <v>479</v>
      </c>
      <c r="BY189" s="170"/>
      <c r="BZ189" s="200">
        <f>BS189</f>
        <v>0</v>
      </c>
      <c r="CA189" s="170"/>
      <c r="CB189" s="170"/>
      <c r="CC189" s="170"/>
      <c r="CE189" s="170" t="s">
        <v>480</v>
      </c>
      <c r="CF189" s="170"/>
      <c r="CG189" s="200">
        <f>BZ189</f>
        <v>0</v>
      </c>
      <c r="CH189" s="170"/>
      <c r="CI189" s="170"/>
      <c r="CJ189" s="170"/>
      <c r="CL189" s="170" t="s">
        <v>481</v>
      </c>
      <c r="CM189" s="170"/>
      <c r="CN189" s="200">
        <f>CG189</f>
        <v>0</v>
      </c>
      <c r="CO189" s="170"/>
      <c r="CP189" s="170"/>
      <c r="CQ189" s="170"/>
      <c r="CS189" s="170" t="s">
        <v>482</v>
      </c>
      <c r="CT189" s="170"/>
      <c r="CU189" s="200">
        <f>CN189</f>
        <v>0</v>
      </c>
      <c r="CV189" s="170"/>
      <c r="CW189" s="170"/>
      <c r="CX189" s="170"/>
      <c r="CZ189" s="170" t="s">
        <v>483</v>
      </c>
      <c r="DA189" s="170"/>
      <c r="DB189" s="200">
        <f>CU189</f>
        <v>0</v>
      </c>
      <c r="DC189" s="170"/>
      <c r="DD189" s="170"/>
      <c r="DE189" s="170"/>
      <c r="DG189" s="170" t="s">
        <v>484</v>
      </c>
      <c r="DH189" s="170"/>
      <c r="DI189" s="200">
        <f>DB189</f>
        <v>0</v>
      </c>
      <c r="DJ189" s="170"/>
      <c r="DK189" s="170"/>
      <c r="DL189" s="170"/>
      <c r="DN189" s="170" t="s">
        <v>485</v>
      </c>
      <c r="DO189" s="170"/>
      <c r="DP189" s="200">
        <f>DI189</f>
        <v>0</v>
      </c>
      <c r="DQ189" s="170"/>
      <c r="DR189" s="170"/>
      <c r="DS189" s="170"/>
    </row>
    <row r="190" spans="1:123" ht="15" customHeight="1">
      <c r="A190" s="310">
        <f t="shared" si="63"/>
        <v>2018</v>
      </c>
      <c r="B190" s="311">
        <f t="shared" si="118"/>
        <v>85489</v>
      </c>
      <c r="C190" s="187"/>
      <c r="D190" s="312">
        <f t="shared" si="98"/>
        <v>13</v>
      </c>
      <c r="E190" s="188"/>
      <c r="F190" s="972" t="s">
        <v>486</v>
      </c>
      <c r="G190" s="976"/>
      <c r="H190" s="151">
        <f>SUM(J178:J187)/10</f>
        <v>0.90213144701821013</v>
      </c>
      <c r="I190" s="314">
        <f t="shared" si="96"/>
        <v>85489</v>
      </c>
      <c r="J190" s="322">
        <f t="shared" si="100"/>
        <v>0</v>
      </c>
      <c r="K190" s="314">
        <f t="shared" si="101"/>
        <v>0</v>
      </c>
      <c r="M190" s="170" t="s">
        <v>487</v>
      </c>
      <c r="N190" s="170"/>
      <c r="O190" s="170">
        <v>1</v>
      </c>
      <c r="P190" s="170"/>
      <c r="Q190" s="170"/>
      <c r="R190" s="170"/>
      <c r="S190" s="170"/>
      <c r="T190" s="170" t="s">
        <v>487</v>
      </c>
      <c r="U190" s="170"/>
      <c r="V190" s="170">
        <f>O190</f>
        <v>1</v>
      </c>
      <c r="W190" s="170"/>
      <c r="X190" s="170"/>
      <c r="Y190" s="170"/>
      <c r="Z190" s="170"/>
      <c r="AA190" s="170" t="s">
        <v>488</v>
      </c>
      <c r="AB190" s="170"/>
      <c r="AC190" s="170">
        <f>V190</f>
        <v>1</v>
      </c>
      <c r="AD190" s="170"/>
      <c r="AE190" s="170"/>
      <c r="AF190" s="170"/>
      <c r="AH190" s="170" t="s">
        <v>489</v>
      </c>
      <c r="AI190" s="170"/>
      <c r="AJ190" s="170">
        <f>AC190</f>
        <v>1</v>
      </c>
      <c r="AK190" s="170"/>
      <c r="AL190" s="170"/>
      <c r="AM190" s="170"/>
      <c r="AO190" s="170" t="s">
        <v>487</v>
      </c>
      <c r="AP190" s="170"/>
      <c r="AQ190" s="170">
        <f>AJ190</f>
        <v>1</v>
      </c>
      <c r="AR190" s="170"/>
      <c r="AS190" s="170"/>
      <c r="AT190" s="170"/>
      <c r="AV190" s="170" t="s">
        <v>488</v>
      </c>
      <c r="AW190" s="170"/>
      <c r="AX190" s="170">
        <f>AQ190</f>
        <v>1</v>
      </c>
      <c r="AY190" s="170"/>
      <c r="AZ190" s="170"/>
      <c r="BA190" s="170"/>
      <c r="BC190" s="170" t="s">
        <v>489</v>
      </c>
      <c r="BD190" s="170"/>
      <c r="BE190" s="170">
        <f>AX190</f>
        <v>1</v>
      </c>
      <c r="BF190" s="170"/>
      <c r="BG190" s="170"/>
      <c r="BH190" s="170"/>
      <c r="BJ190" s="170" t="s">
        <v>487</v>
      </c>
      <c r="BK190" s="170"/>
      <c r="BL190" s="170">
        <f>BE190</f>
        <v>1</v>
      </c>
      <c r="BM190" s="170"/>
      <c r="BN190" s="170"/>
      <c r="BO190" s="170"/>
      <c r="BQ190" s="170" t="s">
        <v>488</v>
      </c>
      <c r="BR190" s="170"/>
      <c r="BS190" s="170">
        <f>BL190</f>
        <v>1</v>
      </c>
      <c r="BT190" s="170"/>
      <c r="BU190" s="170"/>
      <c r="BV190" s="170"/>
      <c r="BX190" s="170" t="s">
        <v>489</v>
      </c>
      <c r="BY190" s="170"/>
      <c r="BZ190" s="170">
        <f>BS190</f>
        <v>1</v>
      </c>
      <c r="CA190" s="170"/>
      <c r="CB190" s="170"/>
      <c r="CC190" s="170"/>
      <c r="CE190" s="170" t="s">
        <v>487</v>
      </c>
      <c r="CF190" s="170"/>
      <c r="CG190" s="170">
        <f>BZ190</f>
        <v>1</v>
      </c>
      <c r="CH190" s="170"/>
      <c r="CI190" s="170"/>
      <c r="CJ190" s="170"/>
      <c r="CL190" s="170" t="s">
        <v>488</v>
      </c>
      <c r="CM190" s="170"/>
      <c r="CN190" s="170">
        <f>CG190</f>
        <v>1</v>
      </c>
      <c r="CO190" s="170"/>
      <c r="CP190" s="170"/>
      <c r="CQ190" s="170"/>
      <c r="CS190" s="170" t="s">
        <v>489</v>
      </c>
      <c r="CT190" s="170"/>
      <c r="CU190" s="170">
        <f>CN190</f>
        <v>1</v>
      </c>
      <c r="CV190" s="170"/>
      <c r="CW190" s="170"/>
      <c r="CX190" s="170"/>
      <c r="CZ190" s="170" t="s">
        <v>487</v>
      </c>
      <c r="DA190" s="170"/>
      <c r="DB190" s="170">
        <f>CU190</f>
        <v>1</v>
      </c>
      <c r="DC190" s="170"/>
      <c r="DD190" s="170"/>
      <c r="DE190" s="170"/>
      <c r="DG190" s="170" t="s">
        <v>490</v>
      </c>
      <c r="DH190" s="170"/>
      <c r="DI190" s="170">
        <f>DB190</f>
        <v>1</v>
      </c>
      <c r="DJ190" s="170"/>
      <c r="DK190" s="170"/>
      <c r="DL190" s="170"/>
      <c r="DN190" s="170" t="s">
        <v>491</v>
      </c>
      <c r="DO190" s="170"/>
      <c r="DP190" s="170">
        <f>DI190</f>
        <v>1</v>
      </c>
      <c r="DQ190" s="170"/>
      <c r="DR190" s="170"/>
      <c r="DS190" s="170"/>
    </row>
    <row r="191" spans="1:123" ht="15" customHeight="1">
      <c r="A191" s="310">
        <f t="shared" si="63"/>
        <v>2019</v>
      </c>
      <c r="B191" s="311">
        <f t="shared" si="118"/>
        <v>85356</v>
      </c>
      <c r="C191" s="187"/>
      <c r="D191" s="312">
        <f t="shared" si="98"/>
        <v>14</v>
      </c>
      <c r="E191" s="201"/>
      <c r="F191" s="972" t="s">
        <v>492</v>
      </c>
      <c r="G191" s="973"/>
      <c r="H191" s="461">
        <f>SUM(K182:K187)</f>
        <v>10824.356</v>
      </c>
      <c r="I191" s="202">
        <f t="shared" si="96"/>
        <v>85356</v>
      </c>
      <c r="J191" s="322">
        <f t="shared" si="100"/>
        <v>0</v>
      </c>
      <c r="K191" s="314">
        <f t="shared" si="101"/>
        <v>0</v>
      </c>
    </row>
    <row r="192" spans="1:123" ht="15" customHeight="1">
      <c r="A192" s="310">
        <f t="shared" si="63"/>
        <v>2020</v>
      </c>
      <c r="B192" s="311">
        <f t="shared" si="118"/>
        <v>85233</v>
      </c>
      <c r="C192" s="187"/>
      <c r="D192" s="312">
        <f t="shared" si="98"/>
        <v>15</v>
      </c>
      <c r="E192" s="188"/>
      <c r="F192" s="972" t="s">
        <v>493</v>
      </c>
      <c r="G192" s="973"/>
      <c r="H192" s="151">
        <f>SUM(J182:J187)/5</f>
        <v>1.6046579393830172</v>
      </c>
      <c r="I192" s="314">
        <f t="shared" si="96"/>
        <v>85233</v>
      </c>
      <c r="J192" s="322">
        <f t="shared" si="100"/>
        <v>0</v>
      </c>
      <c r="K192" s="314">
        <f t="shared" si="101"/>
        <v>0</v>
      </c>
      <c r="M192" s="203"/>
      <c r="N192" s="424"/>
      <c r="O192" s="424"/>
      <c r="P192" s="424"/>
      <c r="Q192" s="184"/>
      <c r="R192" s="169"/>
      <c r="S192" s="184"/>
      <c r="T192" s="184"/>
      <c r="U192" s="184"/>
      <c r="V192" s="184"/>
      <c r="W192" s="184"/>
      <c r="X192" s="184"/>
      <c r="Y192" s="184"/>
      <c r="Z192" s="184"/>
      <c r="AA192" s="184"/>
      <c r="AB192" s="184"/>
      <c r="AC192" s="184"/>
      <c r="AD192" s="184"/>
      <c r="AE192" s="184"/>
      <c r="AF192" s="184"/>
      <c r="AH192" s="184"/>
      <c r="AI192" s="184"/>
      <c r="AJ192" s="184"/>
      <c r="AK192" s="184"/>
      <c r="AL192" s="184"/>
      <c r="AM192" s="184"/>
      <c r="AO192" s="184"/>
      <c r="AP192" s="184"/>
      <c r="AQ192" s="184"/>
      <c r="AR192" s="184"/>
      <c r="AS192" s="184"/>
      <c r="AT192" s="184"/>
      <c r="AV192" s="184"/>
      <c r="AW192" s="184"/>
      <c r="AX192" s="184"/>
      <c r="AY192" s="184"/>
      <c r="AZ192" s="184"/>
      <c r="BA192" s="184"/>
      <c r="BC192" s="184"/>
      <c r="BD192" s="184"/>
      <c r="BE192" s="184"/>
      <c r="BF192" s="184"/>
      <c r="BG192" s="184"/>
      <c r="BH192" s="184"/>
    </row>
    <row r="193" spans="1:126" ht="15" customHeight="1" thickBot="1">
      <c r="A193" s="310">
        <f t="shared" ref="A193:A210" si="119">A119</f>
        <v>2021</v>
      </c>
      <c r="B193" s="311">
        <f t="shared" si="118"/>
        <v>85119</v>
      </c>
      <c r="C193" s="187"/>
      <c r="D193" s="312">
        <f t="shared" si="98"/>
        <v>16</v>
      </c>
      <c r="E193" s="188"/>
      <c r="F193" s="180" t="s">
        <v>494</v>
      </c>
      <c r="G193" s="181" t="s">
        <v>1057</v>
      </c>
      <c r="H193" s="204" t="s">
        <v>495</v>
      </c>
      <c r="I193" s="314">
        <f t="shared" si="96"/>
        <v>85119</v>
      </c>
      <c r="J193" s="322">
        <f t="shared" si="100"/>
        <v>0</v>
      </c>
      <c r="K193" s="314">
        <f t="shared" si="101"/>
        <v>0</v>
      </c>
      <c r="M193" s="203"/>
      <c r="N193" s="424"/>
      <c r="O193" s="424"/>
      <c r="P193" s="424"/>
      <c r="Q193" s="184"/>
      <c r="R193" s="169"/>
      <c r="S193" s="184"/>
      <c r="T193" s="184"/>
      <c r="U193" s="184"/>
      <c r="V193" s="184"/>
      <c r="W193" s="184"/>
      <c r="X193" s="184"/>
      <c r="Y193" s="184"/>
      <c r="Z193" s="184"/>
      <c r="AA193" s="184"/>
      <c r="AB193" s="184"/>
      <c r="AC193" s="184"/>
      <c r="AD193" s="184"/>
      <c r="AE193" s="184"/>
      <c r="AF193" s="184"/>
      <c r="AH193" s="184"/>
      <c r="AI193" s="184"/>
      <c r="AJ193" s="184"/>
      <c r="AK193" s="184"/>
      <c r="AL193" s="184"/>
      <c r="AM193" s="184"/>
      <c r="AO193" s="184"/>
      <c r="AP193" s="184"/>
      <c r="AQ193" s="184"/>
      <c r="AR193" s="184"/>
      <c r="AS193" s="184"/>
      <c r="AT193" s="184"/>
      <c r="AV193" s="184"/>
      <c r="AW193" s="184"/>
      <c r="AX193" s="184"/>
      <c r="AY193" s="184"/>
      <c r="AZ193" s="184"/>
      <c r="BA193" s="184"/>
      <c r="BC193" s="184"/>
      <c r="BD193" s="184"/>
      <c r="BE193" s="184"/>
      <c r="BF193" s="184"/>
      <c r="BG193" s="184"/>
      <c r="BH193" s="184"/>
    </row>
    <row r="194" spans="1:126" s="424" customFormat="1" ht="15" customHeight="1" thickTop="1">
      <c r="A194" s="310">
        <f t="shared" si="119"/>
        <v>2022</v>
      </c>
      <c r="B194" s="311">
        <f t="shared" si="118"/>
        <v>85011</v>
      </c>
      <c r="C194" s="187"/>
      <c r="D194" s="312">
        <f t="shared" si="98"/>
        <v>17</v>
      </c>
      <c r="E194" s="188"/>
      <c r="F194" s="170">
        <f>O180</f>
        <v>0</v>
      </c>
      <c r="G194" s="182">
        <f>O185</f>
        <v>0.58488816556160661</v>
      </c>
      <c r="H194" s="200">
        <f>O186</f>
        <v>11278.548999999999</v>
      </c>
      <c r="I194" s="314">
        <f t="shared" si="96"/>
        <v>85011</v>
      </c>
      <c r="J194" s="322">
        <f t="shared" si="100"/>
        <v>0</v>
      </c>
      <c r="K194" s="314">
        <f t="shared" si="101"/>
        <v>0</v>
      </c>
      <c r="M194" s="203"/>
      <c r="P194" s="313"/>
      <c r="Q194" s="184"/>
      <c r="R194" s="169"/>
      <c r="S194" s="184"/>
      <c r="T194" s="184"/>
      <c r="U194" s="184"/>
      <c r="V194" s="184"/>
      <c r="W194" s="184"/>
      <c r="X194" s="184"/>
      <c r="Y194" s="184"/>
      <c r="Z194" s="184"/>
      <c r="AA194" s="184"/>
      <c r="AB194" s="184"/>
      <c r="AC194" s="184"/>
      <c r="AD194" s="184"/>
      <c r="AE194" s="184"/>
      <c r="AF194" s="184"/>
      <c r="AH194" s="184"/>
      <c r="AI194" s="184"/>
      <c r="AJ194" s="184"/>
      <c r="AK194" s="184"/>
      <c r="AL194" s="184"/>
      <c r="AM194" s="184"/>
      <c r="AO194" s="184"/>
      <c r="AP194" s="184"/>
      <c r="AQ194" s="184"/>
      <c r="AR194" s="184"/>
      <c r="AS194" s="184"/>
      <c r="AT194" s="184"/>
      <c r="AV194" s="184"/>
      <c r="AW194" s="184"/>
      <c r="AX194" s="184"/>
      <c r="AY194" s="184"/>
      <c r="AZ194" s="184"/>
      <c r="BA194" s="184"/>
      <c r="BC194" s="184"/>
      <c r="BD194" s="184"/>
      <c r="BE194" s="184"/>
      <c r="BF194" s="184"/>
      <c r="BG194" s="184"/>
      <c r="BH194" s="184"/>
      <c r="BI194" s="423"/>
      <c r="BJ194" s="423"/>
      <c r="BK194" s="423"/>
      <c r="BL194" s="423"/>
      <c r="BM194" s="423"/>
      <c r="BN194" s="423"/>
      <c r="BO194" s="423"/>
      <c r="BP194" s="423"/>
      <c r="BQ194" s="423"/>
      <c r="BR194" s="423"/>
      <c r="BS194" s="423"/>
      <c r="BT194" s="423"/>
      <c r="BU194" s="423"/>
      <c r="BV194" s="423"/>
      <c r="BW194" s="423"/>
      <c r="BX194" s="423"/>
      <c r="BY194" s="423"/>
      <c r="BZ194" s="423"/>
      <c r="CA194" s="423"/>
      <c r="CB194" s="423"/>
      <c r="CC194" s="423"/>
      <c r="CD194" s="423"/>
      <c r="CE194" s="423"/>
      <c r="CF194" s="423"/>
      <c r="CG194" s="423"/>
      <c r="CH194" s="423"/>
      <c r="CI194" s="423"/>
      <c r="CJ194" s="423"/>
      <c r="CK194" s="423"/>
      <c r="CL194" s="423"/>
      <c r="CM194" s="423"/>
      <c r="CN194" s="423"/>
      <c r="CO194" s="423"/>
      <c r="CP194" s="423"/>
      <c r="CQ194" s="423"/>
      <c r="CR194" s="423"/>
      <c r="CS194" s="423"/>
      <c r="CT194" s="423"/>
      <c r="CU194" s="423"/>
      <c r="CV194" s="423"/>
      <c r="CW194" s="423"/>
      <c r="CX194" s="423"/>
      <c r="CY194" s="423"/>
      <c r="CZ194" s="423"/>
      <c r="DA194" s="423"/>
      <c r="DB194" s="423"/>
      <c r="DC194" s="423"/>
      <c r="DD194" s="423"/>
      <c r="DE194" s="423"/>
      <c r="DF194" s="423"/>
      <c r="DG194" s="423"/>
      <c r="DH194" s="423"/>
      <c r="DI194" s="423"/>
      <c r="DJ194" s="423"/>
      <c r="DK194" s="423"/>
      <c r="DL194" s="423"/>
      <c r="DM194" s="423"/>
      <c r="DN194" s="423"/>
      <c r="DO194" s="423"/>
      <c r="DP194" s="423"/>
      <c r="DQ194" s="423"/>
      <c r="DR194" s="423"/>
      <c r="DS194" s="423"/>
      <c r="DT194" s="423"/>
      <c r="DU194" s="423"/>
      <c r="DV194" s="423"/>
    </row>
    <row r="195" spans="1:126" ht="15" customHeight="1">
      <c r="A195" s="310">
        <f t="shared" si="119"/>
        <v>2023</v>
      </c>
      <c r="B195" s="311">
        <f t="shared" si="118"/>
        <v>84909</v>
      </c>
      <c r="C195" s="187"/>
      <c r="D195" s="312">
        <f t="shared" si="98"/>
        <v>18</v>
      </c>
      <c r="E195" s="188"/>
      <c r="F195" s="170">
        <f>V180</f>
        <v>1</v>
      </c>
      <c r="G195" s="182">
        <f>V185</f>
        <v>0.58488816556160661</v>
      </c>
      <c r="H195" s="200">
        <f>V186</f>
        <v>11278.548999999999</v>
      </c>
      <c r="I195" s="314">
        <f t="shared" si="96"/>
        <v>84909</v>
      </c>
      <c r="J195" s="322">
        <f>ABS(B195-I195)/B195*100</f>
        <v>0</v>
      </c>
      <c r="K195" s="314">
        <f>(B195-I195)^2/1000</f>
        <v>0</v>
      </c>
      <c r="M195" s="203"/>
      <c r="N195" s="424"/>
      <c r="O195" s="424"/>
      <c r="P195" s="313"/>
      <c r="Q195" s="184"/>
      <c r="R195" s="169"/>
      <c r="S195" s="184"/>
      <c r="T195" s="184"/>
      <c r="U195" s="184"/>
      <c r="V195" s="184"/>
      <c r="W195" s="184"/>
      <c r="X195" s="184"/>
      <c r="Y195" s="184"/>
      <c r="Z195" s="184"/>
      <c r="AA195" s="184"/>
      <c r="AB195" s="184"/>
      <c r="AC195" s="184"/>
      <c r="AD195" s="184"/>
      <c r="AE195" s="184"/>
      <c r="AF195" s="184"/>
      <c r="AH195" s="184"/>
      <c r="AI195" s="184"/>
      <c r="AJ195" s="184"/>
      <c r="AK195" s="184"/>
      <c r="AL195" s="184"/>
      <c r="AM195" s="184"/>
      <c r="AO195" s="184"/>
      <c r="AP195" s="184"/>
      <c r="AQ195" s="184"/>
      <c r="AR195" s="184"/>
      <c r="AS195" s="184"/>
      <c r="AT195" s="184"/>
      <c r="AV195" s="184"/>
      <c r="AW195" s="184"/>
      <c r="AX195" s="184"/>
      <c r="AY195" s="184"/>
      <c r="AZ195" s="184"/>
      <c r="BA195" s="184"/>
      <c r="BC195" s="184"/>
      <c r="BD195" s="184"/>
      <c r="BE195" s="184"/>
      <c r="BF195" s="184"/>
      <c r="BG195" s="184"/>
      <c r="BH195" s="184"/>
      <c r="BJ195" s="203"/>
      <c r="BK195" s="424"/>
      <c r="BL195" s="424"/>
      <c r="BM195" s="313"/>
      <c r="BN195" s="184"/>
      <c r="BO195" s="169"/>
      <c r="BQ195" s="203"/>
      <c r="BR195" s="424"/>
      <c r="BS195" s="424"/>
      <c r="BT195" s="313"/>
      <c r="BU195" s="184"/>
      <c r="BV195" s="169"/>
      <c r="BX195" s="203"/>
      <c r="BY195" s="424"/>
      <c r="BZ195" s="424"/>
      <c r="CA195" s="313"/>
      <c r="CB195" s="184"/>
      <c r="CC195" s="169"/>
      <c r="CE195" s="203"/>
      <c r="CF195" s="424"/>
      <c r="CG195" s="424"/>
      <c r="CH195" s="313"/>
      <c r="CI195" s="184"/>
      <c r="CJ195" s="169"/>
      <c r="CL195" s="203"/>
      <c r="CM195" s="424"/>
      <c r="CN195" s="424"/>
      <c r="CO195" s="313"/>
      <c r="CP195" s="184"/>
      <c r="CQ195" s="169"/>
      <c r="CS195" s="203"/>
      <c r="CT195" s="424"/>
      <c r="CU195" s="424"/>
      <c r="CV195" s="313"/>
      <c r="CW195" s="184"/>
      <c r="CX195" s="169"/>
      <c r="CZ195" s="203"/>
      <c r="DA195" s="424"/>
      <c r="DB195" s="424"/>
      <c r="DC195" s="313"/>
      <c r="DD195" s="184"/>
      <c r="DE195" s="169"/>
      <c r="DG195" s="203"/>
      <c r="DH195" s="424"/>
      <c r="DI195" s="424"/>
      <c r="DJ195" s="313"/>
      <c r="DK195" s="184"/>
      <c r="DL195" s="169"/>
      <c r="DN195" s="203"/>
      <c r="DO195" s="424"/>
      <c r="DP195" s="424"/>
      <c r="DQ195" s="313"/>
      <c r="DR195" s="184"/>
      <c r="DS195" s="169"/>
    </row>
    <row r="196" spans="1:126" s="424" customFormat="1" ht="15" customHeight="1">
      <c r="A196" s="310">
        <f t="shared" si="119"/>
        <v>2024</v>
      </c>
      <c r="B196" s="311">
        <f t="shared" si="118"/>
        <v>84814</v>
      </c>
      <c r="C196" s="187"/>
      <c r="D196" s="312">
        <f t="shared" si="98"/>
        <v>19</v>
      </c>
      <c r="E196" s="188"/>
      <c r="F196" s="170">
        <f>AC180</f>
        <v>2</v>
      </c>
      <c r="G196" s="182">
        <f>AC185</f>
        <v>0.58488816556160661</v>
      </c>
      <c r="H196" s="200">
        <f>AC186</f>
        <v>11278.548999999999</v>
      </c>
      <c r="I196" s="314">
        <f t="shared" si="96"/>
        <v>84814</v>
      </c>
      <c r="J196" s="322">
        <f>ABS(B196-I196)/B196*100</f>
        <v>0</v>
      </c>
      <c r="K196" s="314">
        <f>(B196-I196)^2/1000</f>
        <v>0</v>
      </c>
      <c r="M196" s="203"/>
      <c r="Q196" s="184"/>
      <c r="R196" s="169"/>
      <c r="S196" s="184"/>
      <c r="T196" s="184"/>
      <c r="U196" s="184"/>
      <c r="V196" s="184"/>
      <c r="W196" s="184"/>
      <c r="X196" s="184"/>
      <c r="Y196" s="184"/>
      <c r="Z196" s="184"/>
      <c r="AA196" s="184"/>
      <c r="AB196" s="184"/>
      <c r="AC196" s="184"/>
      <c r="AD196" s="184"/>
      <c r="AE196" s="184"/>
      <c r="AF196" s="184"/>
      <c r="AH196" s="184"/>
      <c r="AI196" s="184"/>
      <c r="AJ196" s="184"/>
      <c r="AK196" s="184"/>
      <c r="AL196" s="184"/>
      <c r="AM196" s="184"/>
      <c r="AO196" s="184"/>
      <c r="AP196" s="184"/>
      <c r="AQ196" s="184"/>
      <c r="AR196" s="184"/>
      <c r="AS196" s="184"/>
      <c r="AT196" s="184"/>
      <c r="AV196" s="184"/>
      <c r="AW196" s="184"/>
      <c r="AX196" s="184"/>
      <c r="AY196" s="184"/>
      <c r="AZ196" s="184"/>
      <c r="BA196" s="184"/>
      <c r="BC196" s="184"/>
      <c r="BD196" s="184"/>
      <c r="BE196" s="184"/>
      <c r="BF196" s="184"/>
      <c r="BG196" s="184"/>
      <c r="BH196" s="184"/>
      <c r="BJ196" s="203"/>
      <c r="BN196" s="184"/>
      <c r="BO196" s="169"/>
      <c r="BQ196" s="203"/>
      <c r="BU196" s="184"/>
      <c r="BV196" s="169"/>
      <c r="BX196" s="203"/>
      <c r="CB196" s="184"/>
      <c r="CC196" s="169"/>
      <c r="CE196" s="203"/>
      <c r="CI196" s="184"/>
      <c r="CJ196" s="169"/>
      <c r="CL196" s="203"/>
      <c r="CP196" s="184"/>
      <c r="CQ196" s="169"/>
      <c r="CS196" s="203"/>
      <c r="CW196" s="184"/>
      <c r="CX196" s="169"/>
      <c r="CZ196" s="203"/>
      <c r="DD196" s="184"/>
      <c r="DE196" s="169"/>
      <c r="DG196" s="203"/>
      <c r="DK196" s="184"/>
      <c r="DL196" s="169"/>
      <c r="DN196" s="203"/>
      <c r="DR196" s="184"/>
      <c r="DS196" s="169"/>
    </row>
    <row r="197" spans="1:126" s="424" customFormat="1" ht="15" customHeight="1">
      <c r="A197" s="310">
        <f t="shared" si="119"/>
        <v>2025</v>
      </c>
      <c r="B197" s="311">
        <f t="shared" si="118"/>
        <v>84723</v>
      </c>
      <c r="C197" s="187"/>
      <c r="D197" s="312">
        <f t="shared" si="98"/>
        <v>20</v>
      </c>
      <c r="E197" s="188"/>
      <c r="F197" s="170">
        <f>AJ180</f>
        <v>3</v>
      </c>
      <c r="G197" s="182">
        <f>AJ185</f>
        <v>0.58488816556160661</v>
      </c>
      <c r="H197" s="200">
        <f>AJ186</f>
        <v>11278.548999999999</v>
      </c>
      <c r="I197" s="314">
        <f t="shared" si="96"/>
        <v>84723</v>
      </c>
      <c r="J197" s="322">
        <f>ABS(B197-I197)/B197*100</f>
        <v>0</v>
      </c>
      <c r="K197" s="314">
        <f>(B197-I197)^2/1000</f>
        <v>0</v>
      </c>
      <c r="M197" s="203"/>
      <c r="Q197" s="184"/>
      <c r="R197" s="169"/>
      <c r="S197" s="184"/>
      <c r="T197" s="184"/>
      <c r="U197" s="184"/>
      <c r="V197" s="184"/>
      <c r="W197" s="184"/>
      <c r="X197" s="184"/>
      <c r="Y197" s="184"/>
      <c r="Z197" s="184"/>
      <c r="AA197" s="184"/>
      <c r="AB197" s="184"/>
      <c r="AC197" s="184"/>
      <c r="AD197" s="184"/>
      <c r="AE197" s="184"/>
      <c r="AF197" s="184"/>
      <c r="AH197" s="184"/>
      <c r="AI197" s="184"/>
      <c r="AJ197" s="184"/>
      <c r="AK197" s="184"/>
      <c r="AL197" s="184"/>
      <c r="AM197" s="184"/>
      <c r="AO197" s="184"/>
      <c r="AP197" s="184"/>
      <c r="AQ197" s="184"/>
      <c r="AR197" s="184"/>
      <c r="AS197" s="184"/>
      <c r="AT197" s="184"/>
      <c r="AV197" s="184"/>
      <c r="AW197" s="184"/>
      <c r="AX197" s="184"/>
      <c r="AY197" s="184"/>
      <c r="AZ197" s="184"/>
      <c r="BA197" s="184"/>
      <c r="BC197" s="184"/>
      <c r="BD197" s="184"/>
      <c r="BE197" s="184"/>
      <c r="BF197" s="184"/>
      <c r="BG197" s="184"/>
      <c r="BH197" s="184"/>
      <c r="BJ197" s="203"/>
      <c r="BN197" s="184"/>
      <c r="BO197" s="169"/>
      <c r="BQ197" s="203"/>
      <c r="BU197" s="184"/>
      <c r="BV197" s="169"/>
      <c r="BX197" s="203"/>
      <c r="CB197" s="184"/>
      <c r="CC197" s="169"/>
      <c r="CE197" s="203"/>
      <c r="CI197" s="184"/>
      <c r="CJ197" s="169"/>
      <c r="CL197" s="203"/>
      <c r="CP197" s="184"/>
      <c r="CQ197" s="169"/>
      <c r="CS197" s="203"/>
      <c r="CW197" s="184"/>
      <c r="CX197" s="169"/>
      <c r="CZ197" s="203"/>
      <c r="DD197" s="184"/>
      <c r="DE197" s="169"/>
      <c r="DG197" s="203"/>
      <c r="DK197" s="184"/>
      <c r="DL197" s="169"/>
      <c r="DN197" s="203"/>
      <c r="DR197" s="184"/>
      <c r="DS197" s="169"/>
    </row>
    <row r="198" spans="1:126" s="424" customFormat="1" ht="15" customHeight="1">
      <c r="A198" s="310">
        <f t="shared" si="119"/>
        <v>2026</v>
      </c>
      <c r="B198" s="311">
        <f t="shared" si="118"/>
        <v>84637</v>
      </c>
      <c r="C198" s="187"/>
      <c r="D198" s="312">
        <f t="shared" si="98"/>
        <v>21</v>
      </c>
      <c r="E198" s="188"/>
      <c r="F198" s="170">
        <f>AQ180</f>
        <v>4</v>
      </c>
      <c r="G198" s="182">
        <f>AQ185</f>
        <v>0.58488816556160661</v>
      </c>
      <c r="H198" s="200">
        <f>AQ186</f>
        <v>11278.548999999999</v>
      </c>
      <c r="I198" s="314">
        <f t="shared" si="96"/>
        <v>84637</v>
      </c>
      <c r="J198" s="322">
        <f>ABS(B198-I198)/B198*100</f>
        <v>0</v>
      </c>
      <c r="K198" s="314">
        <f>(B198-I198)^2/1000</f>
        <v>0</v>
      </c>
      <c r="M198" s="203"/>
      <c r="Q198" s="184"/>
      <c r="R198" s="169"/>
      <c r="S198" s="184"/>
      <c r="T198" s="184"/>
      <c r="U198" s="184"/>
      <c r="V198" s="184"/>
      <c r="W198" s="184"/>
      <c r="X198" s="184"/>
      <c r="Y198" s="184"/>
      <c r="Z198" s="184"/>
      <c r="AA198" s="184"/>
      <c r="AB198" s="184"/>
      <c r="AC198" s="184"/>
      <c r="AD198" s="184"/>
      <c r="AE198" s="184"/>
      <c r="AF198" s="184"/>
      <c r="AH198" s="184"/>
      <c r="AI198" s="184"/>
      <c r="AJ198" s="184"/>
      <c r="AK198" s="184"/>
      <c r="AL198" s="184"/>
      <c r="AM198" s="184"/>
      <c r="AO198" s="184"/>
      <c r="AP198" s="184"/>
      <c r="AQ198" s="184"/>
      <c r="AR198" s="184"/>
      <c r="AS198" s="184"/>
      <c r="AT198" s="184"/>
      <c r="AV198" s="184"/>
      <c r="AW198" s="184"/>
      <c r="AX198" s="184"/>
      <c r="AY198" s="184"/>
      <c r="AZ198" s="184"/>
      <c r="BA198" s="184"/>
      <c r="BC198" s="184"/>
      <c r="BD198" s="184"/>
      <c r="BE198" s="184"/>
      <c r="BF198" s="184"/>
      <c r="BG198" s="184"/>
      <c r="BH198" s="184"/>
      <c r="BJ198" s="203"/>
      <c r="BN198" s="184"/>
      <c r="BO198" s="169"/>
      <c r="BQ198" s="203"/>
      <c r="BU198" s="184"/>
      <c r="BV198" s="169"/>
      <c r="BX198" s="203"/>
      <c r="CB198" s="184"/>
      <c r="CC198" s="169"/>
      <c r="CE198" s="203"/>
      <c r="CI198" s="184"/>
      <c r="CJ198" s="169"/>
      <c r="CL198" s="203"/>
      <c r="CP198" s="184"/>
      <c r="CQ198" s="169"/>
      <c r="CS198" s="203"/>
      <c r="CW198" s="184"/>
      <c r="CX198" s="169"/>
      <c r="CZ198" s="203"/>
      <c r="DD198" s="184"/>
      <c r="DE198" s="169"/>
      <c r="DG198" s="203"/>
      <c r="DK198" s="184"/>
      <c r="DL198" s="169"/>
      <c r="DN198" s="203"/>
      <c r="DR198" s="184"/>
      <c r="DS198" s="169"/>
    </row>
    <row r="199" spans="1:126" s="424" customFormat="1" ht="15" customHeight="1">
      <c r="A199" s="310">
        <f t="shared" si="119"/>
        <v>2027</v>
      </c>
      <c r="B199" s="311">
        <f t="shared" si="118"/>
        <v>84554</v>
      </c>
      <c r="C199" s="187"/>
      <c r="D199" s="312">
        <f t="shared" si="98"/>
        <v>22</v>
      </c>
      <c r="E199" s="188"/>
      <c r="F199" s="170">
        <f>AX180</f>
        <v>5</v>
      </c>
      <c r="G199" s="182">
        <f>AX185</f>
        <v>0.58488816556160661</v>
      </c>
      <c r="H199" s="200">
        <f>AX186</f>
        <v>11278.548999999999</v>
      </c>
      <c r="I199" s="314">
        <f t="shared" si="96"/>
        <v>84554</v>
      </c>
      <c r="J199" s="322">
        <f>ABS(B199-I199)/B199*100</f>
        <v>0</v>
      </c>
      <c r="K199" s="314">
        <f>(B199-I199)^2/1000</f>
        <v>0</v>
      </c>
      <c r="M199" s="203"/>
      <c r="Q199" s="184"/>
      <c r="R199" s="169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C199" s="184"/>
      <c r="AD199" s="184"/>
      <c r="AE199" s="184"/>
      <c r="AF199" s="184"/>
      <c r="AH199" s="184"/>
      <c r="AI199" s="184"/>
      <c r="AJ199" s="184"/>
      <c r="AK199" s="184"/>
      <c r="AL199" s="184"/>
      <c r="AM199" s="184"/>
      <c r="AO199" s="184"/>
      <c r="AP199" s="184"/>
      <c r="AQ199" s="184"/>
      <c r="AR199" s="184"/>
      <c r="AS199" s="184"/>
      <c r="AT199" s="184"/>
      <c r="AV199" s="184"/>
      <c r="AW199" s="184"/>
      <c r="AX199" s="184"/>
      <c r="AY199" s="184"/>
      <c r="AZ199" s="184"/>
      <c r="BA199" s="184"/>
      <c r="BC199" s="184"/>
      <c r="BD199" s="184"/>
      <c r="BE199" s="184"/>
      <c r="BF199" s="184"/>
      <c r="BG199" s="184"/>
      <c r="BH199" s="184"/>
      <c r="BJ199" s="203"/>
      <c r="BN199" s="184"/>
      <c r="BO199" s="169"/>
      <c r="BQ199" s="203"/>
      <c r="BU199" s="184"/>
      <c r="BV199" s="169"/>
      <c r="BX199" s="203"/>
      <c r="CB199" s="184"/>
      <c r="CC199" s="169"/>
      <c r="CE199" s="203"/>
      <c r="CI199" s="184"/>
      <c r="CJ199" s="169"/>
      <c r="CL199" s="203"/>
      <c r="CP199" s="184"/>
      <c r="CQ199" s="169"/>
      <c r="CS199" s="203"/>
      <c r="CW199" s="184"/>
      <c r="CX199" s="169"/>
      <c r="CZ199" s="203"/>
      <c r="DD199" s="184"/>
      <c r="DE199" s="169"/>
      <c r="DG199" s="203"/>
      <c r="DK199" s="184"/>
      <c r="DL199" s="169"/>
      <c r="DN199" s="203"/>
      <c r="DR199" s="184"/>
      <c r="DS199" s="169"/>
    </row>
    <row r="200" spans="1:126" ht="15" customHeight="1">
      <c r="A200" s="310">
        <f t="shared" si="119"/>
        <v>2028</v>
      </c>
      <c r="B200" s="311">
        <f t="shared" si="118"/>
        <v>84476</v>
      </c>
      <c r="C200" s="153"/>
      <c r="D200" s="312">
        <f t="shared" si="98"/>
        <v>23</v>
      </c>
      <c r="E200" s="312"/>
      <c r="F200" s="170">
        <f>BE180</f>
        <v>6</v>
      </c>
      <c r="G200" s="182">
        <f>BE185</f>
        <v>0.58488816556160661</v>
      </c>
      <c r="H200" s="200">
        <f>BE186</f>
        <v>11278.548999999999</v>
      </c>
      <c r="I200" s="314">
        <f t="shared" si="96"/>
        <v>84476</v>
      </c>
      <c r="J200" s="133"/>
      <c r="K200" s="133"/>
      <c r="S200" s="184"/>
      <c r="T200" s="184"/>
      <c r="U200" s="184"/>
      <c r="V200" s="184"/>
      <c r="W200" s="184"/>
      <c r="X200" s="184"/>
      <c r="Y200" s="184"/>
      <c r="Z200" s="184"/>
      <c r="BM200" s="424"/>
      <c r="BN200" s="424"/>
      <c r="BO200" s="424"/>
    </row>
    <row r="201" spans="1:126" ht="15" customHeight="1">
      <c r="A201" s="310">
        <f t="shared" si="119"/>
        <v>2029</v>
      </c>
      <c r="B201" s="311">
        <f t="shared" si="118"/>
        <v>84401</v>
      </c>
      <c r="C201" s="153"/>
      <c r="D201" s="312">
        <f t="shared" si="98"/>
        <v>24</v>
      </c>
      <c r="E201" s="312"/>
      <c r="F201" s="170">
        <f>BL180</f>
        <v>7</v>
      </c>
      <c r="G201" s="182">
        <f>BL185</f>
        <v>0.58488816556160661</v>
      </c>
      <c r="H201" s="200">
        <f>BL186</f>
        <v>11278.548999999999</v>
      </c>
      <c r="I201" s="314">
        <f t="shared" si="96"/>
        <v>84401</v>
      </c>
      <c r="J201" s="133"/>
      <c r="K201" s="133"/>
    </row>
    <row r="202" spans="1:126" ht="15" customHeight="1">
      <c r="A202" s="310">
        <f t="shared" si="119"/>
        <v>2030</v>
      </c>
      <c r="B202" s="311">
        <f t="shared" si="118"/>
        <v>84329</v>
      </c>
      <c r="C202" s="153"/>
      <c r="D202" s="312">
        <f t="shared" si="98"/>
        <v>25</v>
      </c>
      <c r="E202" s="312"/>
      <c r="F202" s="170">
        <f>BS180</f>
        <v>8</v>
      </c>
      <c r="G202" s="182">
        <f>BS185</f>
        <v>0.58488816556160661</v>
      </c>
      <c r="H202" s="200">
        <f>BS186</f>
        <v>11278.548999999999</v>
      </c>
      <c r="I202" s="314">
        <f t="shared" si="96"/>
        <v>84329</v>
      </c>
      <c r="J202" s="133"/>
      <c r="K202" s="133"/>
    </row>
    <row r="203" spans="1:126" ht="15" customHeight="1">
      <c r="A203" s="310">
        <f t="shared" si="119"/>
        <v>2031</v>
      </c>
      <c r="B203" s="311">
        <f t="shared" si="118"/>
        <v>84260</v>
      </c>
      <c r="C203" s="153"/>
      <c r="D203" s="312">
        <f t="shared" si="98"/>
        <v>26</v>
      </c>
      <c r="E203" s="312"/>
      <c r="F203" s="170">
        <f>BZ180</f>
        <v>9</v>
      </c>
      <c r="G203" s="182">
        <f>BZ185</f>
        <v>0.58488816556160661</v>
      </c>
      <c r="H203" s="200">
        <f>BZ186</f>
        <v>11278.548999999999</v>
      </c>
      <c r="I203" s="314">
        <f t="shared" si="96"/>
        <v>84260</v>
      </c>
      <c r="J203" s="133"/>
      <c r="K203" s="133"/>
    </row>
    <row r="204" spans="1:126" ht="15" customHeight="1">
      <c r="A204" s="310">
        <f t="shared" si="119"/>
        <v>2032</v>
      </c>
      <c r="B204" s="311">
        <f t="shared" si="118"/>
        <v>84193</v>
      </c>
      <c r="C204" s="153"/>
      <c r="D204" s="312">
        <f t="shared" si="98"/>
        <v>27</v>
      </c>
      <c r="E204" s="312"/>
      <c r="F204" s="170">
        <f>CG180</f>
        <v>10</v>
      </c>
      <c r="G204" s="182">
        <f>CG185</f>
        <v>0.58488816556160661</v>
      </c>
      <c r="H204" s="200">
        <f>CG186</f>
        <v>11278.548999999999</v>
      </c>
      <c r="I204" s="314">
        <f t="shared" si="96"/>
        <v>84193</v>
      </c>
      <c r="J204" s="133"/>
      <c r="K204" s="133"/>
    </row>
    <row r="205" spans="1:126" ht="15" customHeight="1">
      <c r="A205" s="310">
        <f t="shared" si="119"/>
        <v>2033</v>
      </c>
      <c r="B205" s="311">
        <f t="shared" si="118"/>
        <v>84129</v>
      </c>
      <c r="C205" s="153"/>
      <c r="D205" s="312">
        <f t="shared" si="98"/>
        <v>28</v>
      </c>
      <c r="E205" s="312"/>
      <c r="F205" s="170">
        <f>CN180</f>
        <v>11</v>
      </c>
      <c r="G205" s="182">
        <f>CN185</f>
        <v>0.58488816556160661</v>
      </c>
      <c r="H205" s="200">
        <f>CN186</f>
        <v>11278.548999999999</v>
      </c>
      <c r="I205" s="314">
        <f t="shared" si="96"/>
        <v>84129</v>
      </c>
      <c r="J205" s="133"/>
      <c r="K205" s="133"/>
    </row>
    <row r="206" spans="1:126" ht="15" customHeight="1">
      <c r="A206" s="310">
        <f t="shared" si="119"/>
        <v>2034</v>
      </c>
      <c r="B206" s="311">
        <f t="shared" si="118"/>
        <v>84068</v>
      </c>
      <c r="C206" s="153"/>
      <c r="D206" s="312">
        <f t="shared" si="98"/>
        <v>29</v>
      </c>
      <c r="E206" s="312"/>
      <c r="F206" s="170">
        <f>CU180</f>
        <v>12</v>
      </c>
      <c r="G206" s="182">
        <f>CU185</f>
        <v>0.58488816556160661</v>
      </c>
      <c r="H206" s="200">
        <f>CU186</f>
        <v>11278.548999999999</v>
      </c>
      <c r="I206" s="314">
        <f t="shared" si="96"/>
        <v>84068</v>
      </c>
      <c r="J206" s="133"/>
      <c r="K206" s="133"/>
    </row>
    <row r="207" spans="1:126" ht="15" customHeight="1">
      <c r="A207" s="310">
        <f t="shared" si="119"/>
        <v>2035</v>
      </c>
      <c r="B207" s="311">
        <f t="shared" si="118"/>
        <v>84008</v>
      </c>
      <c r="C207" s="153"/>
      <c r="D207" s="312">
        <f t="shared" si="98"/>
        <v>30</v>
      </c>
      <c r="E207" s="312"/>
      <c r="F207" s="170">
        <f>DB180</f>
        <v>13</v>
      </c>
      <c r="G207" s="182">
        <f>DB185</f>
        <v>0.58488816556160661</v>
      </c>
      <c r="H207" s="200">
        <f>DB186</f>
        <v>11278.548999999999</v>
      </c>
      <c r="I207" s="314">
        <f t="shared" si="96"/>
        <v>84008</v>
      </c>
      <c r="J207" s="133"/>
      <c r="K207" s="133"/>
    </row>
    <row r="208" spans="1:126" ht="15" customHeight="1">
      <c r="A208" s="310">
        <f t="shared" si="119"/>
        <v>2036</v>
      </c>
      <c r="B208" s="311">
        <f t="shared" si="118"/>
        <v>83951</v>
      </c>
      <c r="C208" s="153"/>
      <c r="D208" s="312">
        <f t="shared" si="98"/>
        <v>31</v>
      </c>
      <c r="E208" s="312"/>
      <c r="F208" s="205">
        <f>DI180</f>
        <v>14</v>
      </c>
      <c r="G208" s="182">
        <f>DI185</f>
        <v>0.58488816556160661</v>
      </c>
      <c r="H208" s="200">
        <f>DI186</f>
        <v>11278.548999999999</v>
      </c>
      <c r="I208" s="314">
        <f t="shared" si="96"/>
        <v>83951</v>
      </c>
      <c r="J208" s="133"/>
      <c r="K208" s="133"/>
    </row>
    <row r="209" spans="1:65" ht="15" customHeight="1">
      <c r="A209" s="310">
        <f t="shared" si="119"/>
        <v>2037</v>
      </c>
      <c r="B209" s="311">
        <f t="shared" si="118"/>
        <v>83895</v>
      </c>
      <c r="C209" s="153"/>
      <c r="D209" s="312">
        <f t="shared" si="98"/>
        <v>32</v>
      </c>
      <c r="E209" s="312"/>
      <c r="F209" s="206">
        <f>DP180</f>
        <v>15</v>
      </c>
      <c r="G209" s="207">
        <f>DP185</f>
        <v>0.58488816556160661</v>
      </c>
      <c r="H209" s="208">
        <f>DP186</f>
        <v>11278.548999999999</v>
      </c>
      <c r="I209" s="314">
        <f t="shared" si="96"/>
        <v>83895</v>
      </c>
      <c r="J209" s="133"/>
      <c r="K209" s="133"/>
    </row>
    <row r="210" spans="1:65" ht="15" customHeight="1">
      <c r="A210" s="323">
        <f t="shared" si="119"/>
        <v>2038</v>
      </c>
      <c r="B210" s="324">
        <f t="shared" si="118"/>
        <v>83841</v>
      </c>
      <c r="C210" s="155"/>
      <c r="D210" s="312">
        <f t="shared" si="98"/>
        <v>33</v>
      </c>
      <c r="E210" s="328"/>
      <c r="F210" s="209"/>
      <c r="G210" s="210"/>
      <c r="H210" s="211"/>
      <c r="I210" s="326">
        <f t="shared" si="96"/>
        <v>83841</v>
      </c>
      <c r="J210" s="327"/>
      <c r="K210" s="327"/>
    </row>
    <row r="211" spans="1:65" ht="15" customHeight="1">
      <c r="A211" s="134"/>
      <c r="B211" s="135"/>
      <c r="C211" s="424"/>
      <c r="D211" s="313"/>
      <c r="E211" s="313"/>
      <c r="F211" s="158"/>
      <c r="G211" s="212"/>
      <c r="H211" s="213"/>
      <c r="I211" s="166"/>
      <c r="J211" s="166"/>
      <c r="N211" s="214"/>
    </row>
    <row r="212" spans="1:65" ht="15" customHeight="1">
      <c r="A212" s="111" t="s">
        <v>496</v>
      </c>
    </row>
    <row r="213" spans="1:65" ht="15" customHeight="1">
      <c r="A213" s="113" t="s">
        <v>320</v>
      </c>
      <c r="B213" s="114" t="s">
        <v>497</v>
      </c>
      <c r="C213" s="115" t="s">
        <v>498</v>
      </c>
      <c r="D213" s="115" t="s">
        <v>499</v>
      </c>
      <c r="E213" s="137"/>
      <c r="F213" s="116"/>
      <c r="G213" s="117"/>
      <c r="H213" s="118" t="s">
        <v>1054</v>
      </c>
      <c r="I213" s="119">
        <f>RSQ(I215:I224,B215:B224)</f>
        <v>0.85986898086849617</v>
      </c>
      <c r="J213" s="120" t="s">
        <v>500</v>
      </c>
      <c r="K213" s="121" t="s">
        <v>501</v>
      </c>
      <c r="M213" s="215" t="s">
        <v>498</v>
      </c>
      <c r="N213" s="161" t="s">
        <v>1055</v>
      </c>
      <c r="O213" s="137"/>
      <c r="P213" s="162">
        <f>RSQ($B215:$B224,P215:P224)</f>
        <v>0.87074795477691547</v>
      </c>
      <c r="Q213" s="121" t="s">
        <v>501</v>
      </c>
      <c r="S213" s="215" t="s">
        <v>498</v>
      </c>
      <c r="T213" s="161" t="s">
        <v>1055</v>
      </c>
      <c r="U213" s="137"/>
      <c r="V213" s="162">
        <f>RSQ($B215:$B224,V215:V224)</f>
        <v>0.87481132803967343</v>
      </c>
      <c r="W213" s="121" t="s">
        <v>501</v>
      </c>
      <c r="Y213" s="215" t="s">
        <v>498</v>
      </c>
      <c r="Z213" s="161" t="s">
        <v>1055</v>
      </c>
      <c r="AA213" s="137"/>
      <c r="AB213" s="162">
        <f>RSQ($B215:$B224,AB215:AB224)</f>
        <v>0.87207098406883277</v>
      </c>
      <c r="AC213" s="121" t="s">
        <v>501</v>
      </c>
      <c r="AE213" s="215" t="s">
        <v>498</v>
      </c>
      <c r="AF213" s="161" t="s">
        <v>1055</v>
      </c>
      <c r="AG213" s="137"/>
      <c r="AH213" s="162">
        <f>RSQ($B215:$B224,AH215:AH224)</f>
        <v>0.86943566822016871</v>
      </c>
      <c r="AI213" s="121" t="s">
        <v>501</v>
      </c>
      <c r="AK213" s="215" t="s">
        <v>498</v>
      </c>
      <c r="AL213" s="161" t="s">
        <v>1055</v>
      </c>
      <c r="AM213" s="137"/>
      <c r="AN213" s="162">
        <f>RSQ($B215:$B224,AN215:AN224)</f>
        <v>0.86715116172254536</v>
      </c>
      <c r="AO213" s="121" t="s">
        <v>501</v>
      </c>
      <c r="AQ213" s="215" t="s">
        <v>498</v>
      </c>
      <c r="AR213" s="161" t="s">
        <v>1055</v>
      </c>
      <c r="AS213" s="137"/>
      <c r="AT213" s="162">
        <f>RSQ($B215:$B224,AT215:AT224)</f>
        <v>0.86512991176484155</v>
      </c>
      <c r="AU213" s="121" t="s">
        <v>501</v>
      </c>
      <c r="AW213" s="215" t="s">
        <v>498</v>
      </c>
      <c r="AX213" s="161" t="s">
        <v>1055</v>
      </c>
      <c r="AY213" s="137"/>
      <c r="AZ213" s="162">
        <f>RSQ($B215:$B224,AZ215:AZ224)</f>
        <v>0.86320991720793283</v>
      </c>
      <c r="BA213" s="121" t="s">
        <v>501</v>
      </c>
      <c r="BC213" s="215" t="s">
        <v>498</v>
      </c>
      <c r="BD213" s="161" t="s">
        <v>1055</v>
      </c>
      <c r="BE213" s="137"/>
      <c r="BF213" s="162">
        <f>RSQ($B215:$B224,BF215:BF224)</f>
        <v>0.86150047262609653</v>
      </c>
      <c r="BG213" s="121" t="s">
        <v>501</v>
      </c>
      <c r="BI213" s="215" t="s">
        <v>498</v>
      </c>
      <c r="BJ213" s="161" t="s">
        <v>1055</v>
      </c>
      <c r="BK213" s="137"/>
      <c r="BL213" s="162">
        <f>RSQ($B215:$B224,BL215:BL224)</f>
        <v>0.85986898086849617</v>
      </c>
      <c r="BM213" s="121" t="s">
        <v>501</v>
      </c>
    </row>
    <row r="214" spans="1:65" ht="15" customHeight="1">
      <c r="A214" s="310">
        <f t="shared" ref="A214:B229" si="120">A177</f>
        <v>2005</v>
      </c>
      <c r="B214" s="311">
        <f t="shared" si="120"/>
        <v>90931</v>
      </c>
      <c r="C214" s="216" t="e">
        <f>LN(F$217/B214-1)</f>
        <v>#NUM!</v>
      </c>
      <c r="D214" s="312"/>
      <c r="E214" s="139" t="s">
        <v>502</v>
      </c>
      <c r="F214" s="313"/>
      <c r="H214" s="217"/>
      <c r="I214" s="314">
        <f t="shared" ref="I214:I247" si="121">ROUND($F$217/(1+EXP($F$222+$F$221*D214)),$G$1)</f>
        <v>89347</v>
      </c>
      <c r="J214" s="143">
        <f>ABS(B214-I214)/B214*100</f>
        <v>1.7419801827759509</v>
      </c>
      <c r="K214" s="143">
        <f>(B214-I214)^2/1000</f>
        <v>2509.056</v>
      </c>
      <c r="M214" s="218" t="e">
        <f t="shared" ref="M214:M224" si="122">LN(O$216/$B214-1)</f>
        <v>#NUM!</v>
      </c>
      <c r="N214" s="139" t="s">
        <v>503</v>
      </c>
      <c r="P214" s="133">
        <f t="shared" ref="P214:P224" si="123">ROUND(O$216/(1+EXP(O$220+O$219*$D214)),$G$1)</f>
        <v>89513</v>
      </c>
      <c r="Q214" s="315">
        <f>($B214-P214)^2/1000</f>
        <v>2010.7239999999999</v>
      </c>
      <c r="S214" s="218" t="e">
        <f t="shared" ref="S214:S224" si="124">LN(U$216/$B214-1)</f>
        <v>#NUM!</v>
      </c>
      <c r="T214" s="139" t="s">
        <v>503</v>
      </c>
      <c r="V214" s="133">
        <f t="shared" ref="V214:V224" si="125">ROUND(U$216/(1+EXP(U$220+U$219*$D214)),$G$1)</f>
        <v>89427</v>
      </c>
      <c r="W214" s="315">
        <f>($B214-V214)^2/1000</f>
        <v>2262.0160000000001</v>
      </c>
      <c r="Y214" s="218" t="e">
        <f t="shared" ref="Y214:Y224" si="126">LN(AA$216/$B214-1)</f>
        <v>#NUM!</v>
      </c>
      <c r="Z214" s="139" t="s">
        <v>503</v>
      </c>
      <c r="AB214" s="133">
        <f t="shared" ref="AB214:AB224" si="127">ROUND(AA$216/(1+EXP(AA$220+AA$219*$D214)),$G$1)</f>
        <v>89399</v>
      </c>
      <c r="AC214" s="315">
        <f>($B214-AB214)^2/1000</f>
        <v>2347.0239999999999</v>
      </c>
      <c r="AE214" s="218" t="e">
        <f t="shared" ref="AE214:AE224" si="128">LN(AG$216/$B214-1)</f>
        <v>#NUM!</v>
      </c>
      <c r="AF214" s="139" t="s">
        <v>503</v>
      </c>
      <c r="AH214" s="133">
        <f t="shared" ref="AH214:AH224" si="129">ROUND(AG$216/(1+EXP(AG$220+AG$219*$D214)),$G$1)</f>
        <v>89382</v>
      </c>
      <c r="AI214" s="315">
        <f>($B214-AH214)^2/1000</f>
        <v>2399.4009999999998</v>
      </c>
      <c r="AK214" s="218" t="e">
        <f t="shared" ref="AK214:AK224" si="130">LN(AM$216/$B214-1)</f>
        <v>#NUM!</v>
      </c>
      <c r="AL214" s="139" t="s">
        <v>503</v>
      </c>
      <c r="AN214" s="133">
        <f t="shared" ref="AN214:AN224" si="131">ROUND(AM$216/(1+EXP(AM$220+AM$219*$D214)),$G$1)</f>
        <v>89370</v>
      </c>
      <c r="AO214" s="315">
        <f>($B214-AN214)^2/1000</f>
        <v>2436.721</v>
      </c>
      <c r="AQ214" s="218" t="e">
        <f t="shared" ref="AQ214:AQ224" si="132">LN(AS$216/$B214-1)</f>
        <v>#NUM!</v>
      </c>
      <c r="AR214" s="139" t="s">
        <v>503</v>
      </c>
      <c r="AT214" s="133">
        <f t="shared" ref="AT214:AT224" si="133">ROUND(AS$216/(1+EXP(AS$220+AS$219*$D214)),$G$1)</f>
        <v>89362</v>
      </c>
      <c r="AU214" s="315">
        <f>($B214-AT214)^2/1000</f>
        <v>2461.761</v>
      </c>
      <c r="AW214" s="218" t="e">
        <f t="shared" ref="AW214:AW224" si="134">LN(AY$216/$B214-1)</f>
        <v>#NUM!</v>
      </c>
      <c r="AX214" s="139" t="s">
        <v>503</v>
      </c>
      <c r="AZ214" s="133">
        <f t="shared" ref="AZ214:AZ224" si="135">ROUND(AY$216/(1+EXP(AY$220+AY$219*$D214)),$G$1)</f>
        <v>89355</v>
      </c>
      <c r="BA214" s="315">
        <f>($B214-AZ214)^2/1000</f>
        <v>2483.7759999999998</v>
      </c>
      <c r="BC214" s="218" t="e">
        <f t="shared" ref="BC214:BC224" si="136">LN(BE$216/$B214-1)</f>
        <v>#NUM!</v>
      </c>
      <c r="BD214" s="139" t="s">
        <v>503</v>
      </c>
      <c r="BF214" s="133">
        <f t="shared" ref="BF214:BF224" si="137">ROUND(BE$216/(1+EXP(BE$220+BE$219*$D214)),$G$1)</f>
        <v>89351</v>
      </c>
      <c r="BG214" s="315">
        <f>($B214-BF214)^2/1000</f>
        <v>2496.4</v>
      </c>
      <c r="BI214" s="218" t="e">
        <f t="shared" ref="BI214:BI224" si="138">LN(BK$216/$B214-1)</f>
        <v>#NUM!</v>
      </c>
      <c r="BJ214" s="139" t="s">
        <v>503</v>
      </c>
      <c r="BL214" s="133">
        <f t="shared" ref="BL214:BL224" si="139">ROUND(BK$216/(1+EXP(BK$220+BK$219*$D214)),$G$1)</f>
        <v>89347</v>
      </c>
      <c r="BM214" s="315">
        <f>($B214-BL214)^2/1000</f>
        <v>2509.056</v>
      </c>
    </row>
    <row r="215" spans="1:65" ht="15" customHeight="1">
      <c r="A215" s="310">
        <f t="shared" si="120"/>
        <v>2006</v>
      </c>
      <c r="B215" s="311">
        <f t="shared" si="120"/>
        <v>89555</v>
      </c>
      <c r="C215" s="216">
        <f>LN(F$217/B215-1)</f>
        <v>-6.3212038756748568</v>
      </c>
      <c r="D215" s="312">
        <v>1</v>
      </c>
      <c r="E215" s="139" t="s">
        <v>504</v>
      </c>
      <c r="F215" s="313"/>
      <c r="H215" s="217"/>
      <c r="I215" s="314">
        <f t="shared" si="121"/>
        <v>89230</v>
      </c>
      <c r="J215" s="143">
        <f>ABS(B215-I215)/B215*100</f>
        <v>0.36290547708112336</v>
      </c>
      <c r="K215" s="143">
        <f>(B215-I215)^2/1000</f>
        <v>105.625</v>
      </c>
      <c r="M215" s="218">
        <f t="shared" si="122"/>
        <v>-11.402608240667471</v>
      </c>
      <c r="N215" s="139" t="s">
        <v>504</v>
      </c>
      <c r="P215" s="133">
        <f t="shared" si="123"/>
        <v>89480</v>
      </c>
      <c r="Q215" s="315">
        <f>($B215-P215)^2/1000</f>
        <v>5.625</v>
      </c>
      <c r="S215" s="218">
        <f t="shared" si="124"/>
        <v>-8.3580858029355269</v>
      </c>
      <c r="T215" s="139" t="s">
        <v>504</v>
      </c>
      <c r="V215" s="133">
        <f t="shared" si="125"/>
        <v>89356</v>
      </c>
      <c r="W215" s="315">
        <f>($B215-V215)^2/1000</f>
        <v>39.600999999999999</v>
      </c>
      <c r="Y215" s="218">
        <f t="shared" si="126"/>
        <v>-7.6890361739549187</v>
      </c>
      <c r="Z215" s="139" t="s">
        <v>504</v>
      </c>
      <c r="AB215" s="133">
        <f t="shared" si="127"/>
        <v>89315</v>
      </c>
      <c r="AC215" s="315">
        <f>($B215-AB215)^2/1000</f>
        <v>57.6</v>
      </c>
      <c r="AE215" s="218">
        <f t="shared" si="128"/>
        <v>-7.2917343764860103</v>
      </c>
      <c r="AF215" s="139" t="s">
        <v>504</v>
      </c>
      <c r="AH215" s="133">
        <f t="shared" si="129"/>
        <v>89289</v>
      </c>
      <c r="AI215" s="315">
        <f>($B215-AH215)^2/1000</f>
        <v>70.756</v>
      </c>
      <c r="AK215" s="218">
        <f t="shared" si="130"/>
        <v>-7.0081590859869314</v>
      </c>
      <c r="AL215" s="139" t="s">
        <v>504</v>
      </c>
      <c r="AN215" s="133">
        <f t="shared" si="131"/>
        <v>89271</v>
      </c>
      <c r="AO215" s="315">
        <f>($B215-AN215)^2/1000</f>
        <v>80.656000000000006</v>
      </c>
      <c r="AQ215" s="218">
        <f t="shared" si="132"/>
        <v>-6.7874877238181401</v>
      </c>
      <c r="AR215" s="139" t="s">
        <v>504</v>
      </c>
      <c r="AT215" s="133">
        <f t="shared" si="133"/>
        <v>89257</v>
      </c>
      <c r="AU215" s="315">
        <f>($B215-AT215)^2/1000</f>
        <v>88.804000000000002</v>
      </c>
      <c r="AW215" s="218">
        <f t="shared" si="134"/>
        <v>-6.606817695062678</v>
      </c>
      <c r="AX215" s="139" t="s">
        <v>504</v>
      </c>
      <c r="AZ215" s="133">
        <f t="shared" si="135"/>
        <v>89246</v>
      </c>
      <c r="BA215" s="315">
        <f>($B215-AZ215)^2/1000</f>
        <v>95.480999999999995</v>
      </c>
      <c r="BC215" s="218">
        <f t="shared" si="136"/>
        <v>-6.4538483502811239</v>
      </c>
      <c r="BD215" s="139" t="s">
        <v>504</v>
      </c>
      <c r="BF215" s="133">
        <f t="shared" si="137"/>
        <v>89237</v>
      </c>
      <c r="BG215" s="315">
        <f>($B215-BF215)^2/1000</f>
        <v>101.124</v>
      </c>
      <c r="BI215" s="218">
        <f t="shared" si="138"/>
        <v>-6.3212038756748568</v>
      </c>
      <c r="BJ215" s="139" t="s">
        <v>504</v>
      </c>
      <c r="BL215" s="133">
        <f t="shared" si="139"/>
        <v>89230</v>
      </c>
      <c r="BM215" s="315">
        <f>($B215-BL215)^2/1000</f>
        <v>105.625</v>
      </c>
    </row>
    <row r="216" spans="1:65" ht="15" customHeight="1">
      <c r="A216" s="310">
        <f t="shared" si="120"/>
        <v>2007</v>
      </c>
      <c r="B216" s="311">
        <f t="shared" si="120"/>
        <v>88685</v>
      </c>
      <c r="C216" s="216">
        <f>LN(F$217/B216-1)</f>
        <v>-4.4545615606227207</v>
      </c>
      <c r="D216" s="312">
        <f>D215+1</f>
        <v>2</v>
      </c>
      <c r="E216" s="192"/>
      <c r="G216" s="424"/>
      <c r="H216" s="124"/>
      <c r="I216" s="314">
        <f t="shared" si="121"/>
        <v>89075</v>
      </c>
      <c r="J216" s="143">
        <f>ABS(B216-I216)/B216*100</f>
        <v>0.43975869651012006</v>
      </c>
      <c r="K216" s="143">
        <f>(B216-I216)^2/1000</f>
        <v>152.1</v>
      </c>
      <c r="M216" s="218">
        <f t="shared" si="122"/>
        <v>-4.6232040677871771</v>
      </c>
      <c r="N216" s="192" t="s">
        <v>505</v>
      </c>
      <c r="O216" s="219">
        <f>ROUNDDOWN(O217,0)+1</f>
        <v>89556</v>
      </c>
      <c r="P216" s="133">
        <f t="shared" si="123"/>
        <v>89423</v>
      </c>
      <c r="Q216" s="315">
        <f>($B216-P216)^2/1000</f>
        <v>544.64400000000001</v>
      </c>
      <c r="S216" s="218">
        <f t="shared" si="124"/>
        <v>-4.6005016171688871</v>
      </c>
      <c r="T216" s="192" t="s">
        <v>505</v>
      </c>
      <c r="U216" s="219">
        <f>O216+U227</f>
        <v>89576</v>
      </c>
      <c r="V216" s="133">
        <f t="shared" si="125"/>
        <v>89250</v>
      </c>
      <c r="W216" s="315">
        <f>($B216-V216)^2/1000</f>
        <v>319.22500000000002</v>
      </c>
      <c r="Y216" s="218">
        <f t="shared" si="126"/>
        <v>-4.5783031473797324</v>
      </c>
      <c r="Z216" s="192" t="s">
        <v>505</v>
      </c>
      <c r="AA216" s="219">
        <f>U216+AA227</f>
        <v>89596</v>
      </c>
      <c r="AB216" s="133">
        <f t="shared" si="127"/>
        <v>89195</v>
      </c>
      <c r="AC216" s="315">
        <f>($B216-AB216)^2/1000</f>
        <v>260.10000000000002</v>
      </c>
      <c r="AE216" s="218">
        <f t="shared" si="128"/>
        <v>-4.556586767362619</v>
      </c>
      <c r="AF216" s="192" t="s">
        <v>505</v>
      </c>
      <c r="AG216" s="219">
        <f>AA216+AG227</f>
        <v>89616</v>
      </c>
      <c r="AH216" s="133">
        <f t="shared" si="129"/>
        <v>89160</v>
      </c>
      <c r="AI216" s="315">
        <f>($B216-AH216)^2/1000</f>
        <v>225.625</v>
      </c>
      <c r="AK216" s="218">
        <f t="shared" si="130"/>
        <v>-4.5353319820942906</v>
      </c>
      <c r="AL216" s="192" t="s">
        <v>505</v>
      </c>
      <c r="AM216" s="219">
        <f>AG216+AM227</f>
        <v>89636</v>
      </c>
      <c r="AN216" s="133">
        <f t="shared" si="131"/>
        <v>89135</v>
      </c>
      <c r="AO216" s="315">
        <f>($B216-AN216)^2/1000</f>
        <v>202.5</v>
      </c>
      <c r="AQ216" s="218">
        <f t="shared" si="132"/>
        <v>-4.5145195763483708</v>
      </c>
      <c r="AR216" s="192" t="s">
        <v>505</v>
      </c>
      <c r="AS216" s="219">
        <f>AM216+AS227</f>
        <v>89656</v>
      </c>
      <c r="AT216" s="133">
        <f t="shared" si="133"/>
        <v>89116</v>
      </c>
      <c r="AU216" s="315">
        <f>($B216-AT216)^2/1000</f>
        <v>185.761</v>
      </c>
      <c r="AW216" s="218">
        <f t="shared" si="134"/>
        <v>-4.4941315103097024</v>
      </c>
      <c r="AX216" s="192" t="s">
        <v>505</v>
      </c>
      <c r="AY216" s="219">
        <f>AS216+AY227</f>
        <v>89676</v>
      </c>
      <c r="AZ216" s="133">
        <f t="shared" si="135"/>
        <v>89100</v>
      </c>
      <c r="BA216" s="315">
        <f>($B216-AZ216)^2/1000</f>
        <v>172.22499999999999</v>
      </c>
      <c r="BC216" s="218">
        <f t="shared" si="136"/>
        <v>-4.4741508256192146</v>
      </c>
      <c r="BD216" s="192" t="s">
        <v>505</v>
      </c>
      <c r="BE216" s="219">
        <f>AY216+BE227</f>
        <v>89696</v>
      </c>
      <c r="BF216" s="133">
        <f t="shared" si="137"/>
        <v>89086</v>
      </c>
      <c r="BG216" s="315">
        <f>($B216-BF216)^2/1000</f>
        <v>160.80099999999999</v>
      </c>
      <c r="BI216" s="218">
        <f t="shared" si="138"/>
        <v>-4.4545615606227207</v>
      </c>
      <c r="BJ216" s="192" t="s">
        <v>505</v>
      </c>
      <c r="BK216" s="219">
        <f>BE216+BK227</f>
        <v>89716</v>
      </c>
      <c r="BL216" s="133">
        <f t="shared" si="139"/>
        <v>89075</v>
      </c>
      <c r="BM216" s="315">
        <f>($B216-BL216)^2/1000</f>
        <v>152.1</v>
      </c>
    </row>
    <row r="217" spans="1:65" ht="15" customHeight="1">
      <c r="A217" s="310">
        <f t="shared" si="120"/>
        <v>2008</v>
      </c>
      <c r="B217" s="311">
        <f t="shared" si="120"/>
        <v>88176</v>
      </c>
      <c r="C217" s="216">
        <f t="shared" ref="C217:C224" si="140">LN(F$217/B217-1)</f>
        <v>-4.0475524007153441</v>
      </c>
      <c r="D217" s="312">
        <f t="shared" ref="D217:D247" si="141">D216+1</f>
        <v>3</v>
      </c>
      <c r="E217" s="192" t="s">
        <v>505</v>
      </c>
      <c r="F217" s="219">
        <f>E242</f>
        <v>89716</v>
      </c>
      <c r="G217" s="424"/>
      <c r="I217" s="314">
        <f t="shared" si="121"/>
        <v>88871</v>
      </c>
      <c r="J217" s="143">
        <f t="shared" ref="J217:J223" si="142">ABS(B217-I217)/B217*100</f>
        <v>0.78819633460352023</v>
      </c>
      <c r="K217" s="143">
        <f t="shared" ref="K217:K223" si="143">(B217-I217)^2/1000</f>
        <v>483.02499999999998</v>
      </c>
      <c r="M217" s="218">
        <f t="shared" si="122"/>
        <v>-4.1572513179717623</v>
      </c>
      <c r="N217" s="220" t="s">
        <v>506</v>
      </c>
      <c r="O217" s="170">
        <f>MAX($B215:$B224)</f>
        <v>89555</v>
      </c>
      <c r="P217" s="133">
        <f t="shared" si="123"/>
        <v>89323</v>
      </c>
      <c r="Q217" s="315">
        <f t="shared" ref="Q217:Q223" si="144">($B217-P217)^2/1000</f>
        <v>1315.6089999999999</v>
      </c>
      <c r="S217" s="218">
        <f t="shared" si="124"/>
        <v>-4.1428625805196724</v>
      </c>
      <c r="T217" s="220" t="s">
        <v>506</v>
      </c>
      <c r="U217" s="170">
        <f>MAX($B215:$B224)</f>
        <v>89555</v>
      </c>
      <c r="V217" s="133">
        <f t="shared" si="125"/>
        <v>89094</v>
      </c>
      <c r="W217" s="315">
        <f t="shared" ref="W217:W224" si="145">($B217-V217)^2/1000</f>
        <v>842.72400000000005</v>
      </c>
      <c r="Y217" s="218">
        <f t="shared" si="126"/>
        <v>-4.1286779455277118</v>
      </c>
      <c r="Z217" s="220" t="s">
        <v>506</v>
      </c>
      <c r="AA217" s="170">
        <f>MAX($B215:$B224)</f>
        <v>89555</v>
      </c>
      <c r="AB217" s="133">
        <f t="shared" si="127"/>
        <v>89024</v>
      </c>
      <c r="AC217" s="315">
        <f t="shared" ref="AC217:AC224" si="146">($B217-AB217)^2/1000</f>
        <v>719.10400000000004</v>
      </c>
      <c r="AE217" s="218">
        <f t="shared" si="128"/>
        <v>-4.1146917035529675</v>
      </c>
      <c r="AF217" s="220" t="s">
        <v>506</v>
      </c>
      <c r="AG217" s="170">
        <f>MAX($B215:$B224)</f>
        <v>89555</v>
      </c>
      <c r="AH217" s="133">
        <f t="shared" si="129"/>
        <v>88981</v>
      </c>
      <c r="AI217" s="315">
        <f t="shared" ref="AI217:AI224" si="147">($B217-AH217)^2/1000</f>
        <v>648.02499999999998</v>
      </c>
      <c r="AK217" s="218">
        <f t="shared" si="130"/>
        <v>-4.1008983814206408</v>
      </c>
      <c r="AL217" s="220" t="s">
        <v>506</v>
      </c>
      <c r="AM217" s="170">
        <f>MAX($B215:$B224)</f>
        <v>89555</v>
      </c>
      <c r="AN217" s="133">
        <f t="shared" si="131"/>
        <v>88949</v>
      </c>
      <c r="AO217" s="315">
        <f t="shared" ref="AO217:AO224" si="148">($B217-AN217)^2/1000</f>
        <v>597.529</v>
      </c>
      <c r="AQ217" s="218">
        <f t="shared" si="132"/>
        <v>-4.087292729364858</v>
      </c>
      <c r="AR217" s="220" t="s">
        <v>506</v>
      </c>
      <c r="AS217" s="170">
        <f>MAX($B215:$B224)</f>
        <v>89555</v>
      </c>
      <c r="AT217" s="133">
        <f t="shared" si="133"/>
        <v>88924</v>
      </c>
      <c r="AU217" s="315">
        <f t="shared" ref="AU217:AU224" si="149">($B217-AT217)^2/1000</f>
        <v>559.50400000000002</v>
      </c>
      <c r="AW217" s="218">
        <f t="shared" si="134"/>
        <v>-4.0738697090327127</v>
      </c>
      <c r="AX217" s="220" t="s">
        <v>506</v>
      </c>
      <c r="AY217" s="170">
        <f>MAX($B215:$B224)</f>
        <v>89555</v>
      </c>
      <c r="AZ217" s="133">
        <f t="shared" si="135"/>
        <v>88904</v>
      </c>
      <c r="BA217" s="315">
        <f t="shared" ref="BA217:BA224" si="150">($B217-AZ217)^2/1000</f>
        <v>529.98400000000004</v>
      </c>
      <c r="BC217" s="218">
        <f t="shared" si="136"/>
        <v>-4.0606244822827007</v>
      </c>
      <c r="BD217" s="220" t="s">
        <v>506</v>
      </c>
      <c r="BE217" s="170">
        <f>MAX($B215:$B224)</f>
        <v>89555</v>
      </c>
      <c r="BF217" s="133">
        <f t="shared" si="137"/>
        <v>88886</v>
      </c>
      <c r="BG217" s="315">
        <f t="shared" ref="BG217:BG224" si="151">($B217-BF217)^2/1000</f>
        <v>504.1</v>
      </c>
      <c r="BI217" s="218">
        <f t="shared" si="138"/>
        <v>-4.0475524007153441</v>
      </c>
      <c r="BJ217" s="220" t="s">
        <v>506</v>
      </c>
      <c r="BK217" s="170">
        <f>MAX($B215:$B224)</f>
        <v>89555</v>
      </c>
      <c r="BL217" s="133">
        <f t="shared" si="139"/>
        <v>88871</v>
      </c>
      <c r="BM217" s="315">
        <f t="shared" ref="BM217:BM224" si="152">($B217-BL217)^2/1000</f>
        <v>483.02499999999998</v>
      </c>
    </row>
    <row r="218" spans="1:65" ht="15" customHeight="1">
      <c r="A218" s="310">
        <f t="shared" si="120"/>
        <v>2009</v>
      </c>
      <c r="B218" s="311">
        <f t="shared" si="120"/>
        <v>87631</v>
      </c>
      <c r="C218" s="216">
        <f t="shared" si="140"/>
        <v>-3.7383659613689115</v>
      </c>
      <c r="D218" s="312">
        <f t="shared" si="141"/>
        <v>4</v>
      </c>
      <c r="E218" s="220" t="s">
        <v>506</v>
      </c>
      <c r="F218" s="170">
        <f>MAX(B215:B224)</f>
        <v>89555</v>
      </c>
      <c r="G218" s="424"/>
      <c r="H218" s="124"/>
      <c r="I218" s="314">
        <f t="shared" si="121"/>
        <v>88604</v>
      </c>
      <c r="J218" s="143">
        <f t="shared" si="142"/>
        <v>1.1103376658944892</v>
      </c>
      <c r="K218" s="143">
        <f t="shared" si="143"/>
        <v>946.72900000000004</v>
      </c>
      <c r="M218" s="218">
        <f t="shared" si="122"/>
        <v>-3.8182088488799248</v>
      </c>
      <c r="N218" s="220" t="s">
        <v>507</v>
      </c>
      <c r="O218" s="170">
        <f>AVERAGE($B220:$B224)</f>
        <v>86391.6</v>
      </c>
      <c r="P218" s="133">
        <f t="shared" si="123"/>
        <v>89149</v>
      </c>
      <c r="Q218" s="315">
        <f t="shared" si="144"/>
        <v>2304.3240000000001</v>
      </c>
      <c r="S218" s="218">
        <f t="shared" si="124"/>
        <v>-3.8078728395492636</v>
      </c>
      <c r="T218" s="220" t="s">
        <v>507</v>
      </c>
      <c r="U218" s="170">
        <f>AVERAGE($B220:$B224)</f>
        <v>86391.6</v>
      </c>
      <c r="V218" s="133">
        <f t="shared" si="125"/>
        <v>88863</v>
      </c>
      <c r="W218" s="315">
        <f t="shared" si="145"/>
        <v>1517.8240000000001</v>
      </c>
      <c r="Y218" s="218">
        <f t="shared" si="126"/>
        <v>-3.7976425712984492</v>
      </c>
      <c r="Z218" s="220" t="s">
        <v>507</v>
      </c>
      <c r="AA218" s="170">
        <f>AVERAGE($B220:$B224)</f>
        <v>86391.6</v>
      </c>
      <c r="AB218" s="133">
        <f t="shared" si="127"/>
        <v>88782</v>
      </c>
      <c r="AC218" s="315">
        <f t="shared" si="146"/>
        <v>1324.8009999999999</v>
      </c>
      <c r="AE218" s="218">
        <f t="shared" si="128"/>
        <v>-3.7875159024805205</v>
      </c>
      <c r="AF218" s="220" t="s">
        <v>507</v>
      </c>
      <c r="AG218" s="170">
        <f>AVERAGE($B220:$B224)</f>
        <v>86391.6</v>
      </c>
      <c r="AH218" s="133">
        <f t="shared" si="129"/>
        <v>88732</v>
      </c>
      <c r="AI218" s="315">
        <f t="shared" si="147"/>
        <v>1212.201</v>
      </c>
      <c r="AK218" s="218">
        <f t="shared" si="130"/>
        <v>-3.7774907558611419</v>
      </c>
      <c r="AL218" s="220" t="s">
        <v>507</v>
      </c>
      <c r="AM218" s="170">
        <f>AVERAGE($B220:$B224)</f>
        <v>86391.6</v>
      </c>
      <c r="AN218" s="133">
        <f t="shared" si="131"/>
        <v>88695</v>
      </c>
      <c r="AO218" s="315">
        <f t="shared" si="148"/>
        <v>1132.096</v>
      </c>
      <c r="AQ218" s="218">
        <f t="shared" si="132"/>
        <v>-3.7675651160611725</v>
      </c>
      <c r="AR218" s="220" t="s">
        <v>507</v>
      </c>
      <c r="AS218" s="170">
        <f>AVERAGE($B220:$B224)</f>
        <v>86391.6</v>
      </c>
      <c r="AT218" s="133">
        <f t="shared" si="133"/>
        <v>88666</v>
      </c>
      <c r="AU218" s="315">
        <f t="shared" si="149"/>
        <v>1071.2249999999999</v>
      </c>
      <c r="AW218" s="218">
        <f t="shared" si="134"/>
        <v>-3.7577370271249104</v>
      </c>
      <c r="AX218" s="220" t="s">
        <v>507</v>
      </c>
      <c r="AY218" s="170">
        <f>AVERAGE($B220:$B224)</f>
        <v>86391.6</v>
      </c>
      <c r="AZ218" s="133">
        <f t="shared" si="135"/>
        <v>88642</v>
      </c>
      <c r="BA218" s="315">
        <f t="shared" si="150"/>
        <v>1022.121</v>
      </c>
      <c r="BC218" s="218">
        <f t="shared" si="136"/>
        <v>-3.7480045902066799</v>
      </c>
      <c r="BD218" s="220" t="s">
        <v>507</v>
      </c>
      <c r="BE218" s="170">
        <f>AVERAGE($B220:$B224)</f>
        <v>86391.6</v>
      </c>
      <c r="BF218" s="133">
        <f t="shared" si="137"/>
        <v>88622</v>
      </c>
      <c r="BG218" s="315">
        <f t="shared" si="151"/>
        <v>982.08100000000002</v>
      </c>
      <c r="BI218" s="218">
        <f t="shared" si="138"/>
        <v>-3.7383659613689115</v>
      </c>
      <c r="BJ218" s="220" t="s">
        <v>507</v>
      </c>
      <c r="BK218" s="170">
        <f>AVERAGE($B220:$B224)</f>
        <v>86391.6</v>
      </c>
      <c r="BL218" s="133">
        <f t="shared" si="139"/>
        <v>88604</v>
      </c>
      <c r="BM218" s="315">
        <f t="shared" si="152"/>
        <v>946.72900000000004</v>
      </c>
    </row>
    <row r="219" spans="1:65" ht="15" customHeight="1">
      <c r="A219" s="310">
        <f t="shared" si="120"/>
        <v>2010</v>
      </c>
      <c r="B219" s="311">
        <f t="shared" si="120"/>
        <v>88078</v>
      </c>
      <c r="C219" s="216">
        <f t="shared" si="140"/>
        <v>-3.9847468000954116</v>
      </c>
      <c r="D219" s="312">
        <f t="shared" si="141"/>
        <v>5</v>
      </c>
      <c r="E219" s="220" t="s">
        <v>507</v>
      </c>
      <c r="F219" s="170">
        <f>AVERAGE(B220:B224)</f>
        <v>86391.6</v>
      </c>
      <c r="G219" s="424"/>
      <c r="H219" s="124"/>
      <c r="I219" s="314">
        <f t="shared" si="121"/>
        <v>88253</v>
      </c>
      <c r="J219" s="143">
        <f t="shared" si="142"/>
        <v>0.19868752696473582</v>
      </c>
      <c r="K219" s="143">
        <f t="shared" si="143"/>
        <v>30.625</v>
      </c>
      <c r="M219" s="218">
        <f t="shared" si="122"/>
        <v>-4.0875329630002808</v>
      </c>
      <c r="N219" s="221" t="s">
        <v>508</v>
      </c>
      <c r="O219" s="144">
        <f>INDEX(LINEST(M215:M224,$D215:$D224),1)</f>
        <v>0.56027512514531363</v>
      </c>
      <c r="P219" s="133">
        <f t="shared" si="123"/>
        <v>88846</v>
      </c>
      <c r="Q219" s="315">
        <f t="shared" si="144"/>
        <v>589.82399999999996</v>
      </c>
      <c r="S219" s="218">
        <f t="shared" si="124"/>
        <v>-4.0740919004312568</v>
      </c>
      <c r="T219" s="221" t="s">
        <v>508</v>
      </c>
      <c r="U219" s="144">
        <f>INDEX(LINEST(S215:S224,$D215:$D224),1)</f>
        <v>0.3935193187576641</v>
      </c>
      <c r="V219" s="133">
        <f t="shared" si="125"/>
        <v>88523</v>
      </c>
      <c r="W219" s="315">
        <f t="shared" si="145"/>
        <v>198.02500000000001</v>
      </c>
      <c r="Y219" s="218">
        <f t="shared" si="126"/>
        <v>-4.0608291065528528</v>
      </c>
      <c r="Z219" s="221" t="s">
        <v>508</v>
      </c>
      <c r="AA219" s="144">
        <f>INDEX(LINEST(Y215:Y224,$D215:$D224),1)</f>
        <v>0.35635606950963267</v>
      </c>
      <c r="AB219" s="133">
        <f t="shared" si="127"/>
        <v>88438</v>
      </c>
      <c r="AC219" s="315">
        <f t="shared" si="146"/>
        <v>129.6</v>
      </c>
      <c r="AE219" s="218">
        <f t="shared" si="128"/>
        <v>-4.0477399144428317</v>
      </c>
      <c r="AF219" s="221" t="s">
        <v>508</v>
      </c>
      <c r="AG219" s="144">
        <f>INDEX(LINEST(AE215:AE224,$D215:$D224),1)</f>
        <v>0.33403581128369669</v>
      </c>
      <c r="AH219" s="133">
        <f t="shared" si="129"/>
        <v>88386</v>
      </c>
      <c r="AI219" s="315">
        <f t="shared" si="147"/>
        <v>94.864000000000004</v>
      </c>
      <c r="AK219" s="218">
        <f t="shared" si="130"/>
        <v>-4.034819838077734</v>
      </c>
      <c r="AL219" s="221" t="s">
        <v>508</v>
      </c>
      <c r="AM219" s="144">
        <f>INDEX(LINEST(AK215:AK224,$D215:$D224),1)</f>
        <v>0.31793832619513096</v>
      </c>
      <c r="AN219" s="133">
        <f t="shared" si="131"/>
        <v>88348</v>
      </c>
      <c r="AO219" s="315">
        <f t="shared" si="148"/>
        <v>72.900000000000006</v>
      </c>
      <c r="AQ219" s="218">
        <f t="shared" si="132"/>
        <v>-4.0220645631026013</v>
      </c>
      <c r="AR219" s="221" t="s">
        <v>508</v>
      </c>
      <c r="AS219" s="144">
        <f>INDEX(LINEST(AQ215:AQ224,$D215:$D224),1)</f>
        <v>0.30529065399698563</v>
      </c>
      <c r="AT219" s="133">
        <f t="shared" si="133"/>
        <v>88318</v>
      </c>
      <c r="AU219" s="315">
        <f t="shared" si="149"/>
        <v>57.6</v>
      </c>
      <c r="AW219" s="218">
        <f t="shared" si="134"/>
        <v>-4.0094699381822068</v>
      </c>
      <c r="AX219" s="221" t="s">
        <v>508</v>
      </c>
      <c r="AY219" s="144">
        <f>INDEX(LINEST(AW215:AW224,$D215:$D224),1)</f>
        <v>0.29484279167528704</v>
      </c>
      <c r="AZ219" s="133">
        <f t="shared" si="135"/>
        <v>88293</v>
      </c>
      <c r="BA219" s="315">
        <f t="shared" si="150"/>
        <v>46.225000000000001</v>
      </c>
      <c r="BC219" s="218">
        <f t="shared" si="136"/>
        <v>-3.9970319668899839</v>
      </c>
      <c r="BD219" s="221" t="s">
        <v>508</v>
      </c>
      <c r="BE219" s="144">
        <f>INDEX(LINEST(BC215:BC224,$D215:$D224),1)</f>
        <v>0.28592306932108674</v>
      </c>
      <c r="BF219" s="133">
        <f t="shared" si="137"/>
        <v>88272</v>
      </c>
      <c r="BG219" s="315">
        <f t="shared" si="151"/>
        <v>37.636000000000003</v>
      </c>
      <c r="BI219" s="218">
        <f t="shared" si="138"/>
        <v>-3.9847468000954116</v>
      </c>
      <c r="BJ219" s="221" t="s">
        <v>508</v>
      </c>
      <c r="BK219" s="144">
        <f>INDEX(LINEST(BI215:BI224,$D215:$D224),1)</f>
        <v>0.27812848610966695</v>
      </c>
      <c r="BL219" s="133">
        <f t="shared" si="139"/>
        <v>88253</v>
      </c>
      <c r="BM219" s="315">
        <f t="shared" si="152"/>
        <v>30.625</v>
      </c>
    </row>
    <row r="220" spans="1:65" ht="15" customHeight="1">
      <c r="A220" s="310">
        <f t="shared" si="120"/>
        <v>2011</v>
      </c>
      <c r="B220" s="311">
        <f t="shared" si="120"/>
        <v>88108</v>
      </c>
      <c r="C220" s="216">
        <f t="shared" si="140"/>
        <v>-4.0035721639651367</v>
      </c>
      <c r="D220" s="312">
        <f t="shared" si="141"/>
        <v>6</v>
      </c>
      <c r="G220" s="424"/>
      <c r="H220" s="124"/>
      <c r="I220" s="314">
        <f t="shared" si="121"/>
        <v>87794</v>
      </c>
      <c r="J220" s="143">
        <f t="shared" si="142"/>
        <v>0.35638080537522132</v>
      </c>
      <c r="K220" s="143">
        <f t="shared" si="143"/>
        <v>98.596000000000004</v>
      </c>
      <c r="M220" s="218">
        <f t="shared" si="122"/>
        <v>-4.1083800407583864</v>
      </c>
      <c r="N220" s="192" t="s">
        <v>451</v>
      </c>
      <c r="O220" s="144">
        <f>INDEX(LINEST(M215:M224,$D215:$D224),2)</f>
        <v>-7.6313547184281987</v>
      </c>
      <c r="P220" s="133">
        <f t="shared" si="123"/>
        <v>88321</v>
      </c>
      <c r="Q220" s="315">
        <f t="shared" si="144"/>
        <v>45.369</v>
      </c>
      <c r="S220" s="218">
        <f t="shared" si="124"/>
        <v>-4.0946624045295872</v>
      </c>
      <c r="T220" s="192" t="s">
        <v>451</v>
      </c>
      <c r="U220" s="144">
        <f>INDEX(LINEST(S215:S224,$D215:$D224),2)</f>
        <v>-6.3991302048204997</v>
      </c>
      <c r="V220" s="133">
        <f t="shared" si="125"/>
        <v>88024</v>
      </c>
      <c r="W220" s="315">
        <f t="shared" si="145"/>
        <v>7.056</v>
      </c>
      <c r="Y220" s="218">
        <f t="shared" si="126"/>
        <v>-4.0811303983110108</v>
      </c>
      <c r="Z220" s="192" t="s">
        <v>451</v>
      </c>
      <c r="AA220" s="144">
        <f>INDEX(LINEST(Y215:Y224,$D215:$D224),2)</f>
        <v>-6.1173664187816144</v>
      </c>
      <c r="AB220" s="133">
        <f t="shared" si="127"/>
        <v>87951</v>
      </c>
      <c r="AC220" s="315">
        <f t="shared" si="146"/>
        <v>24.649000000000001</v>
      </c>
      <c r="AE220" s="218">
        <f t="shared" si="128"/>
        <v>-4.067779065136147</v>
      </c>
      <c r="AF220" s="192" t="s">
        <v>451</v>
      </c>
      <c r="AG220" s="144">
        <f>INDEX(LINEST(AE215:AE224,$D215:$D224),2)</f>
        <v>-5.9445632461902314</v>
      </c>
      <c r="AH220" s="133">
        <f t="shared" si="129"/>
        <v>87907</v>
      </c>
      <c r="AI220" s="315">
        <f t="shared" si="147"/>
        <v>40.401000000000003</v>
      </c>
      <c r="AK220" s="218">
        <f t="shared" si="130"/>
        <v>-4.0546036439775825</v>
      </c>
      <c r="AL220" s="192" t="s">
        <v>451</v>
      </c>
      <c r="AM220" s="144">
        <f>INDEX(LINEST(AK215:AK224,$D215:$D224),2)</f>
        <v>-5.817502611280565</v>
      </c>
      <c r="AN220" s="133">
        <f t="shared" si="131"/>
        <v>87875</v>
      </c>
      <c r="AO220" s="315">
        <f t="shared" si="148"/>
        <v>54.289000000000001</v>
      </c>
      <c r="AQ220" s="218">
        <f t="shared" si="132"/>
        <v>-4.0415995595543759</v>
      </c>
      <c r="AR220" s="192" t="s">
        <v>451</v>
      </c>
      <c r="AS220" s="144">
        <f>INDEX(LINEST(AQ215:AQ224,$D215:$D224),2)</f>
        <v>-5.7158464693504873</v>
      </c>
      <c r="AT220" s="133">
        <f t="shared" si="133"/>
        <v>87849</v>
      </c>
      <c r="AU220" s="315">
        <f t="shared" si="149"/>
        <v>67.081000000000003</v>
      </c>
      <c r="AW220" s="218">
        <f t="shared" si="134"/>
        <v>-4.0287624127936947</v>
      </c>
      <c r="AX220" s="192" t="s">
        <v>451</v>
      </c>
      <c r="AY220" s="144">
        <f>INDEX(LINEST(AW215:AW224,$D215:$D224),2)</f>
        <v>-5.6304252616422401</v>
      </c>
      <c r="AZ220" s="133">
        <f t="shared" si="135"/>
        <v>87828</v>
      </c>
      <c r="BA220" s="315">
        <f t="shared" si="150"/>
        <v>78.400000000000006</v>
      </c>
      <c r="BC220" s="218">
        <f t="shared" si="136"/>
        <v>-4.0160879718969671</v>
      </c>
      <c r="BD220" s="192" t="s">
        <v>451</v>
      </c>
      <c r="BE220" s="144">
        <f>INDEX(LINEST(BC215:BC224,$D215:$D224),2)</f>
        <v>-5.5563106636208284</v>
      </c>
      <c r="BF220" s="133">
        <f t="shared" si="137"/>
        <v>87810</v>
      </c>
      <c r="BG220" s="315">
        <f t="shared" si="151"/>
        <v>88.804000000000002</v>
      </c>
      <c r="BI220" s="218">
        <f t="shared" si="138"/>
        <v>-4.0035721639651367</v>
      </c>
      <c r="BJ220" s="192" t="s">
        <v>451</v>
      </c>
      <c r="BK220" s="144">
        <f>INDEX(LINEST(BI215:BI224,$D215:$D224),2)</f>
        <v>-5.4905447080044532</v>
      </c>
      <c r="BL220" s="133">
        <f t="shared" si="139"/>
        <v>87794</v>
      </c>
      <c r="BM220" s="315">
        <f t="shared" si="152"/>
        <v>98.596000000000004</v>
      </c>
    </row>
    <row r="221" spans="1:65" ht="15" customHeight="1">
      <c r="A221" s="310">
        <f t="shared" si="120"/>
        <v>2012</v>
      </c>
      <c r="B221" s="311">
        <f t="shared" si="120"/>
        <v>88415</v>
      </c>
      <c r="C221" s="216">
        <f t="shared" si="140"/>
        <v>-4.2189084389765767</v>
      </c>
      <c r="D221" s="312">
        <f t="shared" si="141"/>
        <v>7</v>
      </c>
      <c r="E221" s="221" t="s">
        <v>508</v>
      </c>
      <c r="F221" s="144">
        <f>INDEX(LINEST(C215:C224,D215:D224),1)</f>
        <v>0.27812848610966695</v>
      </c>
      <c r="G221" s="222"/>
      <c r="H221" s="124"/>
      <c r="I221" s="314">
        <f t="shared" si="121"/>
        <v>87195</v>
      </c>
      <c r="J221" s="143">
        <f t="shared" si="142"/>
        <v>1.3798563592150652</v>
      </c>
      <c r="K221" s="143">
        <f t="shared" si="143"/>
        <v>1488.4</v>
      </c>
      <c r="M221" s="218">
        <f t="shared" si="122"/>
        <v>-4.3501365676270041</v>
      </c>
      <c r="N221" s="220" t="s">
        <v>509</v>
      </c>
      <c r="O221" s="223">
        <f>O219*-1</f>
        <v>-0.56027512514531363</v>
      </c>
      <c r="P221" s="133">
        <f t="shared" si="123"/>
        <v>87415</v>
      </c>
      <c r="Q221" s="315">
        <f t="shared" si="144"/>
        <v>1000</v>
      </c>
      <c r="S221" s="218">
        <f t="shared" si="124"/>
        <v>-4.3327599357911817</v>
      </c>
      <c r="T221" s="220" t="s">
        <v>509</v>
      </c>
      <c r="U221" s="223">
        <f>U219*-1</f>
        <v>-0.3935193187576641</v>
      </c>
      <c r="V221" s="133">
        <f t="shared" si="125"/>
        <v>87295</v>
      </c>
      <c r="W221" s="315">
        <f t="shared" si="145"/>
        <v>1254.4000000000001</v>
      </c>
      <c r="Y221" s="218">
        <f t="shared" si="126"/>
        <v>-4.3156801012917221</v>
      </c>
      <c r="Z221" s="220" t="s">
        <v>509</v>
      </c>
      <c r="AA221" s="223">
        <f>AA219*-1</f>
        <v>-0.35635606950963267</v>
      </c>
      <c r="AB221" s="133">
        <f t="shared" si="127"/>
        <v>87266</v>
      </c>
      <c r="AC221" s="315">
        <f t="shared" si="146"/>
        <v>1320.201</v>
      </c>
      <c r="AE221" s="218">
        <f t="shared" si="128"/>
        <v>-4.2988870954090954</v>
      </c>
      <c r="AF221" s="220" t="s">
        <v>509</v>
      </c>
      <c r="AG221" s="223">
        <f>AG219*-1</f>
        <v>-0.33403581128369669</v>
      </c>
      <c r="AH221" s="133">
        <f t="shared" si="129"/>
        <v>87247</v>
      </c>
      <c r="AI221" s="315">
        <f t="shared" si="147"/>
        <v>1364.2239999999999</v>
      </c>
      <c r="AK221" s="218">
        <f t="shared" si="130"/>
        <v>-4.2823714433783682</v>
      </c>
      <c r="AL221" s="220" t="s">
        <v>509</v>
      </c>
      <c r="AM221" s="223">
        <f>AM219*-1</f>
        <v>-0.31793832619513096</v>
      </c>
      <c r="AN221" s="133">
        <f t="shared" si="131"/>
        <v>87233</v>
      </c>
      <c r="AO221" s="315">
        <f t="shared" si="148"/>
        <v>1397.124</v>
      </c>
      <c r="AQ221" s="218">
        <f t="shared" si="132"/>
        <v>-4.2661241322844763</v>
      </c>
      <c r="AR221" s="220" t="s">
        <v>509</v>
      </c>
      <c r="AS221" s="223">
        <f>AS219*-1</f>
        <v>-0.30529065399698563</v>
      </c>
      <c r="AT221" s="133">
        <f t="shared" si="133"/>
        <v>87222</v>
      </c>
      <c r="AU221" s="315">
        <f t="shared" si="149"/>
        <v>1423.249</v>
      </c>
      <c r="AW221" s="218">
        <f t="shared" si="134"/>
        <v>-4.2501365815241581</v>
      </c>
      <c r="AX221" s="220" t="s">
        <v>509</v>
      </c>
      <c r="AY221" s="223">
        <f>AY219*-1</f>
        <v>-0.29484279167528704</v>
      </c>
      <c r="AZ221" s="133">
        <f t="shared" si="135"/>
        <v>87212</v>
      </c>
      <c r="BA221" s="315">
        <f t="shared" si="150"/>
        <v>1447.2090000000001</v>
      </c>
      <c r="BC221" s="218">
        <f t="shared" si="136"/>
        <v>-4.2344006155923379</v>
      </c>
      <c r="BD221" s="220" t="s">
        <v>509</v>
      </c>
      <c r="BE221" s="223">
        <f>BE219*-1</f>
        <v>-0.28592306932108674</v>
      </c>
      <c r="BF221" s="133">
        <f t="shared" si="137"/>
        <v>87203</v>
      </c>
      <c r="BG221" s="315">
        <f t="shared" si="151"/>
        <v>1468.944</v>
      </c>
      <c r="BI221" s="218">
        <f t="shared" si="138"/>
        <v>-4.2189084389765767</v>
      </c>
      <c r="BJ221" s="220" t="s">
        <v>509</v>
      </c>
      <c r="BK221" s="223">
        <f>BK219*-1</f>
        <v>-0.27812848610966695</v>
      </c>
      <c r="BL221" s="133">
        <f t="shared" si="139"/>
        <v>87195</v>
      </c>
      <c r="BM221" s="315">
        <f t="shared" si="152"/>
        <v>1488.4</v>
      </c>
    </row>
    <row r="222" spans="1:65" ht="15" customHeight="1">
      <c r="A222" s="310">
        <f t="shared" si="120"/>
        <v>2013</v>
      </c>
      <c r="B222" s="311">
        <f t="shared" si="120"/>
        <v>85843</v>
      </c>
      <c r="C222" s="216">
        <f t="shared" si="140"/>
        <v>-3.0984906459209784</v>
      </c>
      <c r="D222" s="312">
        <f t="shared" si="141"/>
        <v>8</v>
      </c>
      <c r="E222" s="192" t="s">
        <v>451</v>
      </c>
      <c r="F222" s="144">
        <f>INDEX(LINEST(C215:C224,D215:D224),2)</f>
        <v>-5.4905447080044532</v>
      </c>
      <c r="G222" s="424"/>
      <c r="H222" s="313"/>
      <c r="I222" s="314">
        <f t="shared" si="121"/>
        <v>86417</v>
      </c>
      <c r="J222" s="143">
        <f t="shared" si="142"/>
        <v>0.66866255839148203</v>
      </c>
      <c r="K222" s="143">
        <f t="shared" si="143"/>
        <v>329.476</v>
      </c>
      <c r="M222" s="218">
        <f t="shared" si="122"/>
        <v>-3.1406798712586497</v>
      </c>
      <c r="N222" s="313" t="s">
        <v>1056</v>
      </c>
      <c r="O222" s="144">
        <f>P213</f>
        <v>0.87074795477691547</v>
      </c>
      <c r="P222" s="133">
        <f t="shared" si="123"/>
        <v>85873</v>
      </c>
      <c r="Q222" s="315">
        <f t="shared" si="144"/>
        <v>0.9</v>
      </c>
      <c r="S222" s="218">
        <f t="shared" si="124"/>
        <v>-3.1353078465211488</v>
      </c>
      <c r="T222" s="313" t="s">
        <v>1056</v>
      </c>
      <c r="U222" s="144">
        <f>V213</f>
        <v>0.87481132803967343</v>
      </c>
      <c r="V222" s="133">
        <f t="shared" si="125"/>
        <v>86236</v>
      </c>
      <c r="W222" s="315">
        <f t="shared" si="145"/>
        <v>154.44900000000001</v>
      </c>
      <c r="Y222" s="218">
        <f t="shared" si="126"/>
        <v>-3.1299645263007094</v>
      </c>
      <c r="Z222" s="313" t="s">
        <v>1056</v>
      </c>
      <c r="AA222" s="144">
        <f>AB213</f>
        <v>0.87207098406883277</v>
      </c>
      <c r="AB222" s="133">
        <f t="shared" si="127"/>
        <v>86304</v>
      </c>
      <c r="AC222" s="315">
        <f t="shared" si="146"/>
        <v>212.52099999999999</v>
      </c>
      <c r="AE222" s="218">
        <f t="shared" si="128"/>
        <v>-3.1246496054714221</v>
      </c>
      <c r="AF222" s="313" t="s">
        <v>1056</v>
      </c>
      <c r="AG222" s="144">
        <f>AH213</f>
        <v>0.86943566822016871</v>
      </c>
      <c r="AH222" s="133">
        <f t="shared" si="129"/>
        <v>86342</v>
      </c>
      <c r="AI222" s="315">
        <f t="shared" si="147"/>
        <v>249.001</v>
      </c>
      <c r="AK222" s="218">
        <f t="shared" si="130"/>
        <v>-3.1193627837468312</v>
      </c>
      <c r="AL222" s="313" t="s">
        <v>1056</v>
      </c>
      <c r="AM222" s="144">
        <f>AN213</f>
        <v>0.86715116172254536</v>
      </c>
      <c r="AN222" s="133">
        <f t="shared" si="131"/>
        <v>86367</v>
      </c>
      <c r="AO222" s="315">
        <f t="shared" si="148"/>
        <v>274.57600000000002</v>
      </c>
      <c r="AQ222" s="218">
        <f t="shared" si="132"/>
        <v>-3.1141037655781694</v>
      </c>
      <c r="AR222" s="313" t="s">
        <v>1056</v>
      </c>
      <c r="AS222" s="144">
        <f>AT213</f>
        <v>0.86512991176484155</v>
      </c>
      <c r="AT222" s="133">
        <f t="shared" si="133"/>
        <v>86384</v>
      </c>
      <c r="AU222" s="315">
        <f t="shared" si="149"/>
        <v>292.68099999999998</v>
      </c>
      <c r="AW222" s="218">
        <f t="shared" si="134"/>
        <v>-3.1088722600551755</v>
      </c>
      <c r="AX222" s="313" t="s">
        <v>1056</v>
      </c>
      <c r="AY222" s="144">
        <f>AZ213</f>
        <v>0.86320991720793283</v>
      </c>
      <c r="AZ222" s="133">
        <f t="shared" si="135"/>
        <v>86398</v>
      </c>
      <c r="BA222" s="315">
        <f t="shared" si="150"/>
        <v>308.02499999999998</v>
      </c>
      <c r="BC222" s="218">
        <f t="shared" si="136"/>
        <v>-3.1036679808095755</v>
      </c>
      <c r="BD222" s="313" t="s">
        <v>1056</v>
      </c>
      <c r="BE222" s="144">
        <f>BF213</f>
        <v>0.86150047262609653</v>
      </c>
      <c r="BF222" s="133">
        <f t="shared" si="137"/>
        <v>86408</v>
      </c>
      <c r="BG222" s="315">
        <f t="shared" si="151"/>
        <v>319.22500000000002</v>
      </c>
      <c r="BI222" s="218">
        <f t="shared" si="138"/>
        <v>-3.0984906459209784</v>
      </c>
      <c r="BJ222" s="313" t="s">
        <v>1056</v>
      </c>
      <c r="BK222" s="144">
        <f>BL213</f>
        <v>0.85986898086849617</v>
      </c>
      <c r="BL222" s="133">
        <f t="shared" si="139"/>
        <v>86417</v>
      </c>
      <c r="BM222" s="315">
        <f t="shared" si="152"/>
        <v>329.476</v>
      </c>
    </row>
    <row r="223" spans="1:65" ht="15" customHeight="1">
      <c r="A223" s="310">
        <f t="shared" si="120"/>
        <v>2014</v>
      </c>
      <c r="B223" s="311">
        <f t="shared" si="120"/>
        <v>85853</v>
      </c>
      <c r="C223" s="216">
        <f t="shared" si="140"/>
        <v>-3.1011924477197268</v>
      </c>
      <c r="D223" s="312">
        <f t="shared" si="141"/>
        <v>9</v>
      </c>
      <c r="E223" s="313" t="s">
        <v>439</v>
      </c>
      <c r="F223" s="144">
        <f>F221*-1</f>
        <v>-0.27812848610966695</v>
      </c>
      <c r="G223" s="424"/>
      <c r="H223" s="224"/>
      <c r="I223" s="314">
        <f t="shared" si="121"/>
        <v>85410</v>
      </c>
      <c r="J223" s="143">
        <f t="shared" si="142"/>
        <v>0.51599827612314075</v>
      </c>
      <c r="K223" s="143">
        <f t="shared" si="143"/>
        <v>196.249</v>
      </c>
      <c r="M223" s="218">
        <f t="shared" si="122"/>
        <v>-3.1434932294723947</v>
      </c>
      <c r="N223" s="313" t="s">
        <v>510</v>
      </c>
      <c r="O223" s="219">
        <f>SUM(Q215:Q224)</f>
        <v>33410.567999999999</v>
      </c>
      <c r="P223" s="133">
        <f t="shared" si="123"/>
        <v>83300</v>
      </c>
      <c r="Q223" s="315">
        <f t="shared" si="144"/>
        <v>6517.8090000000002</v>
      </c>
      <c r="S223" s="218">
        <f t="shared" si="124"/>
        <v>-3.1381067365132891</v>
      </c>
      <c r="T223" s="313" t="s">
        <v>510</v>
      </c>
      <c r="U223" s="219">
        <f>SUM(W215:W224)</f>
        <v>7046.5290000000005</v>
      </c>
      <c r="V223" s="133">
        <f t="shared" si="125"/>
        <v>84712</v>
      </c>
      <c r="W223" s="315">
        <f t="shared" si="145"/>
        <v>1301.8810000000001</v>
      </c>
      <c r="Y223" s="218">
        <f t="shared" si="126"/>
        <v>-3.132749102481581</v>
      </c>
      <c r="Z223" s="313" t="s">
        <v>510</v>
      </c>
      <c r="AA223" s="219">
        <f>SUM(AC215:AC224)</f>
        <v>5202.6820000000007</v>
      </c>
      <c r="AB223" s="133">
        <f t="shared" si="127"/>
        <v>84968</v>
      </c>
      <c r="AC223" s="315">
        <f t="shared" si="146"/>
        <v>783.22500000000002</v>
      </c>
      <c r="AE223" s="218">
        <f t="shared" si="128"/>
        <v>-3.1274200197925719</v>
      </c>
      <c r="AF223" s="313" t="s">
        <v>510</v>
      </c>
      <c r="AG223" s="219">
        <f>SUM(AI215:AI224)</f>
        <v>4545.6579999999994</v>
      </c>
      <c r="AH223" s="133">
        <f t="shared" si="129"/>
        <v>85109</v>
      </c>
      <c r="AI223" s="315">
        <f t="shared" si="147"/>
        <v>553.53599999999994</v>
      </c>
      <c r="AK223" s="218">
        <f t="shared" si="130"/>
        <v>-3.1221191857529784</v>
      </c>
      <c r="AL223" s="313" t="s">
        <v>510</v>
      </c>
      <c r="AM223" s="219">
        <f>SUM(AO215:AO224)</f>
        <v>4241.2259999999997</v>
      </c>
      <c r="AN223" s="133">
        <f t="shared" si="131"/>
        <v>85203</v>
      </c>
      <c r="AO223" s="315">
        <f t="shared" si="148"/>
        <v>422.5</v>
      </c>
      <c r="AQ223" s="218">
        <f t="shared" si="132"/>
        <v>-3.1168463024577471</v>
      </c>
      <c r="AR223" s="313" t="s">
        <v>510</v>
      </c>
      <c r="AS223" s="219">
        <f>SUM(AU215:AU224)</f>
        <v>4087.489</v>
      </c>
      <c r="AT223" s="133">
        <f t="shared" si="133"/>
        <v>85273</v>
      </c>
      <c r="AU223" s="315">
        <f t="shared" si="149"/>
        <v>336.4</v>
      </c>
      <c r="AW223" s="218">
        <f t="shared" si="134"/>
        <v>-3.1116010766895976</v>
      </c>
      <c r="AX223" s="313" t="s">
        <v>510</v>
      </c>
      <c r="AY223" s="219">
        <f>SUM(BA215:BA224)</f>
        <v>4012.9310000000005</v>
      </c>
      <c r="AZ223" s="133">
        <f t="shared" si="135"/>
        <v>85328</v>
      </c>
      <c r="BA223" s="315">
        <f t="shared" si="150"/>
        <v>275.625</v>
      </c>
      <c r="BC223" s="218">
        <f t="shared" si="136"/>
        <v>-3.1063832198211654</v>
      </c>
      <c r="BD223" s="313" t="s">
        <v>510</v>
      </c>
      <c r="BE223" s="219">
        <f>SUM(BG215:BG224)</f>
        <v>3978.9639999999999</v>
      </c>
      <c r="BF223" s="133">
        <f t="shared" si="137"/>
        <v>85373</v>
      </c>
      <c r="BG223" s="315">
        <f t="shared" si="151"/>
        <v>230.4</v>
      </c>
      <c r="BI223" s="218">
        <f t="shared" si="138"/>
        <v>-3.1011924477197268</v>
      </c>
      <c r="BJ223" s="313" t="s">
        <v>510</v>
      </c>
      <c r="BK223" s="219">
        <f>SUM(BM215:BM224)</f>
        <v>3972.2010000000005</v>
      </c>
      <c r="BL223" s="133">
        <f t="shared" si="139"/>
        <v>85410</v>
      </c>
      <c r="BM223" s="315">
        <f t="shared" si="152"/>
        <v>196.249</v>
      </c>
    </row>
    <row r="224" spans="1:65" ht="15" customHeight="1" thickBot="1">
      <c r="A224" s="130">
        <f t="shared" si="120"/>
        <v>2015</v>
      </c>
      <c r="B224" s="131">
        <f t="shared" si="120"/>
        <v>83739</v>
      </c>
      <c r="C224" s="225">
        <f t="shared" si="140"/>
        <v>-2.639786048953193</v>
      </c>
      <c r="D224" s="312">
        <f t="shared" si="141"/>
        <v>10</v>
      </c>
      <c r="E224" s="318"/>
      <c r="F224" s="317"/>
      <c r="G224" s="317"/>
      <c r="H224" s="226"/>
      <c r="I224" s="319">
        <f t="shared" si="121"/>
        <v>84115</v>
      </c>
      <c r="J224" s="148">
        <f>ABS(B224-I224)/B224*100</f>
        <v>0.44901419887985289</v>
      </c>
      <c r="K224" s="148">
        <f>(B224-I224)^2/1000</f>
        <v>141.376</v>
      </c>
      <c r="M224" s="227">
        <f t="shared" si="122"/>
        <v>-2.6669201538666858</v>
      </c>
      <c r="N224" s="309"/>
      <c r="O224" s="309"/>
      <c r="P224" s="327">
        <f t="shared" si="123"/>
        <v>79147</v>
      </c>
      <c r="Q224" s="199">
        <f>($B224-P224)^2/1000</f>
        <v>21086.464</v>
      </c>
      <c r="S224" s="227">
        <f t="shared" si="124"/>
        <v>-2.6634878525736538</v>
      </c>
      <c r="T224" s="309"/>
      <c r="U224" s="309"/>
      <c r="V224" s="327">
        <f t="shared" si="125"/>
        <v>82551</v>
      </c>
      <c r="W224" s="199">
        <f t="shared" si="145"/>
        <v>1411.3440000000001</v>
      </c>
      <c r="Y224" s="227">
        <f t="shared" si="126"/>
        <v>-2.6600672916876635</v>
      </c>
      <c r="Z224" s="309"/>
      <c r="AA224" s="309"/>
      <c r="AB224" s="327">
        <f t="shared" si="127"/>
        <v>83130</v>
      </c>
      <c r="AC224" s="199">
        <f t="shared" si="146"/>
        <v>370.88099999999997</v>
      </c>
      <c r="AE224" s="227">
        <f t="shared" si="128"/>
        <v>-2.6566583911647959</v>
      </c>
      <c r="AF224" s="309"/>
      <c r="AG224" s="309"/>
      <c r="AH224" s="327">
        <f t="shared" si="129"/>
        <v>83444</v>
      </c>
      <c r="AI224" s="199">
        <f t="shared" si="147"/>
        <v>87.025000000000006</v>
      </c>
      <c r="AK224" s="227">
        <f t="shared" si="130"/>
        <v>-2.6532610717769431</v>
      </c>
      <c r="AL224" s="309"/>
      <c r="AM224" s="309"/>
      <c r="AN224" s="327">
        <f t="shared" si="131"/>
        <v>83655</v>
      </c>
      <c r="AO224" s="199">
        <f t="shared" si="148"/>
        <v>7.056</v>
      </c>
      <c r="AQ224" s="227">
        <f t="shared" si="132"/>
        <v>-2.6498752551007509</v>
      </c>
      <c r="AR224" s="309"/>
      <c r="AS224" s="309"/>
      <c r="AT224" s="327">
        <f t="shared" si="133"/>
        <v>83811</v>
      </c>
      <c r="AU224" s="199">
        <f t="shared" si="149"/>
        <v>5.1840000000000002</v>
      </c>
      <c r="AW224" s="227">
        <f t="shared" si="134"/>
        <v>-2.6465008635067702</v>
      </c>
      <c r="AX224" s="309"/>
      <c r="AY224" s="309"/>
      <c r="AZ224" s="327">
        <f t="shared" si="135"/>
        <v>83933</v>
      </c>
      <c r="BA224" s="199">
        <f t="shared" si="150"/>
        <v>37.636000000000003</v>
      </c>
      <c r="BC224" s="227">
        <f t="shared" si="136"/>
        <v>-2.643137820148759</v>
      </c>
      <c r="BD224" s="309"/>
      <c r="BE224" s="309"/>
      <c r="BF224" s="327">
        <f t="shared" si="137"/>
        <v>84032</v>
      </c>
      <c r="BG224" s="199">
        <f t="shared" si="151"/>
        <v>85.849000000000004</v>
      </c>
      <c r="BI224" s="227">
        <f t="shared" si="138"/>
        <v>-2.639786048953193</v>
      </c>
      <c r="BJ224" s="309"/>
      <c r="BK224" s="309"/>
      <c r="BL224" s="327">
        <f t="shared" si="139"/>
        <v>84115</v>
      </c>
      <c r="BM224" s="199">
        <f t="shared" si="152"/>
        <v>141.376</v>
      </c>
    </row>
    <row r="225" spans="1:70" ht="15" customHeight="1" thickTop="1">
      <c r="A225" s="310">
        <f t="shared" si="120"/>
        <v>2016</v>
      </c>
      <c r="B225" s="311">
        <f t="shared" ref="B225:B247" si="153">ROUND($F$217/(1+EXP($F$222+$F$221*D225)),$G$1)</f>
        <v>82464</v>
      </c>
      <c r="C225" s="216"/>
      <c r="D225" s="312">
        <f t="shared" si="141"/>
        <v>11</v>
      </c>
      <c r="E225" s="974" t="s">
        <v>511</v>
      </c>
      <c r="F225" s="975"/>
      <c r="G225" s="149">
        <f>I213</f>
        <v>0.85986898086849617</v>
      </c>
      <c r="H225" s="224"/>
      <c r="I225" s="314">
        <f t="shared" si="121"/>
        <v>82464</v>
      </c>
      <c r="J225" s="322"/>
      <c r="K225" s="314"/>
      <c r="M225" s="170" t="str">
        <f>E218</f>
        <v>max(y) =</v>
      </c>
      <c r="N225" s="170"/>
      <c r="O225" s="170">
        <f>F218</f>
        <v>89555</v>
      </c>
      <c r="P225" s="170"/>
      <c r="Q225" s="170"/>
      <c r="R225" s="170"/>
      <c r="S225" s="170" t="str">
        <f>M225</f>
        <v>max(y) =</v>
      </c>
      <c r="T225" s="170"/>
      <c r="U225" s="170">
        <f>O225</f>
        <v>89555</v>
      </c>
      <c r="V225" s="170"/>
      <c r="W225" s="170"/>
      <c r="X225" s="170"/>
      <c r="Y225" s="170" t="str">
        <f>S225</f>
        <v>max(y) =</v>
      </c>
      <c r="Z225" s="170"/>
      <c r="AA225" s="170">
        <f>U225</f>
        <v>89555</v>
      </c>
      <c r="AB225" s="170"/>
      <c r="AC225" s="170"/>
      <c r="AD225" s="170"/>
      <c r="AE225" s="170" t="str">
        <f>Y225</f>
        <v>max(y) =</v>
      </c>
      <c r="AF225" s="170"/>
      <c r="AG225" s="170">
        <f>AA225</f>
        <v>89555</v>
      </c>
      <c r="AH225" s="170"/>
      <c r="AI225" s="170"/>
      <c r="AJ225" s="170"/>
      <c r="AK225" s="170" t="str">
        <f>AE225</f>
        <v>max(y) =</v>
      </c>
      <c r="AL225" s="170"/>
      <c r="AM225" s="170">
        <f>AG225</f>
        <v>89555</v>
      </c>
      <c r="AN225" s="170"/>
      <c r="AO225" s="170"/>
      <c r="AP225" s="170"/>
      <c r="AQ225" s="170" t="str">
        <f>AK225</f>
        <v>max(y) =</v>
      </c>
      <c r="AR225" s="170"/>
      <c r="AS225" s="170">
        <f>AM225</f>
        <v>89555</v>
      </c>
      <c r="AT225" s="170"/>
      <c r="AU225" s="170"/>
      <c r="AV225" s="170"/>
      <c r="AW225" s="170" t="str">
        <f>AQ225</f>
        <v>max(y) =</v>
      </c>
      <c r="AX225" s="170"/>
      <c r="AY225" s="170">
        <f>AS225</f>
        <v>89555</v>
      </c>
      <c r="AZ225" s="170"/>
      <c r="BA225" s="170"/>
      <c r="BB225" s="170"/>
      <c r="BC225" s="170" t="str">
        <f>AW225</f>
        <v>max(y) =</v>
      </c>
      <c r="BD225" s="170"/>
      <c r="BE225" s="170">
        <f>AY225</f>
        <v>89555</v>
      </c>
      <c r="BF225" s="170"/>
      <c r="BG225" s="170"/>
      <c r="BH225" s="170"/>
      <c r="BI225" s="170" t="str">
        <f>BC225</f>
        <v>max(y) =</v>
      </c>
      <c r="BJ225" s="170"/>
      <c r="BK225" s="170">
        <f>BE225</f>
        <v>89555</v>
      </c>
      <c r="BL225" s="170"/>
      <c r="BM225" s="170"/>
    </row>
    <row r="226" spans="1:70" ht="15" customHeight="1">
      <c r="A226" s="310">
        <f t="shared" si="120"/>
        <v>2017</v>
      </c>
      <c r="B226" s="311">
        <f t="shared" si="153"/>
        <v>80381</v>
      </c>
      <c r="C226" s="216"/>
      <c r="D226" s="312">
        <f t="shared" si="141"/>
        <v>12</v>
      </c>
      <c r="E226" s="972" t="s">
        <v>512</v>
      </c>
      <c r="F226" s="973"/>
      <c r="G226" s="150">
        <f>SUM(K215:K224)</f>
        <v>3972.2010000000005</v>
      </c>
      <c r="H226" s="224"/>
      <c r="I226" s="314">
        <f t="shared" si="121"/>
        <v>80381</v>
      </c>
      <c r="J226" s="322"/>
      <c r="K226" s="314"/>
      <c r="M226" s="170" t="s">
        <v>513</v>
      </c>
      <c r="N226" s="170"/>
      <c r="O226" s="228">
        <v>2</v>
      </c>
      <c r="P226" s="170"/>
      <c r="Q226" s="170"/>
      <c r="R226" s="170"/>
      <c r="S226" s="170" t="s">
        <v>513</v>
      </c>
      <c r="T226" s="170"/>
      <c r="U226" s="228">
        <f>O226</f>
        <v>2</v>
      </c>
      <c r="V226" s="170"/>
      <c r="W226" s="170"/>
      <c r="X226" s="170"/>
      <c r="Y226" s="170" t="s">
        <v>472</v>
      </c>
      <c r="Z226" s="170"/>
      <c r="AA226" s="228">
        <f>U226</f>
        <v>2</v>
      </c>
      <c r="AB226" s="170"/>
      <c r="AC226" s="170"/>
      <c r="AD226" s="170"/>
      <c r="AE226" s="170" t="s">
        <v>514</v>
      </c>
      <c r="AF226" s="170"/>
      <c r="AG226" s="228">
        <f>AA226</f>
        <v>2</v>
      </c>
      <c r="AH226" s="170"/>
      <c r="AI226" s="170"/>
      <c r="AJ226" s="170"/>
      <c r="AK226" s="170" t="s">
        <v>515</v>
      </c>
      <c r="AL226" s="170"/>
      <c r="AM226" s="228">
        <f>AG226</f>
        <v>2</v>
      </c>
      <c r="AN226" s="170"/>
      <c r="AO226" s="170"/>
      <c r="AP226" s="170"/>
      <c r="AQ226" s="170" t="s">
        <v>516</v>
      </c>
      <c r="AR226" s="170"/>
      <c r="AS226" s="228">
        <f>AM226</f>
        <v>2</v>
      </c>
      <c r="AT226" s="170"/>
      <c r="AU226" s="170"/>
      <c r="AV226" s="170"/>
      <c r="AW226" s="170" t="s">
        <v>517</v>
      </c>
      <c r="AX226" s="170"/>
      <c r="AY226" s="228">
        <f>AS226</f>
        <v>2</v>
      </c>
      <c r="AZ226" s="170"/>
      <c r="BA226" s="170"/>
      <c r="BB226" s="170"/>
      <c r="BC226" s="170" t="s">
        <v>518</v>
      </c>
      <c r="BD226" s="170"/>
      <c r="BE226" s="228">
        <f>AY226</f>
        <v>2</v>
      </c>
      <c r="BF226" s="170"/>
      <c r="BG226" s="170"/>
      <c r="BH226" s="170"/>
      <c r="BI226" s="170" t="s">
        <v>519</v>
      </c>
      <c r="BJ226" s="170"/>
      <c r="BK226" s="228">
        <f>BE226</f>
        <v>2</v>
      </c>
      <c r="BL226" s="170"/>
      <c r="BM226" s="170"/>
      <c r="BN226" s="170"/>
      <c r="BO226" s="170"/>
      <c r="BP226" s="170"/>
      <c r="BQ226" s="170"/>
      <c r="BR226" s="170"/>
    </row>
    <row r="227" spans="1:70" ht="15" customHeight="1">
      <c r="A227" s="310">
        <f t="shared" si="120"/>
        <v>2018</v>
      </c>
      <c r="B227" s="311">
        <f t="shared" si="153"/>
        <v>77786</v>
      </c>
      <c r="C227" s="216"/>
      <c r="D227" s="312">
        <f t="shared" si="141"/>
        <v>13</v>
      </c>
      <c r="E227" s="972" t="s">
        <v>520</v>
      </c>
      <c r="F227" s="973"/>
      <c r="G227" s="151">
        <f>SUM(J215:J224)/10</f>
        <v>0.62697978990387515</v>
      </c>
      <c r="H227" s="224"/>
      <c r="I227" s="314">
        <f t="shared" si="121"/>
        <v>77786</v>
      </c>
      <c r="J227" s="322"/>
      <c r="K227" s="314"/>
      <c r="M227" s="170" t="s">
        <v>521</v>
      </c>
      <c r="N227" s="170"/>
      <c r="O227" s="228">
        <v>20</v>
      </c>
      <c r="P227" s="170"/>
      <c r="Q227" s="170"/>
      <c r="R227" s="170"/>
      <c r="S227" s="170" t="s">
        <v>521</v>
      </c>
      <c r="T227" s="170"/>
      <c r="U227" s="228">
        <f>O227</f>
        <v>20</v>
      </c>
      <c r="V227" s="170"/>
      <c r="W227" s="170"/>
      <c r="X227" s="170"/>
      <c r="Y227" s="170" t="s">
        <v>522</v>
      </c>
      <c r="Z227" s="170"/>
      <c r="AA227" s="228">
        <f>U227</f>
        <v>20</v>
      </c>
      <c r="AB227" s="170"/>
      <c r="AC227" s="170"/>
      <c r="AD227" s="170"/>
      <c r="AE227" s="170" t="s">
        <v>523</v>
      </c>
      <c r="AF227" s="170"/>
      <c r="AG227" s="228">
        <f>AA227</f>
        <v>20</v>
      </c>
      <c r="AH227" s="170"/>
      <c r="AI227" s="170"/>
      <c r="AJ227" s="170"/>
      <c r="AK227" s="170" t="s">
        <v>524</v>
      </c>
      <c r="AL227" s="170"/>
      <c r="AM227" s="228">
        <f>AG227</f>
        <v>20</v>
      </c>
      <c r="AN227" s="170"/>
      <c r="AO227" s="170"/>
      <c r="AP227" s="170"/>
      <c r="AQ227" s="170" t="s">
        <v>525</v>
      </c>
      <c r="AR227" s="170"/>
      <c r="AS227" s="228">
        <f>AM227</f>
        <v>20</v>
      </c>
      <c r="AT227" s="170"/>
      <c r="AU227" s="170"/>
      <c r="AV227" s="170"/>
      <c r="AW227" s="170" t="s">
        <v>526</v>
      </c>
      <c r="AX227" s="170"/>
      <c r="AY227" s="228">
        <f>AS227</f>
        <v>20</v>
      </c>
      <c r="AZ227" s="170"/>
      <c r="BA227" s="170"/>
      <c r="BB227" s="170"/>
      <c r="BC227" s="170" t="s">
        <v>527</v>
      </c>
      <c r="BD227" s="170"/>
      <c r="BE227" s="228">
        <f>AY227</f>
        <v>20</v>
      </c>
      <c r="BF227" s="170"/>
      <c r="BG227" s="170"/>
      <c r="BH227" s="170"/>
      <c r="BI227" s="170" t="s">
        <v>528</v>
      </c>
      <c r="BJ227" s="170"/>
      <c r="BK227" s="228">
        <f>BE227</f>
        <v>20</v>
      </c>
      <c r="BL227" s="170"/>
      <c r="BM227" s="170"/>
    </row>
    <row r="228" spans="1:70" ht="15" customHeight="1">
      <c r="A228" s="310">
        <f t="shared" si="120"/>
        <v>2019</v>
      </c>
      <c r="B228" s="311">
        <f t="shared" si="153"/>
        <v>74605</v>
      </c>
      <c r="C228" s="216"/>
      <c r="D228" s="312">
        <f t="shared" si="141"/>
        <v>14</v>
      </c>
      <c r="E228" s="972" t="s">
        <v>529</v>
      </c>
      <c r="F228" s="973"/>
      <c r="G228" s="150">
        <f>SUM(K219:K224)</f>
        <v>2284.7220000000002</v>
      </c>
      <c r="H228" s="224"/>
      <c r="I228" s="314">
        <f t="shared" si="121"/>
        <v>74605</v>
      </c>
      <c r="J228" s="322"/>
      <c r="K228" s="314"/>
      <c r="M228" s="423" t="s">
        <v>530</v>
      </c>
      <c r="O228" s="423">
        <f>+O225*2</f>
        <v>179110</v>
      </c>
    </row>
    <row r="229" spans="1:70" ht="15" customHeight="1">
      <c r="A229" s="310">
        <f t="shared" si="120"/>
        <v>2020</v>
      </c>
      <c r="B229" s="311">
        <f t="shared" si="153"/>
        <v>70782</v>
      </c>
      <c r="C229" s="216"/>
      <c r="D229" s="312">
        <f t="shared" si="141"/>
        <v>15</v>
      </c>
      <c r="E229" s="972" t="s">
        <v>531</v>
      </c>
      <c r="F229" s="973"/>
      <c r="G229" s="151">
        <f>SUM(J219:J224)/5</f>
        <v>0.71371994498989966</v>
      </c>
      <c r="H229" s="224"/>
      <c r="I229" s="314">
        <f t="shared" si="121"/>
        <v>70782</v>
      </c>
      <c r="J229" s="322"/>
      <c r="K229" s="314"/>
      <c r="O229" s="423">
        <f>+O225*3</f>
        <v>268665</v>
      </c>
    </row>
    <row r="230" spans="1:70" ht="15" customHeight="1">
      <c r="A230" s="310">
        <f t="shared" ref="A230:A247" si="154">A193</f>
        <v>2021</v>
      </c>
      <c r="B230" s="311">
        <f t="shared" si="153"/>
        <v>66295</v>
      </c>
      <c r="C230" s="216"/>
      <c r="D230" s="312">
        <f t="shared" si="141"/>
        <v>16</v>
      </c>
      <c r="H230" s="224"/>
      <c r="I230" s="314">
        <f t="shared" si="121"/>
        <v>66295</v>
      </c>
      <c r="J230" s="322"/>
      <c r="K230" s="314"/>
    </row>
    <row r="231" spans="1:70" s="424" customFormat="1" ht="15" customHeight="1">
      <c r="A231" s="310">
        <f t="shared" si="154"/>
        <v>2022</v>
      </c>
      <c r="B231" s="311">
        <f t="shared" si="153"/>
        <v>61174</v>
      </c>
      <c r="C231" s="216"/>
      <c r="D231" s="312">
        <f t="shared" si="141"/>
        <v>17</v>
      </c>
      <c r="H231" s="224"/>
      <c r="I231" s="314">
        <f t="shared" si="121"/>
        <v>61174</v>
      </c>
      <c r="J231" s="322"/>
      <c r="K231" s="314"/>
      <c r="M231" s="229"/>
      <c r="P231" s="184"/>
      <c r="Q231" s="169"/>
      <c r="S231" s="229"/>
      <c r="V231" s="184"/>
      <c r="W231" s="169"/>
      <c r="Y231" s="229"/>
      <c r="AB231" s="184"/>
      <c r="AC231" s="169"/>
      <c r="AE231" s="229"/>
      <c r="AH231" s="184"/>
      <c r="AI231" s="169"/>
      <c r="AK231" s="229"/>
      <c r="AN231" s="184"/>
      <c r="AO231" s="169"/>
      <c r="AQ231" s="229"/>
      <c r="AT231" s="184"/>
      <c r="AU231" s="169"/>
      <c r="AW231" s="229"/>
      <c r="AZ231" s="184"/>
      <c r="BA231" s="169"/>
      <c r="BC231" s="229"/>
      <c r="BF231" s="184"/>
      <c r="BG231" s="169"/>
      <c r="BI231" s="229"/>
      <c r="BL231" s="184"/>
      <c r="BM231" s="169"/>
    </row>
    <row r="232" spans="1:70" ht="15" customHeight="1">
      <c r="A232" s="310">
        <f t="shared" si="154"/>
        <v>2023</v>
      </c>
      <c r="B232" s="311">
        <f t="shared" si="153"/>
        <v>55511</v>
      </c>
      <c r="C232" s="216"/>
      <c r="D232" s="312">
        <f t="shared" si="141"/>
        <v>18</v>
      </c>
      <c r="H232" s="224"/>
      <c r="I232" s="314">
        <f t="shared" si="121"/>
        <v>55511</v>
      </c>
      <c r="J232" s="322"/>
      <c r="K232" s="314"/>
      <c r="M232" s="229"/>
      <c r="N232" s="424"/>
      <c r="O232" s="424"/>
      <c r="P232" s="184"/>
      <c r="Q232" s="169"/>
      <c r="S232" s="229"/>
      <c r="T232" s="424"/>
      <c r="U232" s="424"/>
      <c r="V232" s="184"/>
      <c r="W232" s="169"/>
      <c r="Y232" s="229"/>
      <c r="Z232" s="424"/>
      <c r="AA232" s="424"/>
      <c r="AB232" s="184"/>
      <c r="AC232" s="169"/>
      <c r="AE232" s="229"/>
      <c r="AF232" s="424"/>
      <c r="AG232" s="424"/>
      <c r="AH232" s="184"/>
      <c r="AI232" s="169"/>
      <c r="AK232" s="229"/>
      <c r="AL232" s="424"/>
      <c r="AM232" s="424"/>
      <c r="AN232" s="184"/>
      <c r="AO232" s="169"/>
      <c r="AQ232" s="229"/>
      <c r="AR232" s="424"/>
      <c r="AS232" s="424"/>
      <c r="AT232" s="184"/>
      <c r="AU232" s="169"/>
      <c r="AW232" s="229"/>
      <c r="AX232" s="424"/>
      <c r="AY232" s="424"/>
      <c r="AZ232" s="184"/>
      <c r="BA232" s="169"/>
      <c r="BC232" s="229"/>
      <c r="BD232" s="424"/>
      <c r="BE232" s="424"/>
      <c r="BF232" s="184"/>
      <c r="BG232" s="169"/>
      <c r="BI232" s="229"/>
      <c r="BJ232" s="424"/>
      <c r="BK232" s="424"/>
      <c r="BL232" s="184"/>
      <c r="BM232" s="169"/>
    </row>
    <row r="233" spans="1:70" s="424" customFormat="1" ht="15" customHeight="1" thickBot="1">
      <c r="A233" s="310">
        <f t="shared" si="154"/>
        <v>2024</v>
      </c>
      <c r="B233" s="311">
        <f t="shared" si="153"/>
        <v>49464</v>
      </c>
      <c r="C233" s="216"/>
      <c r="D233" s="312">
        <f t="shared" si="141"/>
        <v>19</v>
      </c>
      <c r="E233" s="180" t="s">
        <v>532</v>
      </c>
      <c r="F233" s="181" t="s">
        <v>1057</v>
      </c>
      <c r="G233" s="181" t="s">
        <v>533</v>
      </c>
      <c r="H233" s="230"/>
      <c r="I233" s="314">
        <f t="shared" si="121"/>
        <v>49464</v>
      </c>
      <c r="J233" s="322"/>
      <c r="K233" s="314"/>
      <c r="M233" s="229"/>
      <c r="P233" s="184"/>
      <c r="Q233" s="169"/>
      <c r="S233" s="229"/>
      <c r="V233" s="184"/>
      <c r="W233" s="169"/>
      <c r="Y233" s="229"/>
      <c r="AB233" s="184"/>
      <c r="AC233" s="169"/>
      <c r="AE233" s="229"/>
      <c r="AH233" s="184"/>
      <c r="AI233" s="169"/>
      <c r="AK233" s="229"/>
      <c r="AN233" s="184"/>
      <c r="AO233" s="169"/>
      <c r="AQ233" s="229"/>
      <c r="AT233" s="184"/>
      <c r="AU233" s="169"/>
      <c r="AW233" s="229"/>
      <c r="AZ233" s="184"/>
      <c r="BA233" s="169"/>
      <c r="BC233" s="229"/>
      <c r="BF233" s="184"/>
      <c r="BG233" s="169"/>
      <c r="BI233" s="229"/>
      <c r="BL233" s="184"/>
      <c r="BM233" s="169"/>
    </row>
    <row r="234" spans="1:70" s="424" customFormat="1" ht="15" customHeight="1" thickTop="1">
      <c r="A234" s="310">
        <f t="shared" si="154"/>
        <v>2025</v>
      </c>
      <c r="B234" s="311">
        <f t="shared" si="153"/>
        <v>43243</v>
      </c>
      <c r="C234" s="216"/>
      <c r="D234" s="312">
        <f t="shared" si="141"/>
        <v>20</v>
      </c>
      <c r="E234" s="170">
        <f>O216</f>
        <v>89556</v>
      </c>
      <c r="F234" s="182">
        <f>O222</f>
        <v>0.87074795477691547</v>
      </c>
      <c r="G234" s="479">
        <f>O223</f>
        <v>33410.567999999999</v>
      </c>
      <c r="H234" s="224"/>
      <c r="I234" s="314">
        <f t="shared" si="121"/>
        <v>43243</v>
      </c>
      <c r="J234" s="322"/>
      <c r="K234" s="314"/>
      <c r="M234" s="229"/>
      <c r="P234" s="184"/>
      <c r="Q234" s="169"/>
      <c r="S234" s="229"/>
      <c r="V234" s="184"/>
      <c r="W234" s="169"/>
      <c r="Y234" s="229"/>
      <c r="AB234" s="184"/>
      <c r="AC234" s="169"/>
      <c r="AE234" s="229"/>
      <c r="AH234" s="184"/>
      <c r="AI234" s="169"/>
      <c r="AK234" s="229"/>
      <c r="AN234" s="184"/>
      <c r="AO234" s="169"/>
      <c r="AQ234" s="229"/>
      <c r="AT234" s="184"/>
      <c r="AU234" s="169"/>
      <c r="AW234" s="229"/>
      <c r="AZ234" s="184"/>
      <c r="BA234" s="169"/>
      <c r="BC234" s="229"/>
      <c r="BF234" s="184"/>
      <c r="BG234" s="169"/>
      <c r="BI234" s="229"/>
      <c r="BL234" s="184"/>
      <c r="BM234" s="169"/>
    </row>
    <row r="235" spans="1:70" s="424" customFormat="1" ht="15" customHeight="1">
      <c r="A235" s="310">
        <f t="shared" si="154"/>
        <v>2026</v>
      </c>
      <c r="B235" s="311">
        <f t="shared" si="153"/>
        <v>37084</v>
      </c>
      <c r="C235" s="216"/>
      <c r="D235" s="312">
        <f t="shared" si="141"/>
        <v>21</v>
      </c>
      <c r="E235" s="170">
        <f>U216</f>
        <v>89576</v>
      </c>
      <c r="F235" s="182">
        <f>U222</f>
        <v>0.87481132803967343</v>
      </c>
      <c r="G235" s="479">
        <f>U223</f>
        <v>7046.5290000000005</v>
      </c>
      <c r="H235" s="230"/>
      <c r="I235" s="314">
        <f t="shared" si="121"/>
        <v>37084</v>
      </c>
      <c r="J235" s="322"/>
      <c r="K235" s="314"/>
      <c r="M235" s="229"/>
      <c r="P235" s="184"/>
      <c r="Q235" s="169"/>
      <c r="S235" s="229"/>
      <c r="V235" s="184"/>
      <c r="W235" s="169"/>
      <c r="Y235" s="229"/>
      <c r="AB235" s="184"/>
      <c r="AC235" s="169"/>
      <c r="AE235" s="229"/>
      <c r="AH235" s="184"/>
      <c r="AI235" s="169"/>
      <c r="AK235" s="229"/>
      <c r="AN235" s="184"/>
      <c r="AO235" s="169"/>
      <c r="AQ235" s="229"/>
      <c r="AT235" s="184"/>
      <c r="AU235" s="169"/>
      <c r="AW235" s="229"/>
      <c r="AZ235" s="184"/>
      <c r="BA235" s="169"/>
      <c r="BC235" s="229"/>
      <c r="BF235" s="184"/>
      <c r="BG235" s="169"/>
      <c r="BI235" s="229"/>
      <c r="BL235" s="184"/>
      <c r="BM235" s="169"/>
    </row>
    <row r="236" spans="1:70" s="424" customFormat="1" ht="15" customHeight="1">
      <c r="A236" s="310">
        <f t="shared" si="154"/>
        <v>2027</v>
      </c>
      <c r="B236" s="311">
        <f t="shared" si="153"/>
        <v>31212</v>
      </c>
      <c r="C236" s="216"/>
      <c r="D236" s="312">
        <f t="shared" si="141"/>
        <v>22</v>
      </c>
      <c r="E236" s="170">
        <f>AA216</f>
        <v>89596</v>
      </c>
      <c r="F236" s="182">
        <f>AA222</f>
        <v>0.87207098406883277</v>
      </c>
      <c r="G236" s="479">
        <f>AA223</f>
        <v>5202.6820000000007</v>
      </c>
      <c r="H236" s="224"/>
      <c r="I236" s="314">
        <f t="shared" si="121"/>
        <v>31212</v>
      </c>
      <c r="J236" s="322"/>
      <c r="K236" s="314"/>
      <c r="M236" s="229"/>
      <c r="P236" s="184"/>
      <c r="Q236" s="169"/>
      <c r="S236" s="229"/>
      <c r="V236" s="184"/>
      <c r="W236" s="169"/>
      <c r="Y236" s="229"/>
      <c r="AB236" s="184"/>
      <c r="AC236" s="169"/>
      <c r="AE236" s="229"/>
      <c r="AH236" s="184"/>
      <c r="AI236" s="169"/>
      <c r="AK236" s="229"/>
      <c r="AN236" s="184"/>
      <c r="AO236" s="169"/>
      <c r="AQ236" s="229"/>
      <c r="AT236" s="184"/>
      <c r="AU236" s="169"/>
      <c r="AW236" s="229"/>
      <c r="AZ236" s="184"/>
      <c r="BA236" s="169"/>
      <c r="BC236" s="229"/>
      <c r="BF236" s="184"/>
      <c r="BG236" s="169"/>
      <c r="BI236" s="229"/>
      <c r="BL236" s="184"/>
      <c r="BM236" s="169"/>
    </row>
    <row r="237" spans="1:70" ht="15" customHeight="1">
      <c r="A237" s="310">
        <f t="shared" si="154"/>
        <v>2028</v>
      </c>
      <c r="B237" s="311">
        <f t="shared" si="153"/>
        <v>25814</v>
      </c>
      <c r="C237" s="153"/>
      <c r="D237" s="312">
        <f t="shared" si="141"/>
        <v>23</v>
      </c>
      <c r="E237" s="170">
        <f>AG216</f>
        <v>89616</v>
      </c>
      <c r="F237" s="182">
        <f>AG222</f>
        <v>0.86943566822016871</v>
      </c>
      <c r="G237" s="479">
        <f>AG223</f>
        <v>4545.6579999999994</v>
      </c>
      <c r="H237" s="230"/>
      <c r="I237" s="314">
        <f t="shared" si="121"/>
        <v>25814</v>
      </c>
      <c r="J237" s="133"/>
      <c r="K237" s="133"/>
    </row>
    <row r="238" spans="1:70" ht="15" customHeight="1">
      <c r="A238" s="310">
        <f t="shared" si="154"/>
        <v>2029</v>
      </c>
      <c r="B238" s="311">
        <f t="shared" si="153"/>
        <v>21015</v>
      </c>
      <c r="C238" s="153"/>
      <c r="D238" s="312">
        <f t="shared" si="141"/>
        <v>24</v>
      </c>
      <c r="E238" s="170">
        <f>AM216</f>
        <v>89636</v>
      </c>
      <c r="F238" s="182">
        <f>AM222</f>
        <v>0.86715116172254536</v>
      </c>
      <c r="G238" s="479">
        <f>AM223</f>
        <v>4241.2259999999997</v>
      </c>
      <c r="H238" s="230"/>
      <c r="I238" s="314">
        <f t="shared" si="121"/>
        <v>21015</v>
      </c>
      <c r="J238" s="133"/>
      <c r="K238" s="133"/>
    </row>
    <row r="239" spans="1:70" ht="15" customHeight="1">
      <c r="A239" s="310">
        <f t="shared" si="154"/>
        <v>2030</v>
      </c>
      <c r="B239" s="311">
        <f t="shared" si="153"/>
        <v>16872</v>
      </c>
      <c r="C239" s="153"/>
      <c r="D239" s="312">
        <f t="shared" si="141"/>
        <v>25</v>
      </c>
      <c r="E239" s="170">
        <f>AS216</f>
        <v>89656</v>
      </c>
      <c r="F239" s="182">
        <f>AS222</f>
        <v>0.86512991176484155</v>
      </c>
      <c r="G239" s="479">
        <f>AS223</f>
        <v>4087.489</v>
      </c>
      <c r="H239" s="230"/>
      <c r="I239" s="314">
        <f t="shared" si="121"/>
        <v>16872</v>
      </c>
      <c r="J239" s="133"/>
      <c r="K239" s="133"/>
    </row>
    <row r="240" spans="1:70" ht="15" customHeight="1">
      <c r="A240" s="310">
        <f t="shared" si="154"/>
        <v>2031</v>
      </c>
      <c r="B240" s="311">
        <f t="shared" si="153"/>
        <v>13387</v>
      </c>
      <c r="C240" s="153"/>
      <c r="D240" s="312">
        <f t="shared" si="141"/>
        <v>26</v>
      </c>
      <c r="E240" s="170">
        <f>AY216</f>
        <v>89676</v>
      </c>
      <c r="F240" s="182">
        <f>AY222</f>
        <v>0.86320991720793283</v>
      </c>
      <c r="G240" s="479">
        <f>AY223</f>
        <v>4012.9310000000005</v>
      </c>
      <c r="H240" s="230"/>
      <c r="I240" s="314">
        <f t="shared" si="121"/>
        <v>13387</v>
      </c>
      <c r="J240" s="133"/>
      <c r="K240" s="133"/>
    </row>
    <row r="241" spans="1:65" ht="15" customHeight="1">
      <c r="A241" s="310">
        <f t="shared" si="154"/>
        <v>2032</v>
      </c>
      <c r="B241" s="311">
        <f t="shared" si="153"/>
        <v>10517</v>
      </c>
      <c r="C241" s="153"/>
      <c r="D241" s="312">
        <f t="shared" si="141"/>
        <v>27</v>
      </c>
      <c r="E241" s="170">
        <f>BE216</f>
        <v>89696</v>
      </c>
      <c r="F241" s="182">
        <f>BE222</f>
        <v>0.86150047262609653</v>
      </c>
      <c r="G241" s="479">
        <f>BE223</f>
        <v>3978.9639999999999</v>
      </c>
      <c r="H241" s="230"/>
      <c r="I241" s="314">
        <f t="shared" si="121"/>
        <v>10517</v>
      </c>
      <c r="J241" s="133"/>
      <c r="K241" s="133"/>
    </row>
    <row r="242" spans="1:65" ht="15" customHeight="1">
      <c r="A242" s="310">
        <f t="shared" si="154"/>
        <v>2033</v>
      </c>
      <c r="B242" s="311">
        <f t="shared" si="153"/>
        <v>8197</v>
      </c>
      <c r="C242" s="153"/>
      <c r="D242" s="312">
        <f t="shared" si="141"/>
        <v>28</v>
      </c>
      <c r="E242" s="170">
        <f>BK216</f>
        <v>89716</v>
      </c>
      <c r="F242" s="182">
        <f>BK222</f>
        <v>0.85986898086849617</v>
      </c>
      <c r="G242" s="479">
        <f>BK223</f>
        <v>3972.2010000000005</v>
      </c>
      <c r="H242" s="230"/>
      <c r="I242" s="314">
        <f t="shared" si="121"/>
        <v>8197</v>
      </c>
      <c r="J242" s="133"/>
      <c r="K242" s="133"/>
    </row>
    <row r="243" spans="1:65" ht="15" customHeight="1">
      <c r="A243" s="310">
        <f t="shared" si="154"/>
        <v>2034</v>
      </c>
      <c r="B243" s="311">
        <f t="shared" si="153"/>
        <v>6348</v>
      </c>
      <c r="C243" s="153"/>
      <c r="D243" s="312">
        <f t="shared" si="141"/>
        <v>29</v>
      </c>
      <c r="H243" s="230"/>
      <c r="I243" s="314">
        <f t="shared" si="121"/>
        <v>6348</v>
      </c>
      <c r="J243" s="133"/>
      <c r="K243" s="133"/>
    </row>
    <row r="244" spans="1:65" ht="15" customHeight="1">
      <c r="A244" s="310">
        <f t="shared" si="154"/>
        <v>2035</v>
      </c>
      <c r="B244" s="311">
        <f t="shared" si="153"/>
        <v>4890</v>
      </c>
      <c r="C244" s="153"/>
      <c r="D244" s="312">
        <f t="shared" si="141"/>
        <v>30</v>
      </c>
      <c r="H244" s="230"/>
      <c r="I244" s="314">
        <f t="shared" si="121"/>
        <v>4890</v>
      </c>
      <c r="J244" s="133"/>
      <c r="K244" s="133"/>
    </row>
    <row r="245" spans="1:65" ht="15" customHeight="1">
      <c r="A245" s="310">
        <f t="shared" si="154"/>
        <v>2036</v>
      </c>
      <c r="B245" s="311">
        <f t="shared" si="153"/>
        <v>3753</v>
      </c>
      <c r="C245" s="153"/>
      <c r="D245" s="312">
        <f t="shared" si="141"/>
        <v>31</v>
      </c>
      <c r="H245" s="230"/>
      <c r="I245" s="314">
        <f t="shared" si="121"/>
        <v>3753</v>
      </c>
      <c r="J245" s="133"/>
      <c r="K245" s="133"/>
    </row>
    <row r="246" spans="1:65" ht="15" customHeight="1">
      <c r="A246" s="310">
        <f t="shared" si="154"/>
        <v>2037</v>
      </c>
      <c r="B246" s="311">
        <f t="shared" si="153"/>
        <v>2871</v>
      </c>
      <c r="C246" s="153"/>
      <c r="D246" s="312">
        <f t="shared" si="141"/>
        <v>32</v>
      </c>
      <c r="E246" s="424"/>
      <c r="F246" s="424"/>
      <c r="G246" s="424"/>
      <c r="H246" s="230"/>
      <c r="I246" s="314">
        <f t="shared" si="121"/>
        <v>2871</v>
      </c>
      <c r="J246" s="133"/>
      <c r="K246" s="133"/>
    </row>
    <row r="247" spans="1:65" ht="15" customHeight="1">
      <c r="A247" s="323">
        <f t="shared" si="154"/>
        <v>2038</v>
      </c>
      <c r="B247" s="324">
        <f t="shared" si="153"/>
        <v>2191</v>
      </c>
      <c r="C247" s="155"/>
      <c r="D247" s="312">
        <f t="shared" si="141"/>
        <v>33</v>
      </c>
      <c r="E247" s="309"/>
      <c r="F247" s="309"/>
      <c r="G247" s="309"/>
      <c r="H247" s="176"/>
      <c r="I247" s="326">
        <f t="shared" si="121"/>
        <v>2191</v>
      </c>
      <c r="J247" s="327"/>
      <c r="K247" s="327"/>
    </row>
    <row r="248" spans="1:65" ht="15" customHeight="1">
      <c r="A248" s="134"/>
      <c r="B248" s="169"/>
      <c r="C248" s="424"/>
      <c r="D248" s="313"/>
      <c r="E248" s="158"/>
      <c r="F248" s="212"/>
      <c r="G248" s="424"/>
      <c r="H248" s="424"/>
      <c r="I248" s="166"/>
      <c r="J248" s="166"/>
    </row>
    <row r="249" spans="1:65" ht="15" customHeight="1">
      <c r="A249" s="111" t="s">
        <v>534</v>
      </c>
      <c r="B249" s="169"/>
      <c r="C249" s="424"/>
      <c r="D249" s="313"/>
      <c r="E249" s="231"/>
      <c r="F249" s="232"/>
      <c r="G249" s="424"/>
      <c r="H249" s="424"/>
      <c r="I249" s="166"/>
      <c r="J249" s="166"/>
    </row>
    <row r="250" spans="1:65" ht="15" customHeight="1">
      <c r="A250" s="113" t="s">
        <v>320</v>
      </c>
      <c r="B250" s="233" t="s">
        <v>535</v>
      </c>
      <c r="C250" s="233" t="s">
        <v>536</v>
      </c>
      <c r="D250" s="115" t="s">
        <v>537</v>
      </c>
      <c r="E250" s="137"/>
      <c r="F250" s="116"/>
      <c r="G250" s="118"/>
      <c r="H250" s="118" t="s">
        <v>1054</v>
      </c>
      <c r="I250" s="119">
        <f>RSQ(I252:I261,B252:B261)</f>
        <v>0.86282559022804861</v>
      </c>
      <c r="J250" s="120" t="s">
        <v>538</v>
      </c>
      <c r="K250" s="121" t="s">
        <v>539</v>
      </c>
      <c r="M250" s="234" t="s">
        <v>536</v>
      </c>
      <c r="N250" s="118" t="s">
        <v>1054</v>
      </c>
      <c r="O250" s="116"/>
      <c r="P250" s="119">
        <f>RSQ($B252:$B261,P252:P261)</f>
        <v>0.82190193179570481</v>
      </c>
      <c r="Q250" s="121" t="s">
        <v>539</v>
      </c>
      <c r="S250" s="234" t="s">
        <v>536</v>
      </c>
      <c r="T250" s="118" t="s">
        <v>1054</v>
      </c>
      <c r="U250" s="116"/>
      <c r="V250" s="119">
        <f>RSQ($B252:$B261,V252:V261)</f>
        <v>0.87641427906167146</v>
      </c>
      <c r="W250" s="121" t="s">
        <v>539</v>
      </c>
      <c r="Y250" s="234" t="s">
        <v>536</v>
      </c>
      <c r="Z250" s="118" t="s">
        <v>1054</v>
      </c>
      <c r="AA250" s="116"/>
      <c r="AB250" s="119">
        <f>RSQ($B252:$B261,AB252:AB261)</f>
        <v>0.8741804851837377</v>
      </c>
      <c r="AC250" s="121" t="s">
        <v>539</v>
      </c>
      <c r="AE250" s="234" t="s">
        <v>536</v>
      </c>
      <c r="AF250" s="118" t="s">
        <v>1054</v>
      </c>
      <c r="AG250" s="116"/>
      <c r="AH250" s="119">
        <f>RSQ($B252:$B261,AH252:AH261)</f>
        <v>0.87196071698557576</v>
      </c>
      <c r="AI250" s="121" t="s">
        <v>539</v>
      </c>
      <c r="AK250" s="234" t="s">
        <v>536</v>
      </c>
      <c r="AL250" s="118" t="s">
        <v>1054</v>
      </c>
      <c r="AM250" s="116"/>
      <c r="AN250" s="119">
        <f>RSQ($B252:$B261,AN252:AN261)</f>
        <v>0.86988392603210807</v>
      </c>
      <c r="AO250" s="121" t="s">
        <v>539</v>
      </c>
      <c r="AQ250" s="234" t="s">
        <v>536</v>
      </c>
      <c r="AR250" s="118" t="s">
        <v>1054</v>
      </c>
      <c r="AS250" s="116"/>
      <c r="AT250" s="119">
        <f>RSQ($B252:$B261,AT252:AT261)</f>
        <v>0.86785872345750192</v>
      </c>
      <c r="AU250" s="121" t="s">
        <v>539</v>
      </c>
      <c r="AW250" s="234" t="s">
        <v>536</v>
      </c>
      <c r="AX250" s="118" t="s">
        <v>1054</v>
      </c>
      <c r="AY250" s="116"/>
      <c r="AZ250" s="119">
        <f>RSQ($B252:$B261,AZ252:AZ261)</f>
        <v>0.86607276074977491</v>
      </c>
      <c r="BA250" s="121" t="s">
        <v>539</v>
      </c>
      <c r="BC250" s="234" t="s">
        <v>536</v>
      </c>
      <c r="BD250" s="118" t="s">
        <v>1054</v>
      </c>
      <c r="BE250" s="116"/>
      <c r="BF250" s="119">
        <f>RSQ($B252:$B261,BF252:BF261)</f>
        <v>0.86435577158865995</v>
      </c>
      <c r="BG250" s="121" t="s">
        <v>539</v>
      </c>
      <c r="BI250" s="234" t="s">
        <v>536</v>
      </c>
      <c r="BJ250" s="118" t="s">
        <v>1054</v>
      </c>
      <c r="BK250" s="116"/>
      <c r="BL250" s="119">
        <f>RSQ($B252:$B261,BL252:BL261)</f>
        <v>0.86282559022804861</v>
      </c>
      <c r="BM250" s="121" t="s">
        <v>539</v>
      </c>
    </row>
    <row r="251" spans="1:65" ht="15" customHeight="1">
      <c r="A251" s="310">
        <f t="shared" ref="A251:B266" si="155">A214</f>
        <v>2005</v>
      </c>
      <c r="B251" s="235">
        <f t="shared" si="155"/>
        <v>90931</v>
      </c>
      <c r="C251" s="135" t="e">
        <f>LN($F$254-B251)</f>
        <v>#NUM!</v>
      </c>
      <c r="D251" s="312"/>
      <c r="E251" s="236" t="s">
        <v>540</v>
      </c>
      <c r="F251" s="237"/>
      <c r="I251" s="314">
        <f t="shared" ref="I251:I284" si="156">ROUND($F$254-$F$259*$F$260^D251,$G$1)</f>
        <v>89344</v>
      </c>
      <c r="J251" s="143">
        <f>ABS(B251-I251)/B251*100</f>
        <v>1.7452793876675723</v>
      </c>
      <c r="K251" s="143">
        <f>(B251-I251)^2/1000</f>
        <v>2518.569</v>
      </c>
      <c r="M251" s="316" t="e">
        <f t="shared" ref="M251:M261" si="157">LN(O$253-$B251)</f>
        <v>#NUM!</v>
      </c>
      <c r="N251" s="237"/>
      <c r="O251" s="238" t="s">
        <v>540</v>
      </c>
      <c r="P251" s="133">
        <f t="shared" ref="P251:P261" si="158">ROUND(O$253-O$256*O$257^$D251,$G$1)</f>
        <v>89548</v>
      </c>
      <c r="Q251" s="315">
        <f>($B251-P251)^2/1000</f>
        <v>1912.6890000000001</v>
      </c>
      <c r="S251" s="316" t="e">
        <f t="shared" ref="S251:S261" si="159">LN(U$253-$B251)</f>
        <v>#NUM!</v>
      </c>
      <c r="T251" s="237"/>
      <c r="U251" s="238" t="s">
        <v>540</v>
      </c>
      <c r="V251" s="133">
        <f t="shared" ref="V251:V261" si="160">ROUND(U$253-U$256*U$257^$D251,$G$1)</f>
        <v>89428</v>
      </c>
      <c r="W251" s="315">
        <f>($B251-V251)^2/1000</f>
        <v>2259.009</v>
      </c>
      <c r="Y251" s="316" t="e">
        <f t="shared" ref="Y251:Y261" si="161">LN(AA$253-$B251)</f>
        <v>#NUM!</v>
      </c>
      <c r="Z251" s="237"/>
      <c r="AA251" s="238" t="s">
        <v>540</v>
      </c>
      <c r="AB251" s="133">
        <f t="shared" ref="AB251:AB261" si="162">ROUND(AA$253-AA$256*AA$257^$D251,$G$1)</f>
        <v>89398</v>
      </c>
      <c r="AC251" s="315">
        <f>($B251-AB251)^2/1000</f>
        <v>2350.0889999999999</v>
      </c>
      <c r="AE251" s="316" t="e">
        <f t="shared" ref="AE251:AE261" si="163">LN(AG$253-$B251)</f>
        <v>#NUM!</v>
      </c>
      <c r="AF251" s="237"/>
      <c r="AG251" s="238" t="s">
        <v>540</v>
      </c>
      <c r="AH251" s="133">
        <f t="shared" ref="AH251:AH261" si="164">ROUND(AG$253-AG$256*AG$257^$D251,$G$1)</f>
        <v>89380</v>
      </c>
      <c r="AI251" s="315">
        <f>($B251-AH251)^2/1000</f>
        <v>2405.6010000000001</v>
      </c>
      <c r="AK251" s="316" t="e">
        <f t="shared" ref="AK251:AK261" si="165">LN(AM$253-$B251)</f>
        <v>#NUM!</v>
      </c>
      <c r="AL251" s="237"/>
      <c r="AM251" s="238" t="s">
        <v>540</v>
      </c>
      <c r="AN251" s="133">
        <f t="shared" ref="AN251:AN261" si="166">ROUND(AM$253-AM$256*AM$257^$D251,$G$1)</f>
        <v>89368</v>
      </c>
      <c r="AO251" s="315">
        <f>($B251-AN251)^2/1000</f>
        <v>2442.9690000000001</v>
      </c>
      <c r="AQ251" s="316" t="e">
        <f t="shared" ref="AQ251:AQ261" si="167">LN(AS$253-$B251)</f>
        <v>#NUM!</v>
      </c>
      <c r="AR251" s="237"/>
      <c r="AS251" s="238" t="s">
        <v>540</v>
      </c>
      <c r="AT251" s="133">
        <f t="shared" ref="AT251:AT261" si="168">ROUND(AS$253-AS$256*AS$257^$D251,$G$1)</f>
        <v>89359</v>
      </c>
      <c r="AU251" s="315">
        <f>($B251-AT251)^2/1000</f>
        <v>2471.1840000000002</v>
      </c>
      <c r="AW251" s="316" t="e">
        <f t="shared" ref="AW251:AW261" si="169">LN(AY$253-$B251)</f>
        <v>#NUM!</v>
      </c>
      <c r="AX251" s="237"/>
      <c r="AY251" s="238" t="s">
        <v>540</v>
      </c>
      <c r="AZ251" s="133">
        <f t="shared" ref="AZ251:AZ261" si="170">ROUND(AY$253-AY$256*AY$257^$D251,$G$1)</f>
        <v>89353</v>
      </c>
      <c r="BA251" s="315">
        <f>($B251-AZ251)^2/1000</f>
        <v>2490.0839999999998</v>
      </c>
      <c r="BC251" s="316" t="e">
        <f t="shared" ref="BC251:BC261" si="171">LN(BE$253-$B251)</f>
        <v>#NUM!</v>
      </c>
      <c r="BD251" s="237"/>
      <c r="BE251" s="238" t="s">
        <v>540</v>
      </c>
      <c r="BF251" s="133">
        <f t="shared" ref="BF251:BF261" si="172">ROUND(BE$253-BE$256*BE$257^$D251,$G$1)</f>
        <v>89348</v>
      </c>
      <c r="BG251" s="315">
        <f>($B251-BF251)^2/1000</f>
        <v>2505.8890000000001</v>
      </c>
      <c r="BI251" s="316" t="e">
        <f t="shared" ref="BI251:BI261" si="173">LN(BK$253-$B251)</f>
        <v>#NUM!</v>
      </c>
      <c r="BJ251" s="237"/>
      <c r="BK251" s="238" t="s">
        <v>540</v>
      </c>
      <c r="BL251" s="133">
        <f t="shared" ref="BL251:BL261" si="174">ROUND(BK$253-BK$256*BK$257^$D251,$G$1)</f>
        <v>89344</v>
      </c>
      <c r="BM251" s="315">
        <f>($B251-BL251)^2/1000</f>
        <v>2518.569</v>
      </c>
    </row>
    <row r="252" spans="1:65" ht="15" customHeight="1">
      <c r="A252" s="310">
        <f t="shared" si="155"/>
        <v>2006</v>
      </c>
      <c r="B252" s="311">
        <f t="shared" si="155"/>
        <v>89555</v>
      </c>
      <c r="C252" s="135">
        <f>LN($F$254-B252)</f>
        <v>5.075236313280751</v>
      </c>
      <c r="D252" s="312">
        <v>1</v>
      </c>
      <c r="E252" s="139" t="s">
        <v>541</v>
      </c>
      <c r="F252" s="158"/>
      <c r="G252" s="313"/>
      <c r="H252" s="424"/>
      <c r="I252" s="314">
        <f t="shared" si="156"/>
        <v>89228</v>
      </c>
      <c r="J252" s="143">
        <f>ABS(B252-I252)/B252*100</f>
        <v>0.36513874155546866</v>
      </c>
      <c r="K252" s="143">
        <f>(B252-I252)^2/1000</f>
        <v>106.929</v>
      </c>
      <c r="M252" s="316">
        <f t="shared" si="157"/>
        <v>-4.6051701865119608</v>
      </c>
      <c r="N252" s="158"/>
      <c r="O252" s="190" t="s">
        <v>541</v>
      </c>
      <c r="P252" s="133">
        <f t="shared" si="158"/>
        <v>89540</v>
      </c>
      <c r="Q252" s="315">
        <f>($B252-P252)^2/1000</f>
        <v>0.22500000000000001</v>
      </c>
      <c r="S252" s="316">
        <f t="shared" si="159"/>
        <v>2.9962321485953805</v>
      </c>
      <c r="T252" s="158"/>
      <c r="U252" s="190" t="s">
        <v>541</v>
      </c>
      <c r="V252" s="133">
        <f t="shared" si="160"/>
        <v>89358</v>
      </c>
      <c r="W252" s="315">
        <f>($B252-V252)^2/1000</f>
        <v>38.808999999999997</v>
      </c>
      <c r="Y252" s="316">
        <f t="shared" si="161"/>
        <v>3.6891294228690126</v>
      </c>
      <c r="Z252" s="158"/>
      <c r="AA252" s="190" t="s">
        <v>541</v>
      </c>
      <c r="AB252" s="133">
        <f t="shared" si="162"/>
        <v>89315</v>
      </c>
      <c r="AC252" s="315">
        <f>($B252-AB252)^2/1000</f>
        <v>57.6</v>
      </c>
      <c r="AE252" s="316">
        <f t="shared" si="163"/>
        <v>4.0945112150013339</v>
      </c>
      <c r="AF252" s="158"/>
      <c r="AG252" s="190" t="s">
        <v>541</v>
      </c>
      <c r="AH252" s="133">
        <f t="shared" si="164"/>
        <v>89289</v>
      </c>
      <c r="AI252" s="315">
        <f>($B252-AH252)^2/1000</f>
        <v>70.756</v>
      </c>
      <c r="AK252" s="316">
        <f t="shared" si="165"/>
        <v>4.3821516268619671</v>
      </c>
      <c r="AL252" s="158"/>
      <c r="AM252" s="190" t="s">
        <v>541</v>
      </c>
      <c r="AN252" s="133">
        <f t="shared" si="166"/>
        <v>89270</v>
      </c>
      <c r="AO252" s="315">
        <f>($B252-AN252)^2/1000</f>
        <v>81.224999999999994</v>
      </c>
      <c r="AQ252" s="316">
        <f t="shared" si="167"/>
        <v>4.6052701809883727</v>
      </c>
      <c r="AR252" s="158"/>
      <c r="AS252" s="190" t="s">
        <v>541</v>
      </c>
      <c r="AT252" s="133">
        <f t="shared" si="168"/>
        <v>89256</v>
      </c>
      <c r="AU252" s="315">
        <f>($B252-AT252)^2/1000</f>
        <v>89.400999999999996</v>
      </c>
      <c r="AW252" s="316">
        <f t="shared" si="169"/>
        <v>4.787575072643306</v>
      </c>
      <c r="AX252" s="158"/>
      <c r="AY252" s="190" t="s">
        <v>541</v>
      </c>
      <c r="AZ252" s="133">
        <f t="shared" si="170"/>
        <v>89245</v>
      </c>
      <c r="BA252" s="315">
        <f>($B252-AZ252)^2/1000</f>
        <v>96.1</v>
      </c>
      <c r="BC252" s="316">
        <f t="shared" si="171"/>
        <v>4.9417138486297967</v>
      </c>
      <c r="BD252" s="158"/>
      <c r="BE252" s="190" t="s">
        <v>541</v>
      </c>
      <c r="BF252" s="133">
        <f t="shared" si="172"/>
        <v>89235</v>
      </c>
      <c r="BG252" s="315">
        <f>($B252-BF252)^2/1000</f>
        <v>102.4</v>
      </c>
      <c r="BI252" s="316">
        <f t="shared" si="173"/>
        <v>5.075236313280751</v>
      </c>
      <c r="BJ252" s="158"/>
      <c r="BK252" s="190" t="s">
        <v>541</v>
      </c>
      <c r="BL252" s="133">
        <f t="shared" si="174"/>
        <v>89228</v>
      </c>
      <c r="BM252" s="315">
        <f>($B252-BL252)^2/1000</f>
        <v>106.929</v>
      </c>
    </row>
    <row r="253" spans="1:65" ht="15" customHeight="1">
      <c r="A253" s="310">
        <f t="shared" si="155"/>
        <v>2007</v>
      </c>
      <c r="B253" s="311">
        <f t="shared" si="155"/>
        <v>88685</v>
      </c>
      <c r="C253" s="135">
        <f>LN($F$254-B253)</f>
        <v>6.9373237899144113</v>
      </c>
      <c r="D253" s="312">
        <f>D252+1</f>
        <v>2</v>
      </c>
      <c r="G253" s="313"/>
      <c r="H253" s="424"/>
      <c r="I253" s="314">
        <f t="shared" si="156"/>
        <v>89075</v>
      </c>
      <c r="J253" s="143">
        <f>ABS(B253-I253)/B253*100</f>
        <v>0.43975869651012006</v>
      </c>
      <c r="K253" s="143">
        <f>(B253-I253)^2/1000</f>
        <v>152.1</v>
      </c>
      <c r="M253" s="316">
        <f t="shared" si="157"/>
        <v>6.7685047058354382</v>
      </c>
      <c r="N253" s="237" t="s">
        <v>542</v>
      </c>
      <c r="O253" s="173">
        <f>ROUNDDOWN(O217,2)+0.01</f>
        <v>89555.01</v>
      </c>
      <c r="P253" s="133">
        <f t="shared" si="158"/>
        <v>89520</v>
      </c>
      <c r="Q253" s="315">
        <f>($B253-P253)^2/1000</f>
        <v>697.22500000000002</v>
      </c>
      <c r="S253" s="316">
        <f t="shared" si="159"/>
        <v>6.7912326986181126</v>
      </c>
      <c r="T253" s="237" t="s">
        <v>542</v>
      </c>
      <c r="U253" s="173">
        <f>O253+U265</f>
        <v>89575.01</v>
      </c>
      <c r="V253" s="133">
        <f t="shared" si="160"/>
        <v>89254</v>
      </c>
      <c r="W253" s="315">
        <f>($B253-V253)^2/1000</f>
        <v>323.76100000000002</v>
      </c>
      <c r="Y253" s="316">
        <f t="shared" si="161"/>
        <v>6.8134555884615002</v>
      </c>
      <c r="Z253" s="237" t="s">
        <v>542</v>
      </c>
      <c r="AA253" s="173">
        <f>U253+AA265</f>
        <v>89595.01</v>
      </c>
      <c r="AB253" s="133">
        <f t="shared" si="162"/>
        <v>89197</v>
      </c>
      <c r="AC253" s="315">
        <f>($B253-AB253)^2/1000</f>
        <v>262.14400000000001</v>
      </c>
      <c r="AE253" s="316">
        <f t="shared" si="163"/>
        <v>6.8351953387776581</v>
      </c>
      <c r="AF253" s="237" t="s">
        <v>542</v>
      </c>
      <c r="AG253" s="173">
        <f>AA253+AG265</f>
        <v>89615.01</v>
      </c>
      <c r="AH253" s="133">
        <f t="shared" si="164"/>
        <v>89162</v>
      </c>
      <c r="AI253" s="315">
        <f>($B253-AH253)^2/1000</f>
        <v>227.529</v>
      </c>
      <c r="AK253" s="316">
        <f t="shared" si="165"/>
        <v>6.8564725108549691</v>
      </c>
      <c r="AL253" s="237" t="s">
        <v>542</v>
      </c>
      <c r="AM253" s="173">
        <f>AG253+AM265</f>
        <v>89635.01</v>
      </c>
      <c r="AN253" s="133">
        <f t="shared" si="166"/>
        <v>89136</v>
      </c>
      <c r="AO253" s="315">
        <f>($B253-AN253)^2/1000</f>
        <v>203.40100000000001</v>
      </c>
      <c r="AQ253" s="316">
        <f t="shared" si="167"/>
        <v>6.8773063807226338</v>
      </c>
      <c r="AR253" s="237" t="s">
        <v>542</v>
      </c>
      <c r="AS253" s="173">
        <f>AM253+AS265</f>
        <v>89655.01</v>
      </c>
      <c r="AT253" s="133">
        <f t="shared" si="168"/>
        <v>89116</v>
      </c>
      <c r="AU253" s="315">
        <f>($B253-AT253)^2/1000</f>
        <v>185.761</v>
      </c>
      <c r="AW253" s="316">
        <f t="shared" si="169"/>
        <v>6.8977150440877164</v>
      </c>
      <c r="AX253" s="237" t="s">
        <v>542</v>
      </c>
      <c r="AY253" s="173">
        <f>AS253+AY265</f>
        <v>89675.01</v>
      </c>
      <c r="AZ253" s="133">
        <f t="shared" si="170"/>
        <v>89100</v>
      </c>
      <c r="BA253" s="315">
        <f>($B253-AZ253)^2/1000</f>
        <v>172.22499999999999</v>
      </c>
      <c r="BC253" s="316">
        <f t="shared" si="171"/>
        <v>6.9177155107763841</v>
      </c>
      <c r="BD253" s="237" t="s">
        <v>542</v>
      </c>
      <c r="BE253" s="173">
        <f>AY253+BE265</f>
        <v>89695.01</v>
      </c>
      <c r="BF253" s="133">
        <f t="shared" si="172"/>
        <v>89087</v>
      </c>
      <c r="BG253" s="315">
        <f>($B253-BF253)^2/1000</f>
        <v>161.60400000000001</v>
      </c>
      <c r="BI253" s="316">
        <f t="shared" si="173"/>
        <v>6.9373237899144113</v>
      </c>
      <c r="BJ253" s="237" t="s">
        <v>542</v>
      </c>
      <c r="BK253" s="173">
        <f>BE253+BK265</f>
        <v>89715.01</v>
      </c>
      <c r="BL253" s="133">
        <f t="shared" si="174"/>
        <v>89075</v>
      </c>
      <c r="BM253" s="315">
        <f>($B253-BL253)^2/1000</f>
        <v>152.1</v>
      </c>
    </row>
    <row r="254" spans="1:65" ht="15" customHeight="1">
      <c r="A254" s="310">
        <f t="shared" si="155"/>
        <v>2008</v>
      </c>
      <c r="B254" s="311">
        <f t="shared" si="155"/>
        <v>88176</v>
      </c>
      <c r="C254" s="135">
        <f t="shared" ref="C254:C261" si="175">LN($F$254-B254)</f>
        <v>7.3388946315435613</v>
      </c>
      <c r="D254" s="312">
        <f t="shared" ref="D254:D284" si="176">D253+1</f>
        <v>3</v>
      </c>
      <c r="E254" s="239" t="s">
        <v>543</v>
      </c>
      <c r="F254" s="173">
        <f>E279</f>
        <v>89715.01</v>
      </c>
      <c r="G254" s="313"/>
      <c r="H254" s="424"/>
      <c r="I254" s="314">
        <f t="shared" si="156"/>
        <v>88874</v>
      </c>
      <c r="J254" s="143">
        <f t="shared" ref="J254:J269" si="177">ABS(B254-I254)/B254*100</f>
        <v>0.79159862093993827</v>
      </c>
      <c r="K254" s="143">
        <f t="shared" ref="K254:K269" si="178">(B254-I254)^2/1000</f>
        <v>487.20400000000001</v>
      </c>
      <c r="M254" s="316">
        <f t="shared" si="157"/>
        <v>7.2291211293986226</v>
      </c>
      <c r="N254" s="237" t="s">
        <v>544</v>
      </c>
      <c r="O254" s="141">
        <f>INDEX(LINEST(M252:M261,$D252:$D261),2)</f>
        <v>1.9353061176570163</v>
      </c>
      <c r="P254" s="133">
        <f t="shared" si="158"/>
        <v>89477</v>
      </c>
      <c r="Q254" s="315">
        <f t="shared" ref="Q254:Q261" si="179">($B254-P254)^2/1000</f>
        <v>1692.6010000000001</v>
      </c>
      <c r="S254" s="316">
        <f t="shared" si="159"/>
        <v>7.2435201226027619</v>
      </c>
      <c r="T254" s="237" t="s">
        <v>544</v>
      </c>
      <c r="U254" s="141">
        <f>INDEX(LINEST(S252:S261,$D252:$D261),2)</f>
        <v>4.9902963084679559</v>
      </c>
      <c r="V254" s="133">
        <f t="shared" si="160"/>
        <v>89101</v>
      </c>
      <c r="W254" s="315">
        <f t="shared" ref="W254:W261" si="180">($B254-V254)^2/1000</f>
        <v>855.625</v>
      </c>
      <c r="Y254" s="316">
        <f t="shared" si="161"/>
        <v>7.2577147243515574</v>
      </c>
      <c r="Z254" s="237" t="s">
        <v>544</v>
      </c>
      <c r="AA254" s="141">
        <f>INDEX(LINEST(Y252:Y261,$D252:$D261),2)</f>
        <v>5.2816123539269029</v>
      </c>
      <c r="AB254" s="133">
        <f t="shared" si="162"/>
        <v>89030</v>
      </c>
      <c r="AC254" s="315">
        <f t="shared" ref="AC254:AC261" si="181">($B254-AB254)^2/1000</f>
        <v>729.31600000000003</v>
      </c>
      <c r="AE254" s="316">
        <f t="shared" si="163"/>
        <v>7.2717106561335445</v>
      </c>
      <c r="AF254" s="237" t="s">
        <v>544</v>
      </c>
      <c r="AG254" s="141">
        <f>INDEX(LINEST(AE252:AE261,$D252:$D261),2)</f>
        <v>5.4576602385536983</v>
      </c>
      <c r="AH254" s="133">
        <f t="shared" si="164"/>
        <v>88985</v>
      </c>
      <c r="AI254" s="315">
        <f t="shared" ref="AI254:AI261" si="182">($B254-AH254)^2/1000</f>
        <v>654.48099999999999</v>
      </c>
      <c r="AK254" s="316">
        <f t="shared" si="165"/>
        <v>7.2855134025088892</v>
      </c>
      <c r="AL254" s="237" t="s">
        <v>544</v>
      </c>
      <c r="AM254" s="141">
        <f>INDEX(LINEST(AK252:AK261,$D252:$D261),2)</f>
        <v>5.5863591765339073</v>
      </c>
      <c r="AN254" s="133">
        <f t="shared" si="166"/>
        <v>88953</v>
      </c>
      <c r="AO254" s="315">
        <f t="shared" ref="AO254:AO261" si="183">($B254-AN254)^2/1000</f>
        <v>603.72900000000004</v>
      </c>
      <c r="AQ254" s="316">
        <f t="shared" si="167"/>
        <v>7.2991282240131587</v>
      </c>
      <c r="AR254" s="237" t="s">
        <v>544</v>
      </c>
      <c r="AS254" s="141">
        <f>INDEX(LINEST(AQ252:AQ261,$D252:$D261),2)</f>
        <v>5.6890060155173243</v>
      </c>
      <c r="AT254" s="133">
        <f t="shared" si="168"/>
        <v>88928</v>
      </c>
      <c r="AU254" s="315">
        <f t="shared" ref="AU254:AU261" si="184">($B254-AT254)^2/1000</f>
        <v>565.50400000000002</v>
      </c>
      <c r="AW254" s="316">
        <f t="shared" si="169"/>
        <v>7.3125601691944189</v>
      </c>
      <c r="AX254" s="237" t="s">
        <v>544</v>
      </c>
      <c r="AY254" s="141">
        <f>INDEX(LINEST(AW252:AW261,$D252:$D261),2)</f>
        <v>5.7750925778900797</v>
      </c>
      <c r="AZ254" s="133">
        <f t="shared" si="170"/>
        <v>88907</v>
      </c>
      <c r="BA254" s="315">
        <f t="shared" ref="BA254:BA261" si="185">($B254-AZ254)^2/1000</f>
        <v>534.36099999999999</v>
      </c>
      <c r="BC254" s="316">
        <f t="shared" si="171"/>
        <v>7.3258140858525724</v>
      </c>
      <c r="BD254" s="237" t="s">
        <v>544</v>
      </c>
      <c r="BE254" s="141">
        <f>INDEX(LINEST(BC252:BC261,$D252:$D261),2)</f>
        <v>5.8496859689027634</v>
      </c>
      <c r="BF254" s="133">
        <f t="shared" si="172"/>
        <v>88889</v>
      </c>
      <c r="BG254" s="315">
        <f t="shared" ref="BG254:BG261" si="186">($B254-BF254)^2/1000</f>
        <v>508.36900000000003</v>
      </c>
      <c r="BI254" s="316">
        <f t="shared" si="173"/>
        <v>7.3388946315435613</v>
      </c>
      <c r="BJ254" s="237" t="s">
        <v>544</v>
      </c>
      <c r="BK254" s="141">
        <f>INDEX(LINEST(BI252:BI261,$D252:$D261),2)</f>
        <v>5.9158137722595328</v>
      </c>
      <c r="BL254" s="133">
        <f t="shared" si="174"/>
        <v>88874</v>
      </c>
      <c r="BM254" s="315">
        <f t="shared" ref="BM254:BM261" si="187">($B254-BL254)^2/1000</f>
        <v>487.20400000000001</v>
      </c>
    </row>
    <row r="255" spans="1:65" ht="15" customHeight="1">
      <c r="A255" s="310">
        <f t="shared" si="155"/>
        <v>2009</v>
      </c>
      <c r="B255" s="311">
        <f t="shared" si="155"/>
        <v>87631</v>
      </c>
      <c r="C255" s="135">
        <f t="shared" si="175"/>
        <v>7.642049201326234</v>
      </c>
      <c r="D255" s="312">
        <f t="shared" si="176"/>
        <v>4</v>
      </c>
      <c r="G255" s="313"/>
      <c r="H255" s="424"/>
      <c r="I255" s="314">
        <f t="shared" si="156"/>
        <v>88611</v>
      </c>
      <c r="J255" s="143">
        <f t="shared" si="177"/>
        <v>1.1183257066563204</v>
      </c>
      <c r="K255" s="143">
        <f t="shared" si="178"/>
        <v>960.4</v>
      </c>
      <c r="M255" s="316">
        <f t="shared" si="157"/>
        <v>7.5621668287173396</v>
      </c>
      <c r="N255" s="237" t="s">
        <v>545</v>
      </c>
      <c r="O255" s="141">
        <f>INDEX(LINEST(M252:M261,$D252:$D261),1)</f>
        <v>0.80581296409896286</v>
      </c>
      <c r="P255" s="133">
        <f t="shared" si="158"/>
        <v>89381</v>
      </c>
      <c r="Q255" s="315">
        <f t="shared" si="179"/>
        <v>3062.5</v>
      </c>
      <c r="S255" s="316">
        <f t="shared" si="159"/>
        <v>7.5725081290400729</v>
      </c>
      <c r="T255" s="237" t="s">
        <v>545</v>
      </c>
      <c r="U255" s="141">
        <f>INDEX(LINEST(S252:S261,$D252:$D261),1)</f>
        <v>0.39049899212123346</v>
      </c>
      <c r="V255" s="133">
        <f t="shared" si="160"/>
        <v>88874</v>
      </c>
      <c r="W255" s="315">
        <f t="shared" si="180"/>
        <v>1545.049</v>
      </c>
      <c r="Y255" s="316">
        <f t="shared" si="161"/>
        <v>7.5827435805511403</v>
      </c>
      <c r="Z255" s="237" t="s">
        <v>545</v>
      </c>
      <c r="AA255" s="141">
        <f>INDEX(LINEST(Y252:Y261,$D252:$D261),1)</f>
        <v>0.35203392962712493</v>
      </c>
      <c r="AB255" s="133">
        <f t="shared" si="162"/>
        <v>88791</v>
      </c>
      <c r="AC255" s="315">
        <f t="shared" si="181"/>
        <v>1345.6</v>
      </c>
      <c r="AE255" s="316">
        <f t="shared" si="163"/>
        <v>7.5928753281546939</v>
      </c>
      <c r="AF255" s="237" t="s">
        <v>545</v>
      </c>
      <c r="AG255" s="141">
        <f>INDEX(LINEST(AE252:AE261,$D252:$D261),1)</f>
        <v>0.32927195650217045</v>
      </c>
      <c r="AH255" s="133">
        <f t="shared" si="164"/>
        <v>88740</v>
      </c>
      <c r="AI255" s="315">
        <f t="shared" si="182"/>
        <v>1229.8810000000001</v>
      </c>
      <c r="AK255" s="316">
        <f t="shared" si="165"/>
        <v>7.602905452212263</v>
      </c>
      <c r="AL255" s="237" t="s">
        <v>545</v>
      </c>
      <c r="AM255" s="141">
        <f>INDEX(LINEST(AK252:AK261,$D252:$D261),1)</f>
        <v>0.31295179152135066</v>
      </c>
      <c r="AN255" s="133">
        <f t="shared" si="166"/>
        <v>88702</v>
      </c>
      <c r="AO255" s="315">
        <f t="shared" si="183"/>
        <v>1147.0409999999999</v>
      </c>
      <c r="AQ255" s="316">
        <f t="shared" si="167"/>
        <v>7.6128359711066107</v>
      </c>
      <c r="AR255" s="237" t="s">
        <v>545</v>
      </c>
      <c r="AS255" s="141">
        <f>INDEX(LINEST(AQ252:AQ261,$D252:$D261),1)</f>
        <v>0.30016972950871151</v>
      </c>
      <c r="AT255" s="133">
        <f t="shared" si="168"/>
        <v>88673</v>
      </c>
      <c r="AU255" s="315">
        <f t="shared" si="184"/>
        <v>1085.7639999999999</v>
      </c>
      <c r="AW255" s="316">
        <f t="shared" si="169"/>
        <v>7.6226688436795307</v>
      </c>
      <c r="AX255" s="237" t="s">
        <v>545</v>
      </c>
      <c r="AY255" s="141">
        <f>INDEX(LINEST(AW252:AW261,$D252:$D261),1)</f>
        <v>0.28963182328035392</v>
      </c>
      <c r="AZ255" s="133">
        <f t="shared" si="170"/>
        <v>88649</v>
      </c>
      <c r="BA255" s="315">
        <f t="shared" si="185"/>
        <v>1036.3240000000001</v>
      </c>
      <c r="BC255" s="316">
        <f t="shared" si="171"/>
        <v>7.6324059715509547</v>
      </c>
      <c r="BD255" s="237" t="s">
        <v>545</v>
      </c>
      <c r="BE255" s="141">
        <f>INDEX(LINEST(BC252:BC261,$D252:$D261),1)</f>
        <v>0.28064747910191534</v>
      </c>
      <c r="BF255" s="133">
        <f t="shared" si="172"/>
        <v>88628</v>
      </c>
      <c r="BG255" s="315">
        <f t="shared" si="186"/>
        <v>994.00900000000001</v>
      </c>
      <c r="BI255" s="316">
        <f t="shared" si="173"/>
        <v>7.642049201326234</v>
      </c>
      <c r="BJ255" s="237" t="s">
        <v>545</v>
      </c>
      <c r="BK255" s="141">
        <f>INDEX(LINEST(BI252:BI261,$D252:$D261),1)</f>
        <v>0.27280420376918196</v>
      </c>
      <c r="BL255" s="133">
        <f t="shared" si="174"/>
        <v>88611</v>
      </c>
      <c r="BM255" s="315">
        <f t="shared" si="187"/>
        <v>960.4</v>
      </c>
    </row>
    <row r="256" spans="1:65" ht="15" customHeight="1">
      <c r="A256" s="310">
        <f t="shared" si="155"/>
        <v>2010</v>
      </c>
      <c r="B256" s="311">
        <f t="shared" si="155"/>
        <v>88078</v>
      </c>
      <c r="C256" s="135">
        <f t="shared" si="175"/>
        <v>7.400626686087965</v>
      </c>
      <c r="D256" s="312">
        <f t="shared" si="176"/>
        <v>5</v>
      </c>
      <c r="E256" s="239" t="s">
        <v>544</v>
      </c>
      <c r="F256" s="141">
        <f>INDEX(LINEST(C252:C261,D252:D261),2)</f>
        <v>5.9158137722595328</v>
      </c>
      <c r="G256" s="313"/>
      <c r="H256" s="424"/>
      <c r="I256" s="314">
        <f t="shared" si="156"/>
        <v>88264</v>
      </c>
      <c r="J256" s="143">
        <f t="shared" si="177"/>
        <v>0.2111764572310906</v>
      </c>
      <c r="K256" s="143">
        <f t="shared" si="178"/>
        <v>34.595999999999997</v>
      </c>
      <c r="M256" s="316">
        <f t="shared" si="157"/>
        <v>7.2977750529891612</v>
      </c>
      <c r="N256" s="237" t="s">
        <v>442</v>
      </c>
      <c r="O256" s="173">
        <f>EXP(O254)</f>
        <v>6.9261639519739218</v>
      </c>
      <c r="P256" s="133">
        <f t="shared" si="158"/>
        <v>89166</v>
      </c>
      <c r="Q256" s="315">
        <f t="shared" si="179"/>
        <v>1183.7439999999999</v>
      </c>
      <c r="S256" s="316">
        <f t="shared" si="159"/>
        <v>7.3112250644240335</v>
      </c>
      <c r="T256" s="237" t="s">
        <v>445</v>
      </c>
      <c r="U256" s="173">
        <f>EXP(U254)</f>
        <v>146.97996845327896</v>
      </c>
      <c r="V256" s="133">
        <f t="shared" si="160"/>
        <v>88539</v>
      </c>
      <c r="W256" s="315">
        <f t="shared" si="180"/>
        <v>212.52099999999999</v>
      </c>
      <c r="Y256" s="316">
        <f t="shared" si="161"/>
        <v>7.3244965712846133</v>
      </c>
      <c r="Z256" s="237" t="s">
        <v>546</v>
      </c>
      <c r="AA256" s="173">
        <f>EXP(AA254)</f>
        <v>196.6867484786149</v>
      </c>
      <c r="AB256" s="133">
        <f t="shared" si="162"/>
        <v>88452</v>
      </c>
      <c r="AC256" s="315">
        <f t="shared" si="181"/>
        <v>139.876</v>
      </c>
      <c r="AE256" s="316">
        <f t="shared" si="163"/>
        <v>7.3375942496982995</v>
      </c>
      <c r="AF256" s="237" t="s">
        <v>442</v>
      </c>
      <c r="AG256" s="173">
        <f>EXP(AG254)</f>
        <v>234.54799549248418</v>
      </c>
      <c r="AH256" s="133">
        <f t="shared" si="164"/>
        <v>88398</v>
      </c>
      <c r="AI256" s="315">
        <f t="shared" si="182"/>
        <v>102.4</v>
      </c>
      <c r="AK256" s="316">
        <f t="shared" si="165"/>
        <v>7.3505225944209487</v>
      </c>
      <c r="AL256" s="237" t="s">
        <v>445</v>
      </c>
      <c r="AM256" s="173">
        <f>EXP(AM254)</f>
        <v>266.762613932639</v>
      </c>
      <c r="AN256" s="133">
        <f t="shared" si="166"/>
        <v>88359</v>
      </c>
      <c r="AO256" s="315">
        <f t="shared" si="183"/>
        <v>78.960999999999999</v>
      </c>
      <c r="AQ256" s="316">
        <f t="shared" si="167"/>
        <v>7.36328592809702</v>
      </c>
      <c r="AR256" s="237" t="s">
        <v>546</v>
      </c>
      <c r="AS256" s="173">
        <f>EXP(AS254)</f>
        <v>295.59965309683639</v>
      </c>
      <c r="AT256" s="133">
        <f t="shared" si="168"/>
        <v>88329</v>
      </c>
      <c r="AU256" s="315">
        <f t="shared" si="184"/>
        <v>63.000999999999998</v>
      </c>
      <c r="AW256" s="316">
        <f t="shared" si="169"/>
        <v>7.3758884099361683</v>
      </c>
      <c r="AX256" s="237" t="s">
        <v>442</v>
      </c>
      <c r="AY256" s="173">
        <f>EXP(AY254)</f>
        <v>322.17425955108229</v>
      </c>
      <c r="AZ256" s="133">
        <f t="shared" si="170"/>
        <v>88304</v>
      </c>
      <c r="BA256" s="315">
        <f t="shared" si="185"/>
        <v>51.076000000000001</v>
      </c>
      <c r="BC256" s="316">
        <f t="shared" si="171"/>
        <v>7.3883340438498797</v>
      </c>
      <c r="BD256" s="237" t="s">
        <v>445</v>
      </c>
      <c r="BE256" s="173">
        <f>EXP(BE254)</f>
        <v>347.12535520479372</v>
      </c>
      <c r="BF256" s="133">
        <f t="shared" si="172"/>
        <v>88283</v>
      </c>
      <c r="BG256" s="315">
        <f t="shared" si="186"/>
        <v>42.024999999999999</v>
      </c>
      <c r="BI256" s="316">
        <f t="shared" si="173"/>
        <v>7.400626686087965</v>
      </c>
      <c r="BJ256" s="237" t="s">
        <v>546</v>
      </c>
      <c r="BK256" s="173">
        <f>EXP(BK254)</f>
        <v>370.85597224503135</v>
      </c>
      <c r="BL256" s="133">
        <f t="shared" si="174"/>
        <v>88264</v>
      </c>
      <c r="BM256" s="315">
        <f t="shared" si="187"/>
        <v>34.595999999999997</v>
      </c>
    </row>
    <row r="257" spans="1:65" ht="15" customHeight="1">
      <c r="A257" s="310">
        <f t="shared" si="155"/>
        <v>2011</v>
      </c>
      <c r="B257" s="311">
        <f t="shared" si="155"/>
        <v>88108</v>
      </c>
      <c r="C257" s="135">
        <f t="shared" si="175"/>
        <v>7.3821305884935056</v>
      </c>
      <c r="D257" s="312">
        <f t="shared" si="176"/>
        <v>6</v>
      </c>
      <c r="E257" s="239" t="s">
        <v>545</v>
      </c>
      <c r="F257" s="141">
        <f>INDEX(LINEST(C252:C261,D252:D261),1)</f>
        <v>0.27280420376918196</v>
      </c>
      <c r="G257" s="424"/>
      <c r="H257" s="424"/>
      <c r="I257" s="314">
        <f t="shared" si="156"/>
        <v>87809</v>
      </c>
      <c r="J257" s="143">
        <f t="shared" si="177"/>
        <v>0.33935624460888908</v>
      </c>
      <c r="K257" s="143">
        <f t="shared" si="178"/>
        <v>89.400999999999996</v>
      </c>
      <c r="M257" s="316">
        <f t="shared" si="157"/>
        <v>7.2772546374576352</v>
      </c>
      <c r="N257" s="237" t="s">
        <v>439</v>
      </c>
      <c r="O257" s="141">
        <f>EXP(O255)</f>
        <v>2.2385155921023809</v>
      </c>
      <c r="P257" s="133">
        <f t="shared" si="158"/>
        <v>88684</v>
      </c>
      <c r="Q257" s="315">
        <f t="shared" si="179"/>
        <v>331.77600000000001</v>
      </c>
      <c r="S257" s="316">
        <f t="shared" si="159"/>
        <v>7.2909815947523287</v>
      </c>
      <c r="T257" s="237" t="s">
        <v>364</v>
      </c>
      <c r="U257" s="141">
        <f>EXP(U255)</f>
        <v>1.4777179795716324</v>
      </c>
      <c r="V257" s="133">
        <f t="shared" si="160"/>
        <v>88045</v>
      </c>
      <c r="W257" s="315">
        <f t="shared" si="180"/>
        <v>3.9689999999999999</v>
      </c>
      <c r="Y257" s="316">
        <f t="shared" si="161"/>
        <v>7.3045226713871019</v>
      </c>
      <c r="Z257" s="237" t="s">
        <v>509</v>
      </c>
      <c r="AA257" s="141">
        <f>EXP(AA255)</f>
        <v>1.4219567693630668</v>
      </c>
      <c r="AB257" s="133">
        <f t="shared" si="162"/>
        <v>87969</v>
      </c>
      <c r="AC257" s="315">
        <f t="shared" si="181"/>
        <v>19.321000000000002</v>
      </c>
      <c r="AE257" s="316">
        <f t="shared" si="163"/>
        <v>7.3178828343045419</v>
      </c>
      <c r="AF257" s="237" t="s">
        <v>547</v>
      </c>
      <c r="AG257" s="141">
        <f>EXP(AG255)</f>
        <v>1.3899558117121931</v>
      </c>
      <c r="AH257" s="133">
        <f t="shared" si="164"/>
        <v>87924</v>
      </c>
      <c r="AI257" s="315">
        <f t="shared" si="182"/>
        <v>33.856000000000002</v>
      </c>
      <c r="AK257" s="316">
        <f t="shared" si="165"/>
        <v>7.3310668539856598</v>
      </c>
      <c r="AL257" s="237" t="s">
        <v>391</v>
      </c>
      <c r="AM257" s="141">
        <f>EXP(AM255)</f>
        <v>1.3674556064841479</v>
      </c>
      <c r="AN257" s="133">
        <f t="shared" si="166"/>
        <v>87891</v>
      </c>
      <c r="AO257" s="315">
        <f t="shared" si="183"/>
        <v>47.088999999999999</v>
      </c>
      <c r="AQ257" s="316">
        <f t="shared" si="167"/>
        <v>7.3440793146762813</v>
      </c>
      <c r="AR257" s="237" t="s">
        <v>548</v>
      </c>
      <c r="AS257" s="141">
        <f>EXP(AS255)</f>
        <v>1.3500879378927808</v>
      </c>
      <c r="AT257" s="133">
        <f t="shared" si="168"/>
        <v>87865</v>
      </c>
      <c r="AU257" s="315">
        <f t="shared" si="184"/>
        <v>59.048999999999999</v>
      </c>
      <c r="AW257" s="316">
        <f t="shared" si="169"/>
        <v>7.3569246239565871</v>
      </c>
      <c r="AX257" s="237" t="s">
        <v>549</v>
      </c>
      <c r="AY257" s="141">
        <f>EXP(AY255)</f>
        <v>1.3359355371048813</v>
      </c>
      <c r="AZ257" s="133">
        <f t="shared" si="170"/>
        <v>87844</v>
      </c>
      <c r="BA257" s="315">
        <f t="shared" si="185"/>
        <v>69.695999999999998</v>
      </c>
      <c r="BC257" s="316">
        <f t="shared" si="171"/>
        <v>7.3696070217037803</v>
      </c>
      <c r="BD257" s="237" t="s">
        <v>396</v>
      </c>
      <c r="BE257" s="141">
        <f>EXP(BE255)</f>
        <v>1.3239867886472332</v>
      </c>
      <c r="BF257" s="133">
        <f t="shared" si="172"/>
        <v>87825</v>
      </c>
      <c r="BG257" s="315">
        <f t="shared" si="186"/>
        <v>80.088999999999999</v>
      </c>
      <c r="BI257" s="316">
        <f t="shared" si="173"/>
        <v>7.3821305884935056</v>
      </c>
      <c r="BJ257" s="237" t="s">
        <v>550</v>
      </c>
      <c r="BK257" s="141">
        <f>EXP(BK255)</f>
        <v>1.3136430132924357</v>
      </c>
      <c r="BL257" s="133">
        <f t="shared" si="174"/>
        <v>87809</v>
      </c>
      <c r="BM257" s="315">
        <f t="shared" si="187"/>
        <v>89.400999999999996</v>
      </c>
    </row>
    <row r="258" spans="1:65" ht="15" customHeight="1">
      <c r="A258" s="310">
        <f t="shared" si="155"/>
        <v>2012</v>
      </c>
      <c r="B258" s="311">
        <f t="shared" si="155"/>
        <v>88415</v>
      </c>
      <c r="C258" s="135">
        <f t="shared" si="175"/>
        <v>7.1701272357277306</v>
      </c>
      <c r="D258" s="312">
        <f t="shared" si="176"/>
        <v>7</v>
      </c>
      <c r="G258" s="424"/>
      <c r="H258" s="424"/>
      <c r="I258" s="314">
        <f t="shared" si="156"/>
        <v>87212</v>
      </c>
      <c r="J258" s="143">
        <f t="shared" si="177"/>
        <v>1.3606288525702652</v>
      </c>
      <c r="K258" s="143">
        <f t="shared" si="178"/>
        <v>1447.2090000000001</v>
      </c>
      <c r="M258" s="316">
        <f t="shared" si="157"/>
        <v>7.0387923132798882</v>
      </c>
      <c r="N258" s="313" t="s">
        <v>1056</v>
      </c>
      <c r="O258" s="144">
        <f>P250</f>
        <v>0.82190193179570481</v>
      </c>
      <c r="P258" s="133">
        <f t="shared" si="158"/>
        <v>87604</v>
      </c>
      <c r="Q258" s="315">
        <f t="shared" si="179"/>
        <v>657.721</v>
      </c>
      <c r="S258" s="316">
        <f t="shared" si="159"/>
        <v>7.0561839047529027</v>
      </c>
      <c r="T258" s="313" t="s">
        <v>1056</v>
      </c>
      <c r="U258" s="144">
        <f>V250</f>
        <v>0.87641427906167146</v>
      </c>
      <c r="V258" s="133">
        <f t="shared" si="160"/>
        <v>87313</v>
      </c>
      <c r="W258" s="315">
        <f t="shared" si="180"/>
        <v>1214.404</v>
      </c>
      <c r="Y258" s="316">
        <f t="shared" si="161"/>
        <v>7.0732781920000685</v>
      </c>
      <c r="Z258" s="313" t="s">
        <v>1056</v>
      </c>
      <c r="AA258" s="144">
        <f>AB250</f>
        <v>0.8741804851837377</v>
      </c>
      <c r="AB258" s="133">
        <f t="shared" si="162"/>
        <v>87283</v>
      </c>
      <c r="AC258" s="315">
        <f t="shared" si="181"/>
        <v>1281.424</v>
      </c>
      <c r="AE258" s="316">
        <f t="shared" si="163"/>
        <v>7.0900851690746984</v>
      </c>
      <c r="AF258" s="313" t="s">
        <v>1056</v>
      </c>
      <c r="AG258" s="144">
        <f>AH250</f>
        <v>0.87196071698557576</v>
      </c>
      <c r="AH258" s="133">
        <f t="shared" si="164"/>
        <v>87264</v>
      </c>
      <c r="AI258" s="315">
        <f t="shared" si="182"/>
        <v>1324.8009999999999</v>
      </c>
      <c r="AK258" s="316">
        <f t="shared" si="165"/>
        <v>7.1066143344150161</v>
      </c>
      <c r="AL258" s="313" t="s">
        <v>1056</v>
      </c>
      <c r="AM258" s="144">
        <f>AN250</f>
        <v>0.86988392603210807</v>
      </c>
      <c r="AN258" s="133">
        <f t="shared" si="166"/>
        <v>87250</v>
      </c>
      <c r="AO258" s="315">
        <f t="shared" si="183"/>
        <v>1357.2249999999999</v>
      </c>
      <c r="AQ258" s="316">
        <f t="shared" si="167"/>
        <v>7.1228747230826892</v>
      </c>
      <c r="AR258" s="313" t="s">
        <v>1056</v>
      </c>
      <c r="AS258" s="144">
        <f>AT250</f>
        <v>0.86785872345750192</v>
      </c>
      <c r="AT258" s="133">
        <f t="shared" si="168"/>
        <v>87238</v>
      </c>
      <c r="AU258" s="315">
        <f t="shared" si="184"/>
        <v>1385.329</v>
      </c>
      <c r="AW258" s="316">
        <f t="shared" si="169"/>
        <v>7.1388749364219617</v>
      </c>
      <c r="AX258" s="313" t="s">
        <v>1056</v>
      </c>
      <c r="AY258" s="144">
        <f>AZ250</f>
        <v>0.86607276074977491</v>
      </c>
      <c r="AZ258" s="133">
        <f t="shared" si="170"/>
        <v>87228</v>
      </c>
      <c r="BA258" s="315">
        <f t="shared" si="185"/>
        <v>1408.9690000000001</v>
      </c>
      <c r="BC258" s="316">
        <f t="shared" si="171"/>
        <v>7.1546231693831412</v>
      </c>
      <c r="BD258" s="313" t="s">
        <v>1056</v>
      </c>
      <c r="BE258" s="144">
        <f>BF250</f>
        <v>0.86435577158865995</v>
      </c>
      <c r="BF258" s="133">
        <f t="shared" si="172"/>
        <v>87219</v>
      </c>
      <c r="BG258" s="315">
        <f t="shared" si="186"/>
        <v>1430.4159999999999</v>
      </c>
      <c r="BI258" s="316">
        <f t="shared" si="173"/>
        <v>7.1701272357277306</v>
      </c>
      <c r="BJ258" s="313" t="s">
        <v>1056</v>
      </c>
      <c r="BK258" s="144">
        <f>BL250</f>
        <v>0.86282559022804861</v>
      </c>
      <c r="BL258" s="133">
        <f t="shared" si="174"/>
        <v>87212</v>
      </c>
      <c r="BM258" s="315">
        <f t="shared" si="187"/>
        <v>1447.2090000000001</v>
      </c>
    </row>
    <row r="259" spans="1:65" ht="15" customHeight="1">
      <c r="A259" s="310">
        <f t="shared" si="155"/>
        <v>2013</v>
      </c>
      <c r="B259" s="311">
        <f t="shared" si="155"/>
        <v>85843</v>
      </c>
      <c r="C259" s="135">
        <f t="shared" si="175"/>
        <v>8.2615290310377585</v>
      </c>
      <c r="D259" s="312">
        <f t="shared" si="176"/>
        <v>8</v>
      </c>
      <c r="E259" s="239" t="s">
        <v>445</v>
      </c>
      <c r="F259" s="122">
        <f>EXP(F256)</f>
        <v>370.85597224503135</v>
      </c>
      <c r="G259" s="424"/>
      <c r="H259" s="424"/>
      <c r="I259" s="314">
        <f t="shared" si="156"/>
        <v>86426</v>
      </c>
      <c r="J259" s="143">
        <f t="shared" si="177"/>
        <v>0.67914681453350889</v>
      </c>
      <c r="K259" s="143">
        <f t="shared" si="178"/>
        <v>339.88900000000001</v>
      </c>
      <c r="M259" s="316">
        <f t="shared" si="157"/>
        <v>8.2193287878679779</v>
      </c>
      <c r="N259" s="313" t="s">
        <v>551</v>
      </c>
      <c r="O259" s="173">
        <f>SUM(Q252:Q261)</f>
        <v>303052.50199999998</v>
      </c>
      <c r="P259" s="133">
        <f t="shared" si="158"/>
        <v>85188</v>
      </c>
      <c r="Q259" s="315">
        <f t="shared" si="179"/>
        <v>429.02499999999998</v>
      </c>
      <c r="S259" s="316">
        <f t="shared" si="159"/>
        <v>8.2247022414920465</v>
      </c>
      <c r="T259" s="313" t="s">
        <v>551</v>
      </c>
      <c r="U259" s="173">
        <f>SUM(W252:W261)</f>
        <v>7959.4150000000009</v>
      </c>
      <c r="V259" s="133">
        <f t="shared" si="160"/>
        <v>86233</v>
      </c>
      <c r="W259" s="315">
        <f t="shared" si="180"/>
        <v>152.1</v>
      </c>
      <c r="Y259" s="316">
        <f t="shared" si="161"/>
        <v>8.230046975367765</v>
      </c>
      <c r="Z259" s="313" t="s">
        <v>551</v>
      </c>
      <c r="AA259" s="173">
        <f>SUM(AC252:AC261)</f>
        <v>5547.6759999999995</v>
      </c>
      <c r="AB259" s="133">
        <f t="shared" si="162"/>
        <v>86308</v>
      </c>
      <c r="AC259" s="315">
        <f t="shared" si="181"/>
        <v>216.22499999999999</v>
      </c>
      <c r="AE259" s="316">
        <f t="shared" si="163"/>
        <v>8.2353632948632995</v>
      </c>
      <c r="AF259" s="313" t="s">
        <v>551</v>
      </c>
      <c r="AG259" s="173">
        <f>SUM(AI252:AI261)</f>
        <v>4697.0889999999999</v>
      </c>
      <c r="AH259" s="133">
        <f t="shared" si="164"/>
        <v>86347</v>
      </c>
      <c r="AI259" s="315">
        <f t="shared" si="182"/>
        <v>254.01599999999999</v>
      </c>
      <c r="AK259" s="316">
        <f t="shared" si="165"/>
        <v>8.2406515005022349</v>
      </c>
      <c r="AL259" s="313" t="s">
        <v>551</v>
      </c>
      <c r="AM259" s="173">
        <f>SUM(AO252:AO261)</f>
        <v>4300.4639999999999</v>
      </c>
      <c r="AN259" s="133">
        <f t="shared" si="166"/>
        <v>86373</v>
      </c>
      <c r="AO259" s="315">
        <f t="shared" si="183"/>
        <v>280.89999999999998</v>
      </c>
      <c r="AQ259" s="316">
        <f t="shared" si="167"/>
        <v>8.2459118880655087</v>
      </c>
      <c r="AR259" s="313" t="s">
        <v>551</v>
      </c>
      <c r="AS259" s="173">
        <f>SUM(AU252:AU261)</f>
        <v>4099.7800000000007</v>
      </c>
      <c r="AT259" s="133">
        <f t="shared" si="168"/>
        <v>86392</v>
      </c>
      <c r="AU259" s="315">
        <f t="shared" si="184"/>
        <v>301.40100000000001</v>
      </c>
      <c r="AW259" s="316">
        <f t="shared" si="169"/>
        <v>8.2511447486906846</v>
      </c>
      <c r="AX259" s="313" t="s">
        <v>551</v>
      </c>
      <c r="AY259" s="173">
        <f>SUM(BA252:BA261)</f>
        <v>3993.1490000000003</v>
      </c>
      <c r="AZ259" s="133">
        <f t="shared" si="170"/>
        <v>86406</v>
      </c>
      <c r="BA259" s="315">
        <f t="shared" si="185"/>
        <v>316.96899999999999</v>
      </c>
      <c r="BC259" s="316">
        <f t="shared" si="171"/>
        <v>8.2563503689686435</v>
      </c>
      <c r="BD259" s="313" t="s">
        <v>551</v>
      </c>
      <c r="BE259" s="173">
        <f>SUM(BG252:BG261)</f>
        <v>3939.9180000000006</v>
      </c>
      <c r="BF259" s="133">
        <f t="shared" si="172"/>
        <v>86417</v>
      </c>
      <c r="BG259" s="315">
        <f t="shared" si="186"/>
        <v>329.476</v>
      </c>
      <c r="BI259" s="316">
        <f t="shared" si="173"/>
        <v>8.2615290310377585</v>
      </c>
      <c r="BJ259" s="313" t="s">
        <v>551</v>
      </c>
      <c r="BK259" s="173">
        <f>SUM(BM252:BM261)</f>
        <v>3918.0930000000003</v>
      </c>
      <c r="BL259" s="133">
        <f t="shared" si="174"/>
        <v>86426</v>
      </c>
      <c r="BM259" s="315">
        <f t="shared" si="187"/>
        <v>339.88900000000001</v>
      </c>
    </row>
    <row r="260" spans="1:65" ht="15" customHeight="1">
      <c r="A260" s="310">
        <f t="shared" si="155"/>
        <v>2014</v>
      </c>
      <c r="B260" s="311">
        <f t="shared" si="155"/>
        <v>85853</v>
      </c>
      <c r="C260" s="135">
        <f t="shared" si="175"/>
        <v>8.2589430523170577</v>
      </c>
      <c r="D260" s="312">
        <f t="shared" si="176"/>
        <v>9</v>
      </c>
      <c r="E260" s="239" t="s">
        <v>391</v>
      </c>
      <c r="F260" s="141">
        <f>EXP(F257)</f>
        <v>1.3136430132924357</v>
      </c>
      <c r="G260" s="424"/>
      <c r="H260" s="424"/>
      <c r="I260" s="314">
        <f t="shared" si="156"/>
        <v>85395</v>
      </c>
      <c r="J260" s="143">
        <f t="shared" si="177"/>
        <v>0.53347000104830344</v>
      </c>
      <c r="K260" s="143">
        <f t="shared" si="178"/>
        <v>209.76400000000001</v>
      </c>
      <c r="M260" s="316">
        <f t="shared" si="157"/>
        <v>8.2166311943723649</v>
      </c>
      <c r="P260" s="133">
        <f t="shared" si="158"/>
        <v>79780</v>
      </c>
      <c r="Q260" s="315">
        <f t="shared" si="179"/>
        <v>36881.328999999998</v>
      </c>
      <c r="S260" s="316">
        <f t="shared" si="159"/>
        <v>8.2220191239261506</v>
      </c>
      <c r="V260" s="133">
        <f t="shared" si="160"/>
        <v>84637</v>
      </c>
      <c r="W260" s="315">
        <f t="shared" si="180"/>
        <v>1478.6559999999999</v>
      </c>
      <c r="Y260" s="316">
        <f t="shared" si="161"/>
        <v>8.2273781791981797</v>
      </c>
      <c r="AB260" s="133">
        <f t="shared" si="162"/>
        <v>84920</v>
      </c>
      <c r="AC260" s="315">
        <f t="shared" si="181"/>
        <v>870.48900000000003</v>
      </c>
      <c r="AE260" s="316">
        <f t="shared" si="163"/>
        <v>8.2327086680179935</v>
      </c>
      <c r="AH260" s="133">
        <f t="shared" si="164"/>
        <v>85073</v>
      </c>
      <c r="AI260" s="315">
        <f t="shared" si="182"/>
        <v>608.4</v>
      </c>
      <c r="AK260" s="316">
        <f t="shared" si="165"/>
        <v>8.2380108933185543</v>
      </c>
      <c r="AN260" s="133">
        <f t="shared" si="166"/>
        <v>85175</v>
      </c>
      <c r="AO260" s="315">
        <f t="shared" si="183"/>
        <v>459.68400000000003</v>
      </c>
      <c r="AQ260" s="316">
        <f t="shared" si="167"/>
        <v>8.2432851532395492</v>
      </c>
      <c r="AT260" s="133">
        <f t="shared" si="168"/>
        <v>85250</v>
      </c>
      <c r="AU260" s="315">
        <f t="shared" si="184"/>
        <v>363.60899999999998</v>
      </c>
      <c r="AW260" s="316">
        <f t="shared" si="169"/>
        <v>8.2485317412279819</v>
      </c>
      <c r="AZ260" s="133">
        <f t="shared" si="170"/>
        <v>85308</v>
      </c>
      <c r="BA260" s="315">
        <f t="shared" si="185"/>
        <v>297.02499999999998</v>
      </c>
      <c r="BC260" s="316">
        <f t="shared" si="171"/>
        <v>8.2537509461361491</v>
      </c>
      <c r="BF260" s="133">
        <f t="shared" si="172"/>
        <v>85356</v>
      </c>
      <c r="BG260" s="315">
        <f t="shared" si="186"/>
        <v>247.00899999999999</v>
      </c>
      <c r="BI260" s="316">
        <f t="shared" si="173"/>
        <v>8.2589430523170577</v>
      </c>
      <c r="BL260" s="133">
        <f t="shared" si="174"/>
        <v>85395</v>
      </c>
      <c r="BM260" s="315">
        <f t="shared" si="187"/>
        <v>209.76400000000001</v>
      </c>
    </row>
    <row r="261" spans="1:65" ht="15" customHeight="1" thickBot="1">
      <c r="A261" s="130">
        <f t="shared" si="155"/>
        <v>2015</v>
      </c>
      <c r="B261" s="131">
        <f t="shared" si="155"/>
        <v>83739</v>
      </c>
      <c r="C261" s="240">
        <f t="shared" si="175"/>
        <v>8.6955084001713594</v>
      </c>
      <c r="D261" s="312">
        <f t="shared" si="176"/>
        <v>10</v>
      </c>
      <c r="E261" s="241"/>
      <c r="F261" s="318"/>
      <c r="G261" s="317"/>
      <c r="H261" s="317"/>
      <c r="I261" s="319">
        <f t="shared" si="156"/>
        <v>84040</v>
      </c>
      <c r="J261" s="148">
        <f t="shared" si="177"/>
        <v>0.35945019644371201</v>
      </c>
      <c r="K261" s="148">
        <f t="shared" si="178"/>
        <v>90.600999999999999</v>
      </c>
      <c r="M261" s="177">
        <f t="shared" si="157"/>
        <v>8.6683697386066498</v>
      </c>
      <c r="N261" s="309"/>
      <c r="O261" s="309"/>
      <c r="P261" s="327">
        <f t="shared" si="158"/>
        <v>67673</v>
      </c>
      <c r="Q261" s="199">
        <f t="shared" si="179"/>
        <v>258116.356</v>
      </c>
      <c r="S261" s="177">
        <f t="shared" si="159"/>
        <v>8.6718026231436056</v>
      </c>
      <c r="T261" s="309"/>
      <c r="U261" s="309"/>
      <c r="V261" s="327">
        <f t="shared" si="160"/>
        <v>82278</v>
      </c>
      <c r="W261" s="199">
        <f t="shared" si="180"/>
        <v>2134.5210000000002</v>
      </c>
      <c r="Y261" s="177">
        <f t="shared" si="161"/>
        <v>8.6752237632899618</v>
      </c>
      <c r="Z261" s="309"/>
      <c r="AA261" s="309"/>
      <c r="AB261" s="327">
        <f t="shared" si="162"/>
        <v>82948</v>
      </c>
      <c r="AC261" s="199">
        <f t="shared" si="181"/>
        <v>625.68100000000004</v>
      </c>
      <c r="AE261" s="177">
        <f t="shared" si="163"/>
        <v>8.6786332391303045</v>
      </c>
      <c r="AF261" s="309"/>
      <c r="AG261" s="309"/>
      <c r="AH261" s="327">
        <f t="shared" si="164"/>
        <v>83302</v>
      </c>
      <c r="AI261" s="199">
        <f t="shared" si="182"/>
        <v>190.96899999999999</v>
      </c>
      <c r="AK261" s="177">
        <f t="shared" si="165"/>
        <v>8.682031129932863</v>
      </c>
      <c r="AL261" s="309"/>
      <c r="AM261" s="309"/>
      <c r="AN261" s="327">
        <f t="shared" si="166"/>
        <v>83536</v>
      </c>
      <c r="AO261" s="199">
        <f t="shared" si="183"/>
        <v>41.209000000000003</v>
      </c>
      <c r="AQ261" s="177">
        <f t="shared" si="167"/>
        <v>8.6854175141605658</v>
      </c>
      <c r="AR261" s="309"/>
      <c r="AS261" s="309"/>
      <c r="AT261" s="327">
        <f t="shared" si="168"/>
        <v>83708</v>
      </c>
      <c r="AU261" s="199">
        <f t="shared" si="184"/>
        <v>0.96099999999999997</v>
      </c>
      <c r="AW261" s="177">
        <f t="shared" si="169"/>
        <v>8.6887924694819159</v>
      </c>
      <c r="AX261" s="309"/>
      <c r="AY261" s="309"/>
      <c r="AZ261" s="327">
        <f t="shared" si="170"/>
        <v>83841</v>
      </c>
      <c r="BA261" s="199">
        <f t="shared" si="185"/>
        <v>10.404</v>
      </c>
      <c r="BC261" s="177">
        <f t="shared" si="171"/>
        <v>8.6921560727816694</v>
      </c>
      <c r="BD261" s="309"/>
      <c r="BE261" s="309"/>
      <c r="BF261" s="327">
        <f t="shared" si="172"/>
        <v>83950</v>
      </c>
      <c r="BG261" s="199">
        <f t="shared" si="186"/>
        <v>44.521000000000001</v>
      </c>
      <c r="BI261" s="177">
        <f t="shared" si="173"/>
        <v>8.6955084001713594</v>
      </c>
      <c r="BJ261" s="309"/>
      <c r="BK261" s="309"/>
      <c r="BL261" s="327">
        <f t="shared" si="174"/>
        <v>84040</v>
      </c>
      <c r="BM261" s="199">
        <f t="shared" si="187"/>
        <v>90.600999999999999</v>
      </c>
    </row>
    <row r="262" spans="1:65" ht="15" customHeight="1" thickTop="1">
      <c r="A262" s="310">
        <f t="shared" si="155"/>
        <v>2016</v>
      </c>
      <c r="B262" s="311">
        <f t="shared" ref="B262:B284" si="188">ROUND($F$254-$F$259*$F$260^D262,$G$1)</f>
        <v>82260</v>
      </c>
      <c r="C262" s="135"/>
      <c r="D262" s="312">
        <f t="shared" si="176"/>
        <v>11</v>
      </c>
      <c r="E262" s="974" t="s">
        <v>552</v>
      </c>
      <c r="F262" s="975"/>
      <c r="G262" s="149">
        <f>I250</f>
        <v>0.86282559022804861</v>
      </c>
      <c r="H262" s="424"/>
      <c r="I262" s="314">
        <f t="shared" si="156"/>
        <v>82260</v>
      </c>
      <c r="J262" s="322">
        <f t="shared" si="177"/>
        <v>0</v>
      </c>
      <c r="K262" s="314">
        <f t="shared" si="178"/>
        <v>0</v>
      </c>
      <c r="M262" s="423" t="s">
        <v>553</v>
      </c>
      <c r="O262" s="242">
        <f>2*O263</f>
        <v>179110</v>
      </c>
      <c r="S262" s="423" t="s">
        <v>554</v>
      </c>
      <c r="U262" s="242">
        <f>O262</f>
        <v>179110</v>
      </c>
      <c r="Y262" s="423" t="s">
        <v>555</v>
      </c>
      <c r="AA262" s="242">
        <f>U262</f>
        <v>179110</v>
      </c>
      <c r="AE262" s="423" t="s">
        <v>556</v>
      </c>
      <c r="AG262" s="242">
        <f>AA262</f>
        <v>179110</v>
      </c>
      <c r="AK262" s="423" t="s">
        <v>553</v>
      </c>
      <c r="AM262" s="242">
        <f>AG262</f>
        <v>179110</v>
      </c>
      <c r="AQ262" s="423" t="s">
        <v>554</v>
      </c>
      <c r="AS262" s="242">
        <f>AM262</f>
        <v>179110</v>
      </c>
      <c r="AW262" s="423" t="s">
        <v>557</v>
      </c>
      <c r="AY262" s="242">
        <f>AS262</f>
        <v>179110</v>
      </c>
      <c r="BC262" s="423" t="s">
        <v>558</v>
      </c>
      <c r="BE262" s="242">
        <f>AY262</f>
        <v>179110</v>
      </c>
      <c r="BI262" s="423" t="s">
        <v>553</v>
      </c>
      <c r="BK262" s="242">
        <f>BE262</f>
        <v>179110</v>
      </c>
    </row>
    <row r="263" spans="1:65" ht="15" customHeight="1">
      <c r="A263" s="310">
        <f t="shared" si="155"/>
        <v>2017</v>
      </c>
      <c r="B263" s="311">
        <f t="shared" si="188"/>
        <v>79922</v>
      </c>
      <c r="C263" s="135"/>
      <c r="D263" s="312">
        <f t="shared" si="176"/>
        <v>12</v>
      </c>
      <c r="E263" s="972" t="s">
        <v>559</v>
      </c>
      <c r="F263" s="973"/>
      <c r="G263" s="150">
        <f>SUM(K252:K261)</f>
        <v>3918.0930000000003</v>
      </c>
      <c r="H263" s="424"/>
      <c r="I263" s="314">
        <f t="shared" si="156"/>
        <v>79922</v>
      </c>
      <c r="J263" s="322">
        <f t="shared" si="177"/>
        <v>0</v>
      </c>
      <c r="K263" s="314">
        <f t="shared" si="178"/>
        <v>0</v>
      </c>
      <c r="M263" s="170" t="str">
        <f>M225</f>
        <v>max(y) =</v>
      </c>
      <c r="O263" s="170">
        <f>O225</f>
        <v>89555</v>
      </c>
      <c r="S263" s="170" t="str">
        <f>M263</f>
        <v>max(y) =</v>
      </c>
      <c r="U263" s="170">
        <f>O263</f>
        <v>89555</v>
      </c>
      <c r="Y263" s="170" t="str">
        <f>S263</f>
        <v>max(y) =</v>
      </c>
      <c r="AA263" s="170">
        <f>U263</f>
        <v>89555</v>
      </c>
      <c r="AE263" s="170" t="str">
        <f>Y263</f>
        <v>max(y) =</v>
      </c>
      <c r="AG263" s="170">
        <f>AA263</f>
        <v>89555</v>
      </c>
      <c r="AK263" s="170" t="str">
        <f>AE263</f>
        <v>max(y) =</v>
      </c>
      <c r="AM263" s="170">
        <f>AG263</f>
        <v>89555</v>
      </c>
      <c r="AQ263" s="170" t="str">
        <f>AK263</f>
        <v>max(y) =</v>
      </c>
      <c r="AS263" s="170">
        <f>AM263</f>
        <v>89555</v>
      </c>
      <c r="AW263" s="170" t="str">
        <f>AQ263</f>
        <v>max(y) =</v>
      </c>
      <c r="AY263" s="170">
        <f>AS263</f>
        <v>89555</v>
      </c>
      <c r="BC263" s="170" t="str">
        <f>AW263</f>
        <v>max(y) =</v>
      </c>
      <c r="BE263" s="170">
        <f>AY263</f>
        <v>89555</v>
      </c>
      <c r="BI263" s="170" t="str">
        <f>BC263</f>
        <v>max(y) =</v>
      </c>
      <c r="BK263" s="170">
        <f>BE263</f>
        <v>89555</v>
      </c>
    </row>
    <row r="264" spans="1:65" ht="15" customHeight="1">
      <c r="A264" s="310">
        <f t="shared" si="155"/>
        <v>2018</v>
      </c>
      <c r="B264" s="311">
        <f t="shared" si="188"/>
        <v>76850</v>
      </c>
      <c r="C264" s="135"/>
      <c r="D264" s="312">
        <f t="shared" si="176"/>
        <v>13</v>
      </c>
      <c r="E264" s="972" t="s">
        <v>486</v>
      </c>
      <c r="F264" s="973"/>
      <c r="G264" s="151">
        <f>SUM(J252:J261)/10</f>
        <v>0.61980503320976166</v>
      </c>
      <c r="H264" s="424"/>
      <c r="I264" s="314">
        <f t="shared" si="156"/>
        <v>76850</v>
      </c>
      <c r="J264" s="322">
        <f t="shared" si="177"/>
        <v>0</v>
      </c>
      <c r="K264" s="314">
        <f t="shared" si="178"/>
        <v>0</v>
      </c>
      <c r="M264" s="170" t="s">
        <v>475</v>
      </c>
      <c r="O264" s="228">
        <v>0</v>
      </c>
      <c r="S264" s="170" t="s">
        <v>475</v>
      </c>
      <c r="U264" s="228">
        <f>O264</f>
        <v>0</v>
      </c>
      <c r="Y264" s="170" t="s">
        <v>560</v>
      </c>
      <c r="AA264" s="228">
        <f>U264</f>
        <v>0</v>
      </c>
      <c r="AE264" s="170" t="s">
        <v>518</v>
      </c>
      <c r="AG264" s="228">
        <f>AA264</f>
        <v>0</v>
      </c>
      <c r="AK264" s="170" t="s">
        <v>561</v>
      </c>
      <c r="AM264" s="228">
        <f>AG264</f>
        <v>0</v>
      </c>
      <c r="AQ264" s="170" t="s">
        <v>483</v>
      </c>
      <c r="AS264" s="228">
        <f>AM264</f>
        <v>0</v>
      </c>
      <c r="AW264" s="170" t="s">
        <v>515</v>
      </c>
      <c r="AY264" s="228">
        <f>AS264</f>
        <v>0</v>
      </c>
      <c r="BC264" s="170" t="s">
        <v>562</v>
      </c>
      <c r="BE264" s="228">
        <f>AY264</f>
        <v>0</v>
      </c>
      <c r="BI264" s="170" t="s">
        <v>563</v>
      </c>
      <c r="BK264" s="228">
        <f>BE264</f>
        <v>0</v>
      </c>
    </row>
    <row r="265" spans="1:65" ht="15" customHeight="1">
      <c r="A265" s="310">
        <f t="shared" si="155"/>
        <v>2019</v>
      </c>
      <c r="B265" s="311">
        <f t="shared" si="188"/>
        <v>72815</v>
      </c>
      <c r="C265" s="135"/>
      <c r="D265" s="312">
        <f t="shared" si="176"/>
        <v>14</v>
      </c>
      <c r="E265" s="972" t="s">
        <v>564</v>
      </c>
      <c r="F265" s="973"/>
      <c r="G265" s="150">
        <f>SUM(K256:K261)</f>
        <v>2211.4600000000005</v>
      </c>
      <c r="H265" s="424"/>
      <c r="I265" s="314">
        <f t="shared" si="156"/>
        <v>72815</v>
      </c>
      <c r="J265" s="322">
        <f t="shared" si="177"/>
        <v>0</v>
      </c>
      <c r="K265" s="314">
        <f t="shared" si="178"/>
        <v>0</v>
      </c>
      <c r="M265" s="170" t="s">
        <v>522</v>
      </c>
      <c r="O265" s="228">
        <v>20</v>
      </c>
      <c r="S265" s="170" t="s">
        <v>522</v>
      </c>
      <c r="U265" s="228">
        <f>O265</f>
        <v>20</v>
      </c>
      <c r="Y265" s="170" t="s">
        <v>565</v>
      </c>
      <c r="AA265" s="228">
        <f>U265</f>
        <v>20</v>
      </c>
      <c r="AE265" s="170" t="s">
        <v>566</v>
      </c>
      <c r="AG265" s="228">
        <f>AA265</f>
        <v>20</v>
      </c>
      <c r="AK265" s="170" t="s">
        <v>528</v>
      </c>
      <c r="AM265" s="228">
        <f>AG265</f>
        <v>20</v>
      </c>
      <c r="AQ265" s="170" t="s">
        <v>567</v>
      </c>
      <c r="AS265" s="228">
        <f>AM265</f>
        <v>20</v>
      </c>
      <c r="AW265" s="170" t="s">
        <v>568</v>
      </c>
      <c r="AY265" s="228">
        <f>AS265</f>
        <v>20</v>
      </c>
      <c r="BC265" s="170" t="s">
        <v>569</v>
      </c>
      <c r="BE265" s="228">
        <f>AY265</f>
        <v>20</v>
      </c>
      <c r="BI265" s="170" t="s">
        <v>570</v>
      </c>
      <c r="BK265" s="228">
        <f>BE265</f>
        <v>20</v>
      </c>
    </row>
    <row r="266" spans="1:65" ht="15" customHeight="1">
      <c r="A266" s="310">
        <f t="shared" si="155"/>
        <v>2020</v>
      </c>
      <c r="B266" s="311">
        <f t="shared" si="188"/>
        <v>67514</v>
      </c>
      <c r="C266" s="135"/>
      <c r="D266" s="312">
        <f t="shared" si="176"/>
        <v>15</v>
      </c>
      <c r="E266" s="972" t="s">
        <v>571</v>
      </c>
      <c r="F266" s="973"/>
      <c r="G266" s="151">
        <f>SUM(J256:J261)/5</f>
        <v>0.69664571328715397</v>
      </c>
      <c r="H266" s="424"/>
      <c r="I266" s="314">
        <f t="shared" si="156"/>
        <v>67514</v>
      </c>
      <c r="J266" s="322">
        <f t="shared" si="177"/>
        <v>0</v>
      </c>
      <c r="K266" s="314">
        <f t="shared" si="178"/>
        <v>0</v>
      </c>
      <c r="BL266" s="184"/>
      <c r="BM266" s="169"/>
    </row>
    <row r="267" spans="1:65" ht="15" customHeight="1">
      <c r="A267" s="310">
        <f t="shared" ref="A267:A284" si="189">A230</f>
        <v>2021</v>
      </c>
      <c r="B267" s="311">
        <f t="shared" si="188"/>
        <v>60551</v>
      </c>
      <c r="C267" s="135"/>
      <c r="D267" s="312">
        <f t="shared" si="176"/>
        <v>16</v>
      </c>
      <c r="H267" s="424"/>
      <c r="I267" s="314">
        <f t="shared" si="156"/>
        <v>60551</v>
      </c>
      <c r="J267" s="322">
        <f t="shared" si="177"/>
        <v>0</v>
      </c>
      <c r="K267" s="314">
        <f t="shared" si="178"/>
        <v>0</v>
      </c>
      <c r="BL267" s="184"/>
      <c r="BM267" s="169"/>
    </row>
    <row r="268" spans="1:65" ht="15" customHeight="1">
      <c r="A268" s="310">
        <f t="shared" si="189"/>
        <v>2022</v>
      </c>
      <c r="B268" s="311">
        <f t="shared" si="188"/>
        <v>51404</v>
      </c>
      <c r="C268" s="135"/>
      <c r="D268" s="312">
        <f t="shared" si="176"/>
        <v>17</v>
      </c>
      <c r="H268" s="424"/>
      <c r="I268" s="314">
        <f t="shared" si="156"/>
        <v>51404</v>
      </c>
      <c r="J268" s="322">
        <f t="shared" si="177"/>
        <v>0</v>
      </c>
      <c r="K268" s="314">
        <f t="shared" si="178"/>
        <v>0</v>
      </c>
      <c r="M268" s="135"/>
      <c r="N268" s="158"/>
      <c r="O268" s="313"/>
      <c r="P268" s="184"/>
      <c r="Q268" s="169"/>
      <c r="S268" s="135"/>
      <c r="T268" s="313"/>
      <c r="U268" s="158"/>
      <c r="V268" s="184"/>
      <c r="W268" s="169"/>
      <c r="Y268" s="135"/>
      <c r="Z268" s="313"/>
      <c r="AA268" s="158"/>
      <c r="AB268" s="184"/>
      <c r="AC268" s="169"/>
      <c r="AE268" s="135"/>
      <c r="AF268" s="313"/>
      <c r="AG268" s="158"/>
      <c r="AH268" s="184"/>
      <c r="AI268" s="169"/>
      <c r="AK268" s="135"/>
      <c r="AL268" s="313"/>
      <c r="AM268" s="158"/>
      <c r="AN268" s="184"/>
      <c r="AO268" s="169"/>
      <c r="AQ268" s="135"/>
      <c r="AR268" s="313"/>
      <c r="AS268" s="158"/>
      <c r="AT268" s="184"/>
      <c r="AU268" s="169"/>
      <c r="AW268" s="135"/>
      <c r="AX268" s="313"/>
      <c r="AY268" s="158"/>
      <c r="AZ268" s="184"/>
      <c r="BA268" s="169"/>
      <c r="BC268" s="135"/>
      <c r="BD268" s="313"/>
      <c r="BE268" s="158"/>
      <c r="BF268" s="184"/>
      <c r="BG268" s="169"/>
      <c r="BI268" s="135"/>
      <c r="BJ268" s="313"/>
      <c r="BK268" s="158"/>
      <c r="BL268" s="184"/>
      <c r="BM268" s="169"/>
    </row>
    <row r="269" spans="1:65" ht="15" customHeight="1">
      <c r="A269" s="310">
        <f t="shared" si="189"/>
        <v>2023</v>
      </c>
      <c r="B269" s="311">
        <f t="shared" si="188"/>
        <v>39388</v>
      </c>
      <c r="C269" s="135"/>
      <c r="D269" s="312">
        <f t="shared" si="176"/>
        <v>18</v>
      </c>
      <c r="H269" s="424"/>
      <c r="I269" s="314">
        <f t="shared" si="156"/>
        <v>39388</v>
      </c>
      <c r="J269" s="322">
        <f t="shared" si="177"/>
        <v>0</v>
      </c>
      <c r="K269" s="314">
        <f t="shared" si="178"/>
        <v>0</v>
      </c>
      <c r="M269" s="135"/>
      <c r="O269" s="313"/>
      <c r="P269" s="184"/>
      <c r="Q269" s="169"/>
      <c r="S269" s="135"/>
      <c r="T269" s="313"/>
      <c r="U269" s="158"/>
      <c r="V269" s="184"/>
      <c r="W269" s="169"/>
      <c r="Y269" s="135"/>
      <c r="Z269" s="313"/>
      <c r="AA269" s="158"/>
      <c r="AB269" s="184"/>
      <c r="AC269" s="169"/>
      <c r="AE269" s="135"/>
      <c r="AF269" s="313"/>
      <c r="AG269" s="158"/>
      <c r="AH269" s="184"/>
      <c r="AI269" s="169"/>
      <c r="AK269" s="135"/>
      <c r="AL269" s="313"/>
      <c r="AM269" s="158"/>
      <c r="AN269" s="184"/>
      <c r="AO269" s="169"/>
      <c r="AQ269" s="135"/>
      <c r="AR269" s="313"/>
      <c r="AS269" s="158"/>
      <c r="AT269" s="184"/>
      <c r="AU269" s="169"/>
      <c r="AW269" s="135"/>
      <c r="AX269" s="313"/>
      <c r="AY269" s="158"/>
      <c r="AZ269" s="184"/>
      <c r="BA269" s="169"/>
      <c r="BC269" s="135"/>
      <c r="BD269" s="313"/>
      <c r="BE269" s="158"/>
      <c r="BF269" s="184"/>
      <c r="BG269" s="169"/>
      <c r="BI269" s="135"/>
      <c r="BJ269" s="313"/>
      <c r="BK269" s="158"/>
      <c r="BL269" s="184"/>
      <c r="BM269" s="169"/>
    </row>
    <row r="270" spans="1:65" ht="15" customHeight="1" thickBot="1">
      <c r="A270" s="310">
        <f t="shared" si="189"/>
        <v>2024</v>
      </c>
      <c r="B270" s="311">
        <f t="shared" si="188"/>
        <v>23604</v>
      </c>
      <c r="C270" s="135"/>
      <c r="D270" s="312">
        <f t="shared" si="176"/>
        <v>19</v>
      </c>
      <c r="E270" s="180" t="s">
        <v>572</v>
      </c>
      <c r="F270" s="181" t="s">
        <v>1057</v>
      </c>
      <c r="G270" s="181" t="s">
        <v>573</v>
      </c>
      <c r="H270" s="424"/>
      <c r="I270" s="314">
        <f t="shared" si="156"/>
        <v>23604</v>
      </c>
      <c r="J270" s="322">
        <f>ABS(B270-I270)/B270*100</f>
        <v>0</v>
      </c>
      <c r="K270" s="314">
        <f>(B270-I270)^2/1000</f>
        <v>0</v>
      </c>
      <c r="M270" s="135"/>
      <c r="O270" s="313"/>
      <c r="P270" s="184"/>
      <c r="Q270" s="169"/>
      <c r="S270" s="135"/>
      <c r="T270" s="313"/>
      <c r="U270" s="158"/>
      <c r="V270" s="184"/>
      <c r="W270" s="169"/>
      <c r="Y270" s="135"/>
      <c r="Z270" s="313"/>
      <c r="AA270" s="158"/>
      <c r="AB270" s="184"/>
      <c r="AC270" s="169"/>
      <c r="AE270" s="135"/>
      <c r="AF270" s="313"/>
      <c r="AG270" s="158"/>
      <c r="AH270" s="184"/>
      <c r="AI270" s="169"/>
      <c r="AK270" s="135"/>
      <c r="AL270" s="313"/>
      <c r="AM270" s="158"/>
      <c r="AN270" s="184"/>
      <c r="AO270" s="169"/>
      <c r="AQ270" s="135"/>
      <c r="AR270" s="313"/>
      <c r="AS270" s="158"/>
      <c r="AT270" s="184"/>
      <c r="AU270" s="169"/>
      <c r="AW270" s="135"/>
      <c r="AX270" s="313"/>
      <c r="AY270" s="158"/>
      <c r="AZ270" s="184"/>
      <c r="BA270" s="169"/>
      <c r="BC270" s="135"/>
      <c r="BD270" s="313"/>
      <c r="BE270" s="158"/>
      <c r="BF270" s="184"/>
      <c r="BG270" s="169"/>
      <c r="BI270" s="135"/>
      <c r="BJ270" s="313"/>
      <c r="BK270" s="158"/>
      <c r="BL270" s="184"/>
      <c r="BM270" s="169"/>
    </row>
    <row r="271" spans="1:65" ht="15" customHeight="1" thickTop="1">
      <c r="A271" s="310">
        <f t="shared" si="189"/>
        <v>2025</v>
      </c>
      <c r="B271" s="311">
        <f t="shared" si="188"/>
        <v>2868</v>
      </c>
      <c r="C271" s="135"/>
      <c r="D271" s="312">
        <f t="shared" si="176"/>
        <v>20</v>
      </c>
      <c r="E271" s="170">
        <f>O253</f>
        <v>89555.01</v>
      </c>
      <c r="F271" s="182">
        <f>O258</f>
        <v>0.82190193179570481</v>
      </c>
      <c r="G271" s="183">
        <f>O259</f>
        <v>303052.50199999998</v>
      </c>
      <c r="H271" s="424"/>
      <c r="I271" s="314">
        <f t="shared" si="156"/>
        <v>2868</v>
      </c>
      <c r="J271" s="322">
        <f>ABS(B271-I271)/B271*100</f>
        <v>0</v>
      </c>
      <c r="K271" s="314">
        <f>(B271-I271)^2/1000</f>
        <v>0</v>
      </c>
      <c r="M271" s="135"/>
      <c r="O271" s="313"/>
      <c r="P271" s="184"/>
      <c r="Q271" s="169"/>
      <c r="S271" s="135"/>
      <c r="T271" s="313"/>
      <c r="U271" s="158"/>
      <c r="V271" s="184"/>
      <c r="W271" s="169"/>
      <c r="Y271" s="135"/>
      <c r="Z271" s="313"/>
      <c r="AA271" s="158"/>
      <c r="AB271" s="184"/>
      <c r="AC271" s="169"/>
      <c r="AE271" s="135"/>
      <c r="AF271" s="313"/>
      <c r="AG271" s="158"/>
      <c r="AH271" s="184"/>
      <c r="AI271" s="169"/>
      <c r="AK271" s="135"/>
      <c r="AL271" s="313"/>
      <c r="AM271" s="158"/>
      <c r="AN271" s="184"/>
      <c r="AO271" s="169"/>
      <c r="AQ271" s="135"/>
      <c r="AR271" s="313"/>
      <c r="AS271" s="158"/>
      <c r="AT271" s="184"/>
      <c r="AU271" s="169"/>
      <c r="AW271" s="135"/>
      <c r="AX271" s="313"/>
      <c r="AY271" s="158"/>
      <c r="AZ271" s="184"/>
      <c r="BA271" s="169"/>
      <c r="BC271" s="135"/>
      <c r="BD271" s="313"/>
      <c r="BE271" s="158"/>
      <c r="BF271" s="184"/>
      <c r="BG271" s="169"/>
      <c r="BI271" s="135"/>
      <c r="BJ271" s="313"/>
      <c r="BK271" s="158"/>
      <c r="BL271" s="184"/>
      <c r="BM271" s="169"/>
    </row>
    <row r="272" spans="1:65" s="424" customFormat="1" ht="15" customHeight="1">
      <c r="A272" s="310">
        <f t="shared" si="189"/>
        <v>2026</v>
      </c>
      <c r="B272" s="311">
        <f t="shared" si="188"/>
        <v>-24370</v>
      </c>
      <c r="C272" s="135"/>
      <c r="D272" s="312">
        <f t="shared" si="176"/>
        <v>21</v>
      </c>
      <c r="E272" s="170">
        <f>U253</f>
        <v>89575.01</v>
      </c>
      <c r="F272" s="182">
        <f>U258</f>
        <v>0.87641427906167146</v>
      </c>
      <c r="G272" s="183">
        <f>U259</f>
        <v>7959.4150000000009</v>
      </c>
      <c r="I272" s="314">
        <f t="shared" si="156"/>
        <v>-24370</v>
      </c>
      <c r="J272" s="322">
        <f>ABS(B272-I272)/B272*100</f>
        <v>0</v>
      </c>
      <c r="K272" s="314">
        <f>(B272-I272)^2/1000</f>
        <v>0</v>
      </c>
      <c r="M272" s="135"/>
      <c r="O272" s="313"/>
      <c r="P272" s="184"/>
      <c r="Q272" s="169"/>
      <c r="S272" s="135"/>
      <c r="T272" s="313"/>
      <c r="U272" s="158"/>
      <c r="V272" s="184"/>
      <c r="W272" s="169"/>
      <c r="Y272" s="135"/>
      <c r="Z272" s="313"/>
      <c r="AA272" s="158"/>
      <c r="AB272" s="184"/>
      <c r="AC272" s="169"/>
      <c r="AE272" s="135"/>
      <c r="AF272" s="313"/>
      <c r="AG272" s="158"/>
      <c r="AH272" s="184"/>
      <c r="AI272" s="169"/>
      <c r="AK272" s="135"/>
      <c r="AL272" s="313"/>
      <c r="AM272" s="158"/>
      <c r="AN272" s="184"/>
      <c r="AO272" s="169"/>
      <c r="AQ272" s="135"/>
      <c r="AR272" s="313"/>
      <c r="AS272" s="158"/>
      <c r="AT272" s="184"/>
      <c r="AU272" s="169"/>
      <c r="AW272" s="135"/>
      <c r="AX272" s="313"/>
      <c r="AY272" s="158"/>
      <c r="AZ272" s="184"/>
      <c r="BA272" s="169"/>
      <c r="BC272" s="135"/>
      <c r="BD272" s="313"/>
      <c r="BE272" s="158"/>
      <c r="BF272" s="184"/>
      <c r="BG272" s="169"/>
      <c r="BI272" s="135"/>
      <c r="BJ272" s="313"/>
      <c r="BK272" s="158"/>
      <c r="BL272" s="184"/>
      <c r="BM272" s="169"/>
    </row>
    <row r="273" spans="1:65" ht="15" customHeight="1">
      <c r="A273" s="310">
        <f t="shared" si="189"/>
        <v>2027</v>
      </c>
      <c r="B273" s="311">
        <f t="shared" si="188"/>
        <v>-60152</v>
      </c>
      <c r="C273" s="135"/>
      <c r="D273" s="312">
        <f t="shared" si="176"/>
        <v>22</v>
      </c>
      <c r="E273" s="170">
        <f>AA253</f>
        <v>89595.01</v>
      </c>
      <c r="F273" s="182">
        <f>AA258</f>
        <v>0.8741804851837377</v>
      </c>
      <c r="G273" s="183">
        <f>AA259</f>
        <v>5547.6759999999995</v>
      </c>
      <c r="H273" s="424"/>
      <c r="I273" s="314">
        <f t="shared" si="156"/>
        <v>-60152</v>
      </c>
      <c r="J273" s="322">
        <f>ABS(B273-I273)/B273*100</f>
        <v>0</v>
      </c>
      <c r="K273" s="314">
        <f>(B273-I273)^2/1000</f>
        <v>0</v>
      </c>
      <c r="M273" s="135"/>
      <c r="O273" s="313"/>
      <c r="P273" s="184"/>
      <c r="Q273" s="169"/>
      <c r="S273" s="135"/>
      <c r="T273" s="313"/>
      <c r="U273" s="158"/>
      <c r="V273" s="184"/>
      <c r="W273" s="169"/>
      <c r="Y273" s="135"/>
      <c r="Z273" s="313"/>
      <c r="AA273" s="158"/>
      <c r="AB273" s="184"/>
      <c r="AC273" s="169"/>
      <c r="AE273" s="135"/>
      <c r="AF273" s="313"/>
      <c r="AG273" s="158"/>
      <c r="AH273" s="184"/>
      <c r="AI273" s="169"/>
      <c r="AK273" s="135"/>
      <c r="AL273" s="313"/>
      <c r="AM273" s="158"/>
      <c r="AN273" s="184"/>
      <c r="AO273" s="169"/>
      <c r="AQ273" s="135"/>
      <c r="AR273" s="313"/>
      <c r="AS273" s="158"/>
      <c r="AT273" s="184"/>
      <c r="AU273" s="169"/>
      <c r="AW273" s="135"/>
      <c r="AX273" s="313"/>
      <c r="AY273" s="158"/>
      <c r="AZ273" s="184"/>
      <c r="BA273" s="169"/>
      <c r="BC273" s="135"/>
      <c r="BD273" s="313"/>
      <c r="BE273" s="158"/>
      <c r="BF273" s="184"/>
      <c r="BG273" s="169"/>
      <c r="BI273" s="135"/>
      <c r="BJ273" s="313"/>
      <c r="BK273" s="158"/>
      <c r="BL273" s="184"/>
      <c r="BM273" s="169"/>
    </row>
    <row r="274" spans="1:65" ht="15" customHeight="1">
      <c r="A274" s="310">
        <f t="shared" si="189"/>
        <v>2028</v>
      </c>
      <c r="B274" s="311">
        <f t="shared" si="188"/>
        <v>-107157</v>
      </c>
      <c r="C274" s="243"/>
      <c r="D274" s="312">
        <f t="shared" si="176"/>
        <v>23</v>
      </c>
      <c r="E274" s="170">
        <f>AG253</f>
        <v>89615.01</v>
      </c>
      <c r="F274" s="182">
        <f>AG258</f>
        <v>0.87196071698557576</v>
      </c>
      <c r="G274" s="183">
        <f>AG259</f>
        <v>4697.0889999999999</v>
      </c>
      <c r="H274" s="424"/>
      <c r="I274" s="314">
        <f t="shared" si="156"/>
        <v>-107157</v>
      </c>
      <c r="J274" s="133"/>
      <c r="K274" s="133"/>
      <c r="Y274" s="424"/>
      <c r="Z274" s="424"/>
      <c r="AA274" s="424"/>
      <c r="AB274" s="424"/>
      <c r="AC274" s="424"/>
    </row>
    <row r="275" spans="1:65" ht="15" customHeight="1">
      <c r="A275" s="310">
        <f t="shared" si="189"/>
        <v>2029</v>
      </c>
      <c r="B275" s="311">
        <f t="shared" si="188"/>
        <v>-168905</v>
      </c>
      <c r="C275" s="243"/>
      <c r="D275" s="312">
        <f t="shared" si="176"/>
        <v>24</v>
      </c>
      <c r="E275" s="170">
        <f>AM253</f>
        <v>89635.01</v>
      </c>
      <c r="F275" s="182">
        <f>AM258</f>
        <v>0.86988392603210807</v>
      </c>
      <c r="G275" s="183">
        <f>AM259</f>
        <v>4300.4639999999999</v>
      </c>
      <c r="H275" s="424"/>
      <c r="I275" s="314">
        <f t="shared" si="156"/>
        <v>-168905</v>
      </c>
      <c r="J275" s="133"/>
      <c r="K275" s="133"/>
    </row>
    <row r="276" spans="1:65" ht="15" customHeight="1">
      <c r="A276" s="310">
        <f t="shared" si="189"/>
        <v>2030</v>
      </c>
      <c r="B276" s="311">
        <f t="shared" si="188"/>
        <v>-250019</v>
      </c>
      <c r="C276" s="243"/>
      <c r="D276" s="312">
        <f t="shared" si="176"/>
        <v>25</v>
      </c>
      <c r="E276" s="170">
        <f>AS253</f>
        <v>89655.01</v>
      </c>
      <c r="F276" s="182">
        <f>AS258</f>
        <v>0.86785872345750192</v>
      </c>
      <c r="G276" s="183">
        <f>AS259</f>
        <v>4099.7800000000007</v>
      </c>
      <c r="H276" s="424"/>
      <c r="I276" s="314">
        <f t="shared" si="156"/>
        <v>-250019</v>
      </c>
      <c r="J276" s="133"/>
      <c r="K276" s="133"/>
    </row>
    <row r="277" spans="1:65" ht="15" customHeight="1">
      <c r="A277" s="310">
        <f t="shared" si="189"/>
        <v>2031</v>
      </c>
      <c r="B277" s="311">
        <f t="shared" si="188"/>
        <v>-356574</v>
      </c>
      <c r="C277" s="243"/>
      <c r="D277" s="312">
        <f t="shared" si="176"/>
        <v>26</v>
      </c>
      <c r="E277" s="170">
        <f>AY253</f>
        <v>89675.01</v>
      </c>
      <c r="F277" s="182">
        <f>AY258</f>
        <v>0.86607276074977491</v>
      </c>
      <c r="G277" s="183">
        <f>AY259</f>
        <v>3993.1490000000003</v>
      </c>
      <c r="H277" s="424"/>
      <c r="I277" s="314">
        <f t="shared" si="156"/>
        <v>-356574</v>
      </c>
      <c r="J277" s="133"/>
      <c r="K277" s="133"/>
    </row>
    <row r="278" spans="1:65" ht="15" customHeight="1">
      <c r="A278" s="310">
        <f t="shared" si="189"/>
        <v>2032</v>
      </c>
      <c r="B278" s="311">
        <f t="shared" si="188"/>
        <v>-496550</v>
      </c>
      <c r="C278" s="243"/>
      <c r="D278" s="312">
        <f t="shared" si="176"/>
        <v>27</v>
      </c>
      <c r="E278" s="170">
        <f>BE253</f>
        <v>89695.01</v>
      </c>
      <c r="F278" s="182">
        <f>BE258</f>
        <v>0.86435577158865995</v>
      </c>
      <c r="G278" s="183">
        <f>BE259</f>
        <v>3939.9180000000006</v>
      </c>
      <c r="H278" s="424"/>
      <c r="I278" s="314">
        <f t="shared" si="156"/>
        <v>-496550</v>
      </c>
      <c r="J278" s="133"/>
      <c r="K278" s="133"/>
    </row>
    <row r="279" spans="1:65" ht="15" customHeight="1">
      <c r="A279" s="310">
        <f t="shared" si="189"/>
        <v>2033</v>
      </c>
      <c r="B279" s="311">
        <f t="shared" si="188"/>
        <v>-680428</v>
      </c>
      <c r="C279" s="243"/>
      <c r="D279" s="312">
        <f t="shared" si="176"/>
        <v>28</v>
      </c>
      <c r="E279" s="170">
        <f>BK253</f>
        <v>89715.01</v>
      </c>
      <c r="F279" s="182">
        <f>BK258</f>
        <v>0.86282559022804861</v>
      </c>
      <c r="G279" s="183">
        <f>BK259</f>
        <v>3918.0930000000003</v>
      </c>
      <c r="H279" s="424"/>
      <c r="I279" s="314">
        <f t="shared" si="156"/>
        <v>-680428</v>
      </c>
      <c r="J279" s="133"/>
      <c r="K279" s="133"/>
    </row>
    <row r="280" spans="1:65" ht="15" customHeight="1">
      <c r="A280" s="310">
        <f t="shared" si="189"/>
        <v>2034</v>
      </c>
      <c r="B280" s="311">
        <f t="shared" si="188"/>
        <v>-921978</v>
      </c>
      <c r="C280" s="243"/>
      <c r="D280" s="312">
        <f t="shared" si="176"/>
        <v>29</v>
      </c>
      <c r="H280" s="424"/>
      <c r="I280" s="314">
        <f t="shared" si="156"/>
        <v>-921978</v>
      </c>
      <c r="J280" s="133"/>
      <c r="K280" s="133"/>
    </row>
    <row r="281" spans="1:65" ht="15" customHeight="1">
      <c r="A281" s="310">
        <f t="shared" si="189"/>
        <v>2035</v>
      </c>
      <c r="B281" s="311">
        <f t="shared" si="188"/>
        <v>-1239288</v>
      </c>
      <c r="C281" s="243"/>
      <c r="D281" s="312">
        <f t="shared" si="176"/>
        <v>30</v>
      </c>
      <c r="H281" s="424"/>
      <c r="I281" s="314">
        <f t="shared" si="156"/>
        <v>-1239288</v>
      </c>
      <c r="J281" s="133"/>
      <c r="K281" s="133"/>
    </row>
    <row r="282" spans="1:65" ht="15" customHeight="1">
      <c r="A282" s="310">
        <f t="shared" si="189"/>
        <v>2036</v>
      </c>
      <c r="B282" s="311">
        <f t="shared" si="188"/>
        <v>-1656121</v>
      </c>
      <c r="C282" s="243"/>
      <c r="D282" s="312">
        <f t="shared" si="176"/>
        <v>31</v>
      </c>
      <c r="H282" s="424"/>
      <c r="I282" s="314">
        <f t="shared" si="156"/>
        <v>-1656121</v>
      </c>
      <c r="J282" s="133"/>
      <c r="K282" s="133"/>
    </row>
    <row r="283" spans="1:65" ht="15" customHeight="1">
      <c r="A283" s="310">
        <f t="shared" si="189"/>
        <v>2037</v>
      </c>
      <c r="B283" s="311">
        <f t="shared" si="188"/>
        <v>-2203690</v>
      </c>
      <c r="C283" s="243"/>
      <c r="D283" s="312">
        <f t="shared" si="176"/>
        <v>32</v>
      </c>
      <c r="H283" s="424"/>
      <c r="I283" s="314">
        <f t="shared" si="156"/>
        <v>-2203690</v>
      </c>
      <c r="J283" s="133"/>
      <c r="K283" s="133"/>
    </row>
    <row r="284" spans="1:65" ht="15" customHeight="1">
      <c r="A284" s="323">
        <f t="shared" si="189"/>
        <v>2038</v>
      </c>
      <c r="B284" s="324">
        <f t="shared" si="188"/>
        <v>-2923001</v>
      </c>
      <c r="C284" s="244"/>
      <c r="D284" s="312">
        <f t="shared" si="176"/>
        <v>33</v>
      </c>
      <c r="E284" s="309"/>
      <c r="F284" s="309"/>
      <c r="G284" s="309"/>
      <c r="H284" s="309"/>
      <c r="I284" s="326">
        <f t="shared" si="156"/>
        <v>-2923001</v>
      </c>
      <c r="J284" s="327"/>
      <c r="K284" s="327"/>
    </row>
    <row r="285" spans="1:65" ht="15" customHeight="1">
      <c r="A285" s="310"/>
      <c r="B285" s="169"/>
      <c r="C285" s="424"/>
      <c r="D285" s="313"/>
      <c r="E285" s="158"/>
      <c r="F285" s="212"/>
      <c r="G285" s="424"/>
      <c r="H285" s="424"/>
      <c r="I285" s="166"/>
    </row>
    <row r="286" spans="1:65" ht="20.100000000000001" customHeight="1">
      <c r="K286" s="220"/>
      <c r="L286" s="220"/>
      <c r="M286" s="220"/>
      <c r="N286" s="220"/>
      <c r="O286" s="220"/>
      <c r="P286" s="220"/>
      <c r="Q286" s="220"/>
      <c r="R286" s="220"/>
      <c r="S286" s="220"/>
      <c r="T286" s="220"/>
      <c r="U286" s="245"/>
      <c r="V286" s="245"/>
      <c r="W286" s="220"/>
      <c r="X286" s="220"/>
      <c r="Y286" s="220"/>
      <c r="Z286" s="220"/>
      <c r="AA286" s="220"/>
      <c r="AB286" s="220"/>
      <c r="AC286" s="220"/>
      <c r="AD286" s="220"/>
      <c r="AE286" s="220"/>
      <c r="AF286" s="220"/>
      <c r="AG286" s="220"/>
      <c r="AH286" s="220"/>
      <c r="AI286" s="220"/>
      <c r="AJ286" s="220"/>
      <c r="AK286" s="220"/>
      <c r="AL286" s="220"/>
      <c r="AM286" s="220"/>
      <c r="AN286" s="220"/>
      <c r="AO286" s="220"/>
    </row>
    <row r="287" spans="1:65" ht="20.100000000000001" customHeight="1">
      <c r="K287" s="220"/>
      <c r="L287" s="220"/>
      <c r="M287" s="220"/>
      <c r="N287" s="220"/>
      <c r="O287" s="220"/>
      <c r="P287" s="220"/>
      <c r="Q287" s="220"/>
      <c r="R287" s="220"/>
      <c r="S287" s="220"/>
      <c r="T287" s="220"/>
      <c r="U287" s="220"/>
      <c r="V287" s="220"/>
      <c r="W287" s="220"/>
      <c r="X287" s="220"/>
      <c r="Y287" s="220"/>
      <c r="Z287" s="220"/>
      <c r="AA287" s="220"/>
      <c r="AB287" s="220"/>
      <c r="AC287" s="220"/>
      <c r="AD287" s="220"/>
      <c r="AE287" s="220"/>
      <c r="AF287" s="220"/>
      <c r="AG287" s="220"/>
      <c r="AH287" s="220"/>
      <c r="AI287" s="220"/>
      <c r="AJ287" s="220"/>
      <c r="AK287" s="220"/>
      <c r="AL287" s="220"/>
      <c r="AM287" s="220"/>
      <c r="AN287" s="220"/>
      <c r="AO287" s="220"/>
    </row>
    <row r="288" spans="1:65" ht="20.100000000000001" customHeight="1">
      <c r="K288" s="220"/>
      <c r="L288" s="220"/>
      <c r="M288" s="220"/>
      <c r="N288" s="220"/>
      <c r="O288" s="220"/>
      <c r="P288" s="220"/>
      <c r="Q288" s="220"/>
      <c r="R288" s="220"/>
      <c r="S288" s="220"/>
      <c r="T288" s="220"/>
      <c r="U288" s="220"/>
      <c r="V288" s="220"/>
      <c r="W288" s="220"/>
      <c r="X288" s="220"/>
      <c r="Y288" s="220"/>
      <c r="Z288" s="220"/>
      <c r="AA288" s="220"/>
      <c r="AB288" s="220"/>
      <c r="AC288" s="220"/>
      <c r="AD288" s="220"/>
      <c r="AE288" s="220"/>
      <c r="AF288" s="220"/>
      <c r="AG288" s="220"/>
      <c r="AH288" s="220"/>
      <c r="AI288" s="220"/>
      <c r="AJ288" s="220"/>
      <c r="AK288" s="220"/>
      <c r="AL288" s="220"/>
      <c r="AM288" s="220"/>
      <c r="AN288" s="220"/>
      <c r="AO288" s="220"/>
    </row>
    <row r="289" spans="11:41" ht="20.100000000000001" customHeight="1">
      <c r="K289" s="220"/>
      <c r="L289" s="220"/>
      <c r="M289" s="220"/>
      <c r="N289" s="220"/>
      <c r="O289" s="220"/>
      <c r="P289" s="220"/>
      <c r="Q289" s="220"/>
      <c r="R289" s="220"/>
      <c r="S289" s="220"/>
      <c r="T289" s="220"/>
      <c r="U289" s="220"/>
      <c r="V289" s="220"/>
      <c r="W289" s="220"/>
      <c r="X289" s="220"/>
      <c r="Y289" s="220"/>
      <c r="Z289" s="220"/>
      <c r="AA289" s="220"/>
      <c r="AB289" s="220"/>
      <c r="AC289" s="220"/>
      <c r="AD289" s="220"/>
      <c r="AE289" s="220"/>
      <c r="AF289" s="220"/>
      <c r="AG289" s="220"/>
      <c r="AH289" s="220"/>
      <c r="AI289" s="220"/>
      <c r="AJ289" s="220"/>
      <c r="AK289" s="220"/>
      <c r="AL289" s="220"/>
      <c r="AM289" s="220"/>
      <c r="AN289" s="220"/>
      <c r="AO289" s="220"/>
    </row>
    <row r="290" spans="11:41" ht="20.100000000000001" customHeight="1">
      <c r="K290" s="220"/>
      <c r="L290" s="220"/>
      <c r="M290" s="220"/>
      <c r="N290" s="220"/>
      <c r="O290" s="220"/>
      <c r="P290" s="220"/>
      <c r="Q290" s="220"/>
      <c r="R290" s="220"/>
      <c r="S290" s="220"/>
      <c r="T290" s="220"/>
      <c r="U290" s="220"/>
      <c r="V290" s="220"/>
      <c r="W290" s="220"/>
      <c r="X290" s="220"/>
      <c r="Y290" s="220"/>
      <c r="Z290" s="220"/>
      <c r="AA290" s="220"/>
      <c r="AB290" s="220"/>
      <c r="AC290" s="220"/>
      <c r="AD290" s="220"/>
      <c r="AE290" s="220"/>
      <c r="AF290" s="220"/>
      <c r="AG290" s="220"/>
      <c r="AH290" s="220"/>
      <c r="AI290" s="220"/>
      <c r="AJ290" s="220"/>
      <c r="AK290" s="220"/>
      <c r="AL290" s="220"/>
      <c r="AM290" s="220"/>
      <c r="AN290" s="220"/>
      <c r="AO290" s="220"/>
    </row>
    <row r="291" spans="11:41" ht="20.100000000000001" customHeight="1">
      <c r="K291" s="220"/>
      <c r="L291" s="220"/>
      <c r="M291" s="220"/>
      <c r="N291" s="220"/>
      <c r="O291" s="220"/>
      <c r="P291" s="220"/>
      <c r="Q291" s="220"/>
      <c r="R291" s="220"/>
      <c r="S291" s="220"/>
      <c r="T291" s="220"/>
      <c r="U291" s="220"/>
      <c r="V291" s="220"/>
      <c r="W291" s="220"/>
      <c r="X291" s="220"/>
      <c r="Y291" s="220"/>
      <c r="Z291" s="220"/>
      <c r="AA291" s="220"/>
      <c r="AB291" s="220"/>
      <c r="AC291" s="220"/>
      <c r="AD291" s="220"/>
      <c r="AE291" s="220"/>
      <c r="AF291" s="220"/>
      <c r="AG291" s="220"/>
      <c r="AH291" s="220"/>
      <c r="AI291" s="220"/>
      <c r="AJ291" s="220"/>
      <c r="AK291" s="220"/>
      <c r="AL291" s="220"/>
      <c r="AM291" s="220"/>
      <c r="AN291" s="220"/>
      <c r="AO291" s="220"/>
    </row>
    <row r="292" spans="11:41" ht="20.100000000000001" customHeight="1"/>
    <row r="293" spans="11:41" ht="20.100000000000001" customHeight="1"/>
    <row r="294" spans="11:41" ht="20.100000000000001" customHeight="1"/>
    <row r="295" spans="11:41" ht="20.100000000000001" customHeight="1"/>
    <row r="296" spans="11:41" ht="20.100000000000001" customHeight="1"/>
    <row r="297" spans="11:41" ht="20.100000000000001" customHeight="1"/>
    <row r="298" spans="11:41" ht="20.100000000000001" customHeight="1"/>
    <row r="299" spans="11:41" ht="20.100000000000001" customHeight="1"/>
    <row r="300" spans="11:41" ht="20.100000000000001" customHeight="1"/>
    <row r="301" spans="11:41" ht="20.100000000000001" customHeight="1"/>
    <row r="302" spans="11:41" ht="20.100000000000001" customHeight="1"/>
    <row r="303" spans="11:41" ht="20.100000000000001" customHeight="1"/>
    <row r="304" spans="11:41" ht="20.100000000000001" customHeight="1"/>
    <row r="305" spans="3:130" ht="20.100000000000001" customHeight="1"/>
    <row r="306" spans="3:130" s="77" customFormat="1" ht="20.100000000000001" customHeight="1">
      <c r="C306" s="423"/>
      <c r="D306" s="423"/>
      <c r="E306" s="423"/>
      <c r="F306" s="423"/>
      <c r="G306" s="423"/>
      <c r="H306" s="423"/>
      <c r="I306" s="423"/>
      <c r="J306" s="423"/>
      <c r="K306" s="423"/>
      <c r="L306" s="423"/>
      <c r="M306" s="423"/>
      <c r="N306" s="423"/>
      <c r="O306" s="423"/>
      <c r="P306" s="423"/>
      <c r="Q306" s="423"/>
      <c r="R306" s="423"/>
      <c r="S306" s="423"/>
      <c r="T306" s="423"/>
      <c r="U306" s="423"/>
      <c r="V306" s="423"/>
      <c r="W306" s="423"/>
      <c r="X306" s="423"/>
      <c r="Y306" s="423"/>
      <c r="Z306" s="423"/>
      <c r="AA306" s="423"/>
      <c r="AB306" s="423"/>
      <c r="AC306" s="423"/>
      <c r="AD306" s="423"/>
      <c r="AE306" s="423"/>
      <c r="AF306" s="423"/>
      <c r="AG306" s="423"/>
      <c r="AH306" s="423"/>
      <c r="AI306" s="423"/>
      <c r="AJ306" s="423"/>
      <c r="AK306" s="423"/>
      <c r="AL306" s="423"/>
      <c r="AM306" s="423"/>
      <c r="AN306" s="423"/>
      <c r="AO306" s="423"/>
      <c r="AP306" s="423"/>
      <c r="AQ306" s="423"/>
      <c r="AR306" s="423"/>
      <c r="AS306" s="423"/>
      <c r="AT306" s="423"/>
      <c r="AU306" s="423"/>
      <c r="AV306" s="423"/>
      <c r="AW306" s="423"/>
      <c r="AX306" s="423"/>
      <c r="AY306" s="423"/>
      <c r="AZ306" s="423"/>
      <c r="BA306" s="423"/>
      <c r="BB306" s="423"/>
      <c r="BC306" s="423"/>
      <c r="BD306" s="423"/>
      <c r="BE306" s="423"/>
      <c r="BF306" s="423"/>
      <c r="BG306" s="423"/>
      <c r="BH306" s="423"/>
      <c r="BI306" s="423"/>
      <c r="BJ306" s="423"/>
      <c r="BK306" s="423"/>
      <c r="BL306" s="423"/>
      <c r="BM306" s="423"/>
      <c r="BN306" s="423"/>
      <c r="BO306" s="423"/>
      <c r="BP306" s="423"/>
      <c r="BQ306" s="423"/>
      <c r="BR306" s="423"/>
      <c r="BS306" s="423"/>
      <c r="BT306" s="423"/>
      <c r="BU306" s="423"/>
      <c r="BV306" s="423"/>
      <c r="BW306" s="423"/>
      <c r="BX306" s="423"/>
      <c r="BY306" s="423"/>
      <c r="BZ306" s="423"/>
      <c r="CA306" s="423"/>
      <c r="CB306" s="423"/>
      <c r="CC306" s="423"/>
      <c r="CD306" s="423"/>
      <c r="CE306" s="423"/>
      <c r="CF306" s="423"/>
      <c r="CG306" s="423"/>
      <c r="CH306" s="423"/>
      <c r="CI306" s="423"/>
      <c r="CJ306" s="423"/>
      <c r="CK306" s="423"/>
      <c r="CL306" s="423"/>
      <c r="CM306" s="423"/>
      <c r="CN306" s="423"/>
      <c r="CO306" s="423"/>
      <c r="CP306" s="423"/>
      <c r="CQ306" s="423"/>
      <c r="CR306" s="423"/>
      <c r="CS306" s="423"/>
      <c r="CT306" s="423"/>
      <c r="CU306" s="423"/>
      <c r="CV306" s="423"/>
      <c r="CW306" s="423"/>
      <c r="CX306" s="423"/>
      <c r="CY306" s="423"/>
      <c r="CZ306" s="423"/>
      <c r="DA306" s="423"/>
      <c r="DB306" s="423"/>
      <c r="DC306" s="423"/>
      <c r="DD306" s="423"/>
      <c r="DE306" s="423"/>
      <c r="DF306" s="423"/>
      <c r="DG306" s="423"/>
      <c r="DH306" s="423"/>
      <c r="DI306" s="423"/>
      <c r="DJ306" s="423"/>
      <c r="DK306" s="423"/>
      <c r="DL306" s="423"/>
      <c r="DM306" s="423"/>
      <c r="DN306" s="423"/>
      <c r="DO306" s="423"/>
      <c r="DP306" s="423"/>
      <c r="DQ306" s="423"/>
      <c r="DR306" s="423"/>
      <c r="DS306" s="423"/>
      <c r="DT306" s="423"/>
      <c r="DU306" s="423"/>
      <c r="DV306" s="423"/>
      <c r="DW306" s="423"/>
      <c r="DX306" s="423"/>
      <c r="DY306" s="423"/>
      <c r="DZ306" s="423"/>
    </row>
    <row r="307" spans="3:130" s="77" customFormat="1" ht="20.100000000000001" customHeight="1">
      <c r="C307" s="423"/>
      <c r="D307" s="423"/>
      <c r="E307" s="423"/>
      <c r="F307" s="423"/>
      <c r="G307" s="423"/>
      <c r="H307" s="423"/>
      <c r="I307" s="423"/>
      <c r="J307" s="423"/>
      <c r="K307" s="423"/>
      <c r="L307" s="423"/>
      <c r="M307" s="423"/>
      <c r="N307" s="423"/>
      <c r="O307" s="423"/>
      <c r="P307" s="423"/>
      <c r="Q307" s="423"/>
      <c r="R307" s="423"/>
      <c r="S307" s="423"/>
      <c r="T307" s="423"/>
      <c r="U307" s="423"/>
      <c r="V307" s="423"/>
      <c r="W307" s="423"/>
      <c r="X307" s="423"/>
      <c r="Y307" s="423"/>
      <c r="Z307" s="423"/>
      <c r="AA307" s="423"/>
      <c r="AB307" s="423"/>
      <c r="AC307" s="423"/>
      <c r="AD307" s="423"/>
      <c r="AE307" s="423"/>
      <c r="AF307" s="423"/>
      <c r="AG307" s="423"/>
      <c r="AH307" s="423"/>
      <c r="AI307" s="423"/>
      <c r="AJ307" s="423"/>
      <c r="AK307" s="423"/>
      <c r="AL307" s="423"/>
      <c r="AM307" s="423"/>
      <c r="AN307" s="423"/>
      <c r="AO307" s="423"/>
      <c r="AP307" s="423"/>
      <c r="AQ307" s="423"/>
      <c r="AR307" s="423"/>
      <c r="AS307" s="423"/>
      <c r="AT307" s="423"/>
      <c r="AU307" s="423"/>
      <c r="AV307" s="423"/>
      <c r="AW307" s="423"/>
      <c r="AX307" s="423"/>
      <c r="AY307" s="423"/>
      <c r="AZ307" s="423"/>
      <c r="BA307" s="423"/>
      <c r="BB307" s="423"/>
      <c r="BC307" s="423"/>
      <c r="BD307" s="423"/>
      <c r="BE307" s="423"/>
      <c r="BF307" s="423"/>
      <c r="BG307" s="423"/>
      <c r="BH307" s="423"/>
      <c r="BI307" s="423"/>
      <c r="BJ307" s="423"/>
      <c r="BK307" s="423"/>
      <c r="BL307" s="423"/>
      <c r="BM307" s="423"/>
      <c r="BN307" s="423"/>
      <c r="BO307" s="423"/>
      <c r="BP307" s="423"/>
      <c r="BQ307" s="423"/>
      <c r="BR307" s="423"/>
      <c r="BS307" s="423"/>
      <c r="BT307" s="423"/>
      <c r="BU307" s="423"/>
      <c r="BV307" s="423"/>
      <c r="BW307" s="423"/>
      <c r="BX307" s="423"/>
      <c r="BY307" s="423"/>
      <c r="BZ307" s="423"/>
      <c r="CA307" s="423"/>
      <c r="CB307" s="423"/>
      <c r="CC307" s="423"/>
      <c r="CD307" s="423"/>
      <c r="CE307" s="423"/>
      <c r="CF307" s="423"/>
      <c r="CG307" s="423"/>
      <c r="CH307" s="423"/>
      <c r="CI307" s="423"/>
      <c r="CJ307" s="423"/>
      <c r="CK307" s="423"/>
      <c r="CL307" s="423"/>
      <c r="CM307" s="423"/>
      <c r="CN307" s="423"/>
      <c r="CO307" s="423"/>
      <c r="CP307" s="423"/>
      <c r="CQ307" s="423"/>
      <c r="CR307" s="423"/>
      <c r="CS307" s="423"/>
      <c r="CT307" s="423"/>
      <c r="CU307" s="423"/>
      <c r="CV307" s="423"/>
      <c r="CW307" s="423"/>
      <c r="CX307" s="423"/>
      <c r="CY307" s="423"/>
      <c r="CZ307" s="423"/>
      <c r="DA307" s="423"/>
      <c r="DB307" s="423"/>
      <c r="DC307" s="423"/>
      <c r="DD307" s="423"/>
      <c r="DE307" s="423"/>
      <c r="DF307" s="423"/>
      <c r="DG307" s="423"/>
      <c r="DH307" s="423"/>
      <c r="DI307" s="423"/>
      <c r="DJ307" s="423"/>
      <c r="DK307" s="423"/>
      <c r="DL307" s="423"/>
      <c r="DM307" s="423"/>
      <c r="DN307" s="423"/>
      <c r="DO307" s="423"/>
      <c r="DP307" s="423"/>
      <c r="DQ307" s="423"/>
      <c r="DR307" s="423"/>
      <c r="DS307" s="423"/>
      <c r="DT307" s="423"/>
      <c r="DU307" s="423"/>
      <c r="DV307" s="423"/>
      <c r="DW307" s="423"/>
      <c r="DX307" s="423"/>
      <c r="DY307" s="423"/>
      <c r="DZ307" s="423"/>
    </row>
    <row r="308" spans="3:130" s="77" customFormat="1" ht="20.100000000000001" customHeight="1">
      <c r="C308" s="423"/>
      <c r="D308" s="423"/>
      <c r="E308" s="423"/>
      <c r="F308" s="423"/>
      <c r="G308" s="423"/>
      <c r="H308" s="423"/>
      <c r="I308" s="423"/>
      <c r="J308" s="423"/>
      <c r="K308" s="423"/>
      <c r="L308" s="423"/>
      <c r="M308" s="423"/>
      <c r="N308" s="423"/>
      <c r="O308" s="423"/>
      <c r="P308" s="423"/>
      <c r="Q308" s="423"/>
      <c r="R308" s="423"/>
      <c r="S308" s="423"/>
      <c r="T308" s="423"/>
      <c r="U308" s="423"/>
      <c r="V308" s="423"/>
      <c r="W308" s="423"/>
      <c r="X308" s="423"/>
      <c r="Y308" s="423"/>
      <c r="Z308" s="423"/>
      <c r="AA308" s="423"/>
      <c r="AB308" s="423"/>
      <c r="AC308" s="423"/>
      <c r="AD308" s="423"/>
      <c r="AE308" s="423"/>
      <c r="AF308" s="423"/>
      <c r="AG308" s="423"/>
      <c r="AH308" s="423"/>
      <c r="AI308" s="423"/>
      <c r="AJ308" s="423"/>
      <c r="AK308" s="423"/>
      <c r="AL308" s="423"/>
      <c r="AM308" s="423"/>
      <c r="AN308" s="423"/>
      <c r="AO308" s="423"/>
      <c r="AP308" s="423"/>
      <c r="AQ308" s="423"/>
      <c r="AR308" s="423"/>
      <c r="AS308" s="423"/>
      <c r="AT308" s="423"/>
      <c r="AU308" s="423"/>
      <c r="AV308" s="423"/>
      <c r="AW308" s="423"/>
      <c r="AX308" s="423"/>
      <c r="AY308" s="423"/>
      <c r="AZ308" s="423"/>
      <c r="BA308" s="423"/>
      <c r="BB308" s="423"/>
      <c r="BC308" s="423"/>
      <c r="BD308" s="423"/>
      <c r="BE308" s="423"/>
      <c r="BF308" s="423"/>
      <c r="BG308" s="423"/>
      <c r="BH308" s="423"/>
      <c r="BI308" s="423"/>
      <c r="BJ308" s="423"/>
      <c r="BK308" s="423"/>
      <c r="BL308" s="423"/>
      <c r="BM308" s="423"/>
      <c r="BN308" s="423"/>
      <c r="BO308" s="423"/>
      <c r="BP308" s="423"/>
      <c r="BQ308" s="423"/>
      <c r="BR308" s="423"/>
      <c r="BS308" s="423"/>
      <c r="BT308" s="423"/>
      <c r="BU308" s="423"/>
      <c r="BV308" s="423"/>
      <c r="BW308" s="423"/>
      <c r="BX308" s="423"/>
      <c r="BY308" s="423"/>
      <c r="BZ308" s="423"/>
      <c r="CA308" s="423"/>
      <c r="CB308" s="423"/>
      <c r="CC308" s="423"/>
      <c r="CD308" s="423"/>
      <c r="CE308" s="423"/>
      <c r="CF308" s="423"/>
      <c r="CG308" s="423"/>
      <c r="CH308" s="423"/>
      <c r="CI308" s="423"/>
      <c r="CJ308" s="423"/>
      <c r="CK308" s="423"/>
      <c r="CL308" s="423"/>
      <c r="CM308" s="423"/>
      <c r="CN308" s="423"/>
      <c r="CO308" s="423"/>
      <c r="CP308" s="423"/>
      <c r="CQ308" s="423"/>
      <c r="CR308" s="423"/>
      <c r="CS308" s="423"/>
      <c r="CT308" s="423"/>
      <c r="CU308" s="423"/>
      <c r="CV308" s="423"/>
      <c r="CW308" s="423"/>
      <c r="CX308" s="423"/>
      <c r="CY308" s="423"/>
      <c r="CZ308" s="423"/>
      <c r="DA308" s="423"/>
      <c r="DB308" s="423"/>
      <c r="DC308" s="423"/>
      <c r="DD308" s="423"/>
      <c r="DE308" s="423"/>
      <c r="DF308" s="423"/>
      <c r="DG308" s="423"/>
      <c r="DH308" s="423"/>
      <c r="DI308" s="423"/>
      <c r="DJ308" s="423"/>
      <c r="DK308" s="423"/>
      <c r="DL308" s="423"/>
      <c r="DM308" s="423"/>
      <c r="DN308" s="423"/>
      <c r="DO308" s="423"/>
      <c r="DP308" s="423"/>
      <c r="DQ308" s="423"/>
      <c r="DR308" s="423"/>
      <c r="DS308" s="423"/>
      <c r="DT308" s="423"/>
      <c r="DU308" s="423"/>
      <c r="DV308" s="423"/>
      <c r="DW308" s="423"/>
      <c r="DX308" s="423"/>
      <c r="DY308" s="423"/>
      <c r="DZ308" s="423"/>
    </row>
  </sheetData>
  <mergeCells count="38">
    <mergeCell ref="E119:F119"/>
    <mergeCell ref="A3:K3"/>
    <mergeCell ref="J4:K4"/>
    <mergeCell ref="A40:B40"/>
    <mergeCell ref="J40:K44"/>
    <mergeCell ref="A41:B41"/>
    <mergeCell ref="A42:B42"/>
    <mergeCell ref="A43:B43"/>
    <mergeCell ref="A44:B44"/>
    <mergeCell ref="D71:E71"/>
    <mergeCell ref="D72:E72"/>
    <mergeCell ref="D73:E73"/>
    <mergeCell ref="D74:E74"/>
    <mergeCell ref="D75:E75"/>
    <mergeCell ref="F190:G190"/>
    <mergeCell ref="E120:F120"/>
    <mergeCell ref="E121:F121"/>
    <mergeCell ref="E122:F122"/>
    <mergeCell ref="E123:F123"/>
    <mergeCell ref="E151:F151"/>
    <mergeCell ref="E152:F152"/>
    <mergeCell ref="E153:F153"/>
    <mergeCell ref="E154:F154"/>
    <mergeCell ref="E155:F155"/>
    <mergeCell ref="F188:G188"/>
    <mergeCell ref="F189:G189"/>
    <mergeCell ref="E266:F266"/>
    <mergeCell ref="F191:G191"/>
    <mergeCell ref="F192:G192"/>
    <mergeCell ref="E225:F225"/>
    <mergeCell ref="E226:F226"/>
    <mergeCell ref="E227:F227"/>
    <mergeCell ref="E228:F228"/>
    <mergeCell ref="E229:F229"/>
    <mergeCell ref="E262:F262"/>
    <mergeCell ref="E263:F263"/>
    <mergeCell ref="E264:F264"/>
    <mergeCell ref="E265:F265"/>
  </mergeCells>
  <phoneticPr fontId="10" type="noConversion"/>
  <conditionalFormatting sqref="C40:H42">
    <cfRule type="cellIs" dxfId="10" priority="2" stopIfTrue="1" operator="equal">
      <formula>$M40</formula>
    </cfRule>
  </conditionalFormatting>
  <conditionalFormatting sqref="C43:H44">
    <cfRule type="cellIs" dxfId="9" priority="1" stopIfTrue="1" operator="equal">
      <formula>$M43</formula>
    </cfRule>
  </conditionalFormatting>
  <printOptions horizontalCentered="1"/>
  <pageMargins left="0.7" right="0.7" top="0.75" bottom="0.75" header="0.3" footer="0.3"/>
  <pageSetup paperSize="9" scale="65" fitToHeight="3" orientation="portrait" r:id="rId1"/>
  <headerFooter alignWithMargins="0"/>
  <rowBreaks count="9" manualBreakCount="9">
    <brk id="63" max="9" man="1"/>
    <brk id="100" max="9" man="1"/>
    <brk id="137" max="16383" man="1"/>
    <brk id="149" max="16383" man="1"/>
    <brk id="174" max="9" man="1"/>
    <brk id="186" max="16383" man="1"/>
    <brk id="211" max="9" man="1"/>
    <brk id="223" max="16383" man="1"/>
    <brk id="248" max="9" man="1"/>
  </rowBreaks>
  <colBreaks count="4" manualBreakCount="4">
    <brk id="18" max="1048575" man="1"/>
    <brk id="40" max="1048575" man="1"/>
    <brk id="68" max="1048575" man="1"/>
    <brk id="8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8">
    <tabColor rgb="FFFFFF00"/>
  </sheetPr>
  <dimension ref="A1:G30"/>
  <sheetViews>
    <sheetView view="pageBreakPreview" zoomScale="85" zoomScaleNormal="85" zoomScaleSheetLayoutView="85" workbookViewId="0">
      <pane xSplit="1" ySplit="5" topLeftCell="B6" activePane="bottomRight" state="frozen"/>
      <selection activeCell="P13" sqref="P13"/>
      <selection pane="topRight" activeCell="P13" sqref="P13"/>
      <selection pane="bottomLeft" activeCell="P13" sqref="P13"/>
      <selection pane="bottomRight" activeCell="L10" sqref="L10"/>
    </sheetView>
  </sheetViews>
  <sheetFormatPr defaultColWidth="8.88671875" defaultRowHeight="18.95" customHeight="1"/>
  <cols>
    <col min="1" max="1" width="10.21875" style="663" customWidth="1"/>
    <col min="2" max="7" width="10.21875" style="654" customWidth="1"/>
    <col min="8" max="8" width="3.6640625" style="654" customWidth="1"/>
    <col min="9" max="16384" width="8.88671875" style="654"/>
  </cols>
  <sheetData>
    <row r="1" spans="1:7" ht="18.95" customHeight="1">
      <c r="A1" s="651"/>
      <c r="B1" s="652"/>
      <c r="C1" s="652">
        <f>C6-B6</f>
        <v>-517</v>
      </c>
      <c r="D1" s="652">
        <f>D6-C6</f>
        <v>-28</v>
      </c>
      <c r="E1" s="652">
        <f>E6-D6</f>
        <v>-609</v>
      </c>
      <c r="F1" s="652">
        <f>F6-E6</f>
        <v>-1028</v>
      </c>
      <c r="G1" s="653">
        <v>-1</v>
      </c>
    </row>
    <row r="2" spans="1:7" ht="24.95" customHeight="1">
      <c r="A2" s="615" t="s">
        <v>1132</v>
      </c>
      <c r="B2" s="652"/>
      <c r="C2" s="652"/>
      <c r="D2" s="652"/>
      <c r="E2" s="652"/>
      <c r="F2" s="652"/>
      <c r="G2" s="653"/>
    </row>
    <row r="3" spans="1:7" s="657" customFormat="1" ht="24.95" customHeight="1">
      <c r="A3" s="655" t="s">
        <v>1133</v>
      </c>
      <c r="B3" s="656"/>
    </row>
    <row r="4" spans="1:7" s="658" customFormat="1" ht="36" customHeight="1">
      <c r="A4" s="991" t="s">
        <v>45</v>
      </c>
      <c r="B4" s="995" t="s">
        <v>722</v>
      </c>
      <c r="C4" s="995"/>
      <c r="D4" s="995"/>
      <c r="E4" s="995"/>
      <c r="F4" s="995"/>
      <c r="G4" s="993" t="s">
        <v>44</v>
      </c>
    </row>
    <row r="5" spans="1:7" s="658" customFormat="1" ht="36" customHeight="1">
      <c r="A5" s="992"/>
      <c r="B5" s="659" t="s">
        <v>589</v>
      </c>
      <c r="C5" s="659" t="s">
        <v>43</v>
      </c>
      <c r="D5" s="659" t="s">
        <v>42</v>
      </c>
      <c r="E5" s="659" t="s">
        <v>41</v>
      </c>
      <c r="F5" s="659" t="s">
        <v>11</v>
      </c>
      <c r="G5" s="994"/>
    </row>
    <row r="6" spans="1:7" s="658" customFormat="1" ht="36" customHeight="1">
      <c r="A6" s="765" t="s">
        <v>574</v>
      </c>
      <c r="B6" s="766">
        <f>SUM(B7:B17)</f>
        <v>83739</v>
      </c>
      <c r="C6" s="766">
        <f>'생잔모형법(홍성군)'!Z28</f>
        <v>83222</v>
      </c>
      <c r="D6" s="766">
        <f>'생잔모형법(홍성군)'!Z53</f>
        <v>83194</v>
      </c>
      <c r="E6" s="766">
        <f>'생잔모형법(홍성군)'!Z78</f>
        <v>82585</v>
      </c>
      <c r="F6" s="766">
        <f>'생잔모형법(홍성군)'!Z103</f>
        <v>81557</v>
      </c>
      <c r="G6" s="767"/>
    </row>
    <row r="7" spans="1:7" s="658" customFormat="1" ht="36" customHeight="1">
      <c r="A7" s="768" t="s">
        <v>262</v>
      </c>
      <c r="B7" s="660">
        <f>'홍성군 인구현황(2015)'!F4</f>
        <v>42299</v>
      </c>
      <c r="C7" s="660">
        <f>ROUND($B7*C$6/$B$6,0)</f>
        <v>42038</v>
      </c>
      <c r="D7" s="660">
        <f>ROUND($B7*D$6/$B$6,0)</f>
        <v>42024</v>
      </c>
      <c r="E7" s="660">
        <f>ROUND($B7*E$6/$B$6,0)</f>
        <v>41716</v>
      </c>
      <c r="F7" s="660">
        <f>ROUND($B7*F$6/$B$6,0)</f>
        <v>41197</v>
      </c>
      <c r="G7" s="769"/>
    </row>
    <row r="8" spans="1:7" s="658" customFormat="1" ht="36" customHeight="1">
      <c r="A8" s="770" t="s">
        <v>263</v>
      </c>
      <c r="B8" s="660">
        <f>'홍성군 인구현황(2015)'!F17</f>
        <v>10258</v>
      </c>
      <c r="C8" s="660">
        <f t="shared" ref="C8:F17" si="0">ROUND($B8*C$6/$B$6,0)</f>
        <v>10195</v>
      </c>
      <c r="D8" s="660">
        <f t="shared" si="0"/>
        <v>10191</v>
      </c>
      <c r="E8" s="660">
        <f t="shared" si="0"/>
        <v>10117</v>
      </c>
      <c r="F8" s="660">
        <f t="shared" si="0"/>
        <v>9991</v>
      </c>
      <c r="G8" s="769"/>
    </row>
    <row r="9" spans="1:7" s="658" customFormat="1" ht="36" customHeight="1">
      <c r="A9" s="770" t="s">
        <v>264</v>
      </c>
      <c r="B9" s="660">
        <f>'홍성군 인구현황(2015)'!F31</f>
        <v>4175</v>
      </c>
      <c r="C9" s="660">
        <f t="shared" si="0"/>
        <v>4149</v>
      </c>
      <c r="D9" s="660">
        <f t="shared" si="0"/>
        <v>4148</v>
      </c>
      <c r="E9" s="660">
        <f t="shared" si="0"/>
        <v>4117</v>
      </c>
      <c r="F9" s="660">
        <f t="shared" si="0"/>
        <v>4066</v>
      </c>
      <c r="G9" s="771"/>
    </row>
    <row r="10" spans="1:7" s="658" customFormat="1" ht="36" customHeight="1">
      <c r="A10" s="770" t="s">
        <v>265</v>
      </c>
      <c r="B10" s="660">
        <f>'홍성군 인구현황(2015)'!F45</f>
        <v>3705</v>
      </c>
      <c r="C10" s="660">
        <f t="shared" si="0"/>
        <v>3682</v>
      </c>
      <c r="D10" s="660">
        <f t="shared" si="0"/>
        <v>3681</v>
      </c>
      <c r="E10" s="660">
        <f t="shared" si="0"/>
        <v>3654</v>
      </c>
      <c r="F10" s="660">
        <f t="shared" si="0"/>
        <v>3608</v>
      </c>
      <c r="G10" s="769"/>
    </row>
    <row r="11" spans="1:7" s="658" customFormat="1" ht="36" customHeight="1">
      <c r="A11" s="770" t="s">
        <v>266</v>
      </c>
      <c r="B11" s="660">
        <f>'홍성군 인구현황(2015)'!F59</f>
        <v>3527</v>
      </c>
      <c r="C11" s="660">
        <f t="shared" si="0"/>
        <v>3505</v>
      </c>
      <c r="D11" s="660">
        <f t="shared" si="0"/>
        <v>3504</v>
      </c>
      <c r="E11" s="660">
        <f t="shared" si="0"/>
        <v>3478</v>
      </c>
      <c r="F11" s="660">
        <f t="shared" si="0"/>
        <v>3435</v>
      </c>
      <c r="G11" s="769"/>
    </row>
    <row r="12" spans="1:7" s="658" customFormat="1" ht="36" customHeight="1">
      <c r="A12" s="772" t="s">
        <v>575</v>
      </c>
      <c r="B12" s="660">
        <f>'홍성군 인구현황(2015)'!F74</f>
        <v>3238</v>
      </c>
      <c r="C12" s="660">
        <f t="shared" si="0"/>
        <v>3218</v>
      </c>
      <c r="D12" s="660">
        <f t="shared" si="0"/>
        <v>3217</v>
      </c>
      <c r="E12" s="660">
        <f t="shared" si="0"/>
        <v>3193</v>
      </c>
      <c r="F12" s="660">
        <f t="shared" si="0"/>
        <v>3154</v>
      </c>
      <c r="G12" s="769"/>
    </row>
    <row r="13" spans="1:7" s="658" customFormat="1" ht="36" customHeight="1">
      <c r="A13" s="772" t="s">
        <v>576</v>
      </c>
      <c r="B13" s="660">
        <f>'홍성군 인구현황(2015)'!F91</f>
        <v>2628</v>
      </c>
      <c r="C13" s="660">
        <f t="shared" si="0"/>
        <v>2612</v>
      </c>
      <c r="D13" s="660">
        <f t="shared" si="0"/>
        <v>2611</v>
      </c>
      <c r="E13" s="660">
        <f t="shared" si="0"/>
        <v>2592</v>
      </c>
      <c r="F13" s="660">
        <f t="shared" si="0"/>
        <v>2560</v>
      </c>
      <c r="G13" s="769"/>
    </row>
    <row r="14" spans="1:7" s="658" customFormat="1" ht="36" customHeight="1">
      <c r="A14" s="772" t="s">
        <v>577</v>
      </c>
      <c r="B14" s="660">
        <f>'홍성군 인구현황(2015)'!F103</f>
        <v>2338</v>
      </c>
      <c r="C14" s="660">
        <f t="shared" si="0"/>
        <v>2324</v>
      </c>
      <c r="D14" s="660">
        <f t="shared" si="0"/>
        <v>2323</v>
      </c>
      <c r="E14" s="660">
        <f t="shared" si="0"/>
        <v>2306</v>
      </c>
      <c r="F14" s="660">
        <f t="shared" si="0"/>
        <v>2277</v>
      </c>
      <c r="G14" s="769"/>
    </row>
    <row r="15" spans="1:7" s="658" customFormat="1" ht="36" customHeight="1">
      <c r="A15" s="770" t="s">
        <v>578</v>
      </c>
      <c r="B15" s="660">
        <f>'홍성군 인구현황(2015)'!F113</f>
        <v>3583</v>
      </c>
      <c r="C15" s="660">
        <f t="shared" si="0"/>
        <v>3561</v>
      </c>
      <c r="D15" s="660">
        <f t="shared" si="0"/>
        <v>3560</v>
      </c>
      <c r="E15" s="660">
        <f t="shared" si="0"/>
        <v>3534</v>
      </c>
      <c r="F15" s="660">
        <f t="shared" si="0"/>
        <v>3490</v>
      </c>
      <c r="G15" s="769"/>
    </row>
    <row r="16" spans="1:7" s="658" customFormat="1" ht="36" customHeight="1">
      <c r="A16" s="770" t="s">
        <v>579</v>
      </c>
      <c r="B16" s="660">
        <f>'홍성군 인구현황(2015)'!F126</f>
        <v>3872</v>
      </c>
      <c r="C16" s="660">
        <f t="shared" si="0"/>
        <v>3848</v>
      </c>
      <c r="D16" s="660">
        <f t="shared" si="0"/>
        <v>3847</v>
      </c>
      <c r="E16" s="660">
        <f t="shared" si="0"/>
        <v>3819</v>
      </c>
      <c r="F16" s="660">
        <f t="shared" si="0"/>
        <v>3771</v>
      </c>
      <c r="G16" s="769"/>
    </row>
    <row r="17" spans="1:7" s="658" customFormat="1" ht="36" customHeight="1">
      <c r="A17" s="645" t="s">
        <v>580</v>
      </c>
      <c r="B17" s="661">
        <f>'홍성군 인구현황(2015)'!F143</f>
        <v>4116</v>
      </c>
      <c r="C17" s="661">
        <f>ROUND($B17*C$6/$B$6,0)-1</f>
        <v>4090</v>
      </c>
      <c r="D17" s="661">
        <f>ROUND($B17*D$6/$B$6,0)-1</f>
        <v>4088</v>
      </c>
      <c r="E17" s="661">
        <f t="shared" si="0"/>
        <v>4059</v>
      </c>
      <c r="F17" s="661">
        <f>ROUND($B17*F$6/$B$6,0)-1</f>
        <v>4008</v>
      </c>
      <c r="G17" s="773"/>
    </row>
    <row r="18" spans="1:7" s="658" customFormat="1" ht="18.95" customHeight="1">
      <c r="A18" s="662"/>
      <c r="C18" s="658">
        <f t="shared" ref="C18:F18" si="1">SUM(C7:C17)</f>
        <v>83222</v>
      </c>
      <c r="D18" s="658">
        <f t="shared" si="1"/>
        <v>83194</v>
      </c>
      <c r="E18" s="658">
        <f t="shared" si="1"/>
        <v>82585</v>
      </c>
      <c r="F18" s="658">
        <f t="shared" si="1"/>
        <v>81557</v>
      </c>
    </row>
    <row r="19" spans="1:7" s="658" customFormat="1" ht="18.95" customHeight="1">
      <c r="A19" s="662"/>
      <c r="C19" s="658">
        <f t="shared" ref="C19:F19" si="2">+C6-C18</f>
        <v>0</v>
      </c>
      <c r="D19" s="658">
        <f t="shared" si="2"/>
        <v>0</v>
      </c>
      <c r="E19" s="658">
        <f t="shared" si="2"/>
        <v>0</v>
      </c>
      <c r="F19" s="658">
        <f t="shared" si="2"/>
        <v>0</v>
      </c>
    </row>
    <row r="20" spans="1:7" s="658" customFormat="1" ht="18.95" customHeight="1">
      <c r="A20" s="662"/>
    </row>
    <row r="21" spans="1:7" s="658" customFormat="1" ht="18.95" customHeight="1">
      <c r="A21" s="662"/>
    </row>
    <row r="22" spans="1:7" s="658" customFormat="1" ht="18.95" customHeight="1">
      <c r="A22" s="662"/>
    </row>
    <row r="23" spans="1:7" s="658" customFormat="1" ht="18.95" customHeight="1">
      <c r="A23" s="662"/>
    </row>
    <row r="24" spans="1:7" s="658" customFormat="1" ht="18.95" customHeight="1">
      <c r="A24" s="662"/>
    </row>
    <row r="25" spans="1:7" s="658" customFormat="1" ht="18.95" customHeight="1">
      <c r="A25" s="662"/>
    </row>
    <row r="26" spans="1:7" s="658" customFormat="1" ht="18.95" customHeight="1">
      <c r="A26" s="662"/>
    </row>
    <row r="27" spans="1:7" ht="18.95" customHeight="1">
      <c r="B27" s="658"/>
    </row>
    <row r="28" spans="1:7" ht="18.95" customHeight="1">
      <c r="B28" s="658"/>
    </row>
    <row r="29" spans="1:7" ht="18.95" customHeight="1">
      <c r="B29" s="658"/>
    </row>
    <row r="30" spans="1:7" ht="18.95" customHeight="1">
      <c r="B30" s="658"/>
    </row>
  </sheetData>
  <mergeCells count="3">
    <mergeCell ref="A4:A5"/>
    <mergeCell ref="G4:G5"/>
    <mergeCell ref="B4:F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indexed="43"/>
  </sheetPr>
  <dimension ref="A1:AB105"/>
  <sheetViews>
    <sheetView view="pageBreakPreview" zoomScale="55" zoomScaleNormal="70" zoomScaleSheetLayoutView="55" workbookViewId="0">
      <pane xSplit="1" ySplit="1" topLeftCell="B2" activePane="bottomRight" state="frozen"/>
      <selection activeCell="S25" sqref="S25"/>
      <selection pane="topRight" activeCell="S25" sqref="S25"/>
      <selection pane="bottomLeft" activeCell="S25" sqref="S25"/>
      <selection pane="bottomRight" activeCell="L36" sqref="L36"/>
    </sheetView>
  </sheetViews>
  <sheetFormatPr defaultRowHeight="18" customHeight="1"/>
  <cols>
    <col min="1" max="28" width="10.77734375" style="665" customWidth="1"/>
    <col min="29" max="53" width="5.77734375" style="665" customWidth="1"/>
    <col min="54" max="16384" width="8.88671875" style="665"/>
  </cols>
  <sheetData>
    <row r="1" spans="1:28" ht="39.950000000000003" customHeight="1">
      <c r="A1" s="664" t="s">
        <v>314</v>
      </c>
    </row>
    <row r="2" spans="1:28" s="667" customFormat="1" ht="22.5" customHeight="1">
      <c r="A2" s="666" t="s">
        <v>86</v>
      </c>
      <c r="B2" s="667" t="s">
        <v>1064</v>
      </c>
    </row>
    <row r="3" spans="1:28" s="667" customFormat="1" ht="22.5" customHeight="1">
      <c r="A3" s="666"/>
      <c r="B3" s="667" t="s">
        <v>85</v>
      </c>
    </row>
    <row r="4" spans="1:28" s="667" customFormat="1" ht="22.5" customHeight="1"/>
    <row r="5" spans="1:28" s="667" customFormat="1" ht="22.5" customHeight="1">
      <c r="A5" s="997" t="s">
        <v>81</v>
      </c>
      <c r="B5" s="999">
        <v>2015</v>
      </c>
      <c r="C5" s="999"/>
      <c r="D5" s="999"/>
      <c r="E5" s="996" t="s">
        <v>74</v>
      </c>
      <c r="F5" s="996"/>
      <c r="G5" s="996" t="s">
        <v>717</v>
      </c>
      <c r="H5" s="996"/>
      <c r="I5" s="1000" t="s">
        <v>718</v>
      </c>
      <c r="J5" s="1000"/>
      <c r="K5" s="1000"/>
      <c r="L5" s="1005">
        <v>5</v>
      </c>
      <c r="M5" s="1005"/>
      <c r="N5" s="1005"/>
      <c r="O5" s="996" t="s">
        <v>719</v>
      </c>
      <c r="P5" s="996"/>
      <c r="Q5" s="996"/>
      <c r="R5" s="996" t="s">
        <v>71</v>
      </c>
      <c r="S5" s="996"/>
      <c r="T5" s="996"/>
      <c r="U5" s="996" t="s">
        <v>70</v>
      </c>
      <c r="V5" s="996"/>
      <c r="W5" s="996"/>
      <c r="X5" s="996" t="s">
        <v>720</v>
      </c>
      <c r="Y5" s="1004"/>
      <c r="Z5" s="1001">
        <f>B5+L5</f>
        <v>2020</v>
      </c>
      <c r="AA5" s="1002"/>
      <c r="AB5" s="1003"/>
    </row>
    <row r="6" spans="1:28" s="672" customFormat="1" ht="22.5" customHeight="1">
      <c r="A6" s="998"/>
      <c r="B6" s="668" t="s">
        <v>77</v>
      </c>
      <c r="C6" s="668" t="s">
        <v>76</v>
      </c>
      <c r="D6" s="668" t="s">
        <v>75</v>
      </c>
      <c r="E6" s="668" t="s">
        <v>76</v>
      </c>
      <c r="F6" s="668" t="s">
        <v>75</v>
      </c>
      <c r="G6" s="668" t="s">
        <v>76</v>
      </c>
      <c r="H6" s="668" t="s">
        <v>75</v>
      </c>
      <c r="I6" s="668" t="s">
        <v>77</v>
      </c>
      <c r="J6" s="668" t="s">
        <v>76</v>
      </c>
      <c r="K6" s="668" t="s">
        <v>75</v>
      </c>
      <c r="L6" s="668" t="s">
        <v>77</v>
      </c>
      <c r="M6" s="668" t="s">
        <v>76</v>
      </c>
      <c r="N6" s="668" t="s">
        <v>75</v>
      </c>
      <c r="O6" s="668" t="s">
        <v>77</v>
      </c>
      <c r="P6" s="668" t="s">
        <v>76</v>
      </c>
      <c r="Q6" s="668" t="s">
        <v>75</v>
      </c>
      <c r="R6" s="668" t="s">
        <v>77</v>
      </c>
      <c r="S6" s="668" t="s">
        <v>76</v>
      </c>
      <c r="T6" s="668" t="s">
        <v>75</v>
      </c>
      <c r="U6" s="668" t="s">
        <v>77</v>
      </c>
      <c r="V6" s="668" t="s">
        <v>76</v>
      </c>
      <c r="W6" s="668" t="s">
        <v>75</v>
      </c>
      <c r="X6" s="668" t="s">
        <v>76</v>
      </c>
      <c r="Y6" s="669" t="s">
        <v>75</v>
      </c>
      <c r="Z6" s="670" t="s">
        <v>77</v>
      </c>
      <c r="AA6" s="668" t="s">
        <v>76</v>
      </c>
      <c r="AB6" s="671" t="s">
        <v>75</v>
      </c>
    </row>
    <row r="7" spans="1:28" s="667" customFormat="1" ht="22.5" customHeight="1">
      <c r="A7" s="673" t="s">
        <v>68</v>
      </c>
      <c r="B7" s="674">
        <f t="shared" ref="B7:B27" si="0">SUM(C7:D7)</f>
        <v>3217</v>
      </c>
      <c r="C7" s="674">
        <f>'홍성군(''15) 5세 계급별 인구(내포제외)'!C4</f>
        <v>1687</v>
      </c>
      <c r="D7" s="674">
        <f>'홍성군(''15) 5세 계급별 인구(내포제외)'!D4</f>
        <v>1530</v>
      </c>
      <c r="E7" s="675">
        <f t="shared" ref="E7:E24" si="1">ROUND(C7/$B7,2)</f>
        <v>0.52</v>
      </c>
      <c r="F7" s="675">
        <f t="shared" ref="F7:F24" si="2">ROUND(D7/$B7,2)</f>
        <v>0.48</v>
      </c>
      <c r="G7" s="674"/>
      <c r="H7" s="674"/>
      <c r="I7" s="676"/>
      <c r="J7" s="676"/>
      <c r="K7" s="676"/>
      <c r="L7" s="676"/>
      <c r="M7" s="676"/>
      <c r="N7" s="676"/>
      <c r="O7" s="676">
        <f>AVERAGE(P7:Q7)</f>
        <v>3.5574999999999999E-3</v>
      </c>
      <c r="P7" s="676">
        <f>'#3. 생잔율'!B4</f>
        <v>3.8349999999999999E-3</v>
      </c>
      <c r="Q7" s="676">
        <f>'#3. 생잔율'!C4</f>
        <v>3.2799999999999999E-3</v>
      </c>
      <c r="R7" s="676"/>
      <c r="S7" s="676"/>
      <c r="T7" s="676"/>
      <c r="U7" s="676"/>
      <c r="V7" s="676"/>
      <c r="W7" s="676"/>
      <c r="X7" s="677">
        <f>'#3. 생잔율'!D5</f>
        <v>0.99953000000000003</v>
      </c>
      <c r="Y7" s="678">
        <f>'#3. 생잔율'!E5</f>
        <v>0.99916000000000005</v>
      </c>
      <c r="Z7" s="679">
        <f t="shared" ref="Z7:Z28" si="3">SUM(AA7:AB7)</f>
        <v>4603</v>
      </c>
      <c r="AA7" s="680">
        <f>ROUND(V28,0)+ROUND(C7*3/5*X7,0)</f>
        <v>2376</v>
      </c>
      <c r="AB7" s="681">
        <f>ROUND(W28,0)+ROUND(D7*3/5*Y7,0)</f>
        <v>2227</v>
      </c>
    </row>
    <row r="8" spans="1:28" s="667" customFormat="1" ht="22.5" customHeight="1">
      <c r="A8" s="682" t="s">
        <v>67</v>
      </c>
      <c r="B8" s="683">
        <f t="shared" si="0"/>
        <v>3681</v>
      </c>
      <c r="C8" s="674">
        <f>'홍성군(''15) 5세 계급별 인구(내포제외)'!C5</f>
        <v>1896</v>
      </c>
      <c r="D8" s="674">
        <f>'홍성군(''15) 5세 계급별 인구(내포제외)'!D5</f>
        <v>1785</v>
      </c>
      <c r="E8" s="684">
        <f t="shared" si="1"/>
        <v>0.52</v>
      </c>
      <c r="F8" s="684">
        <f t="shared" si="2"/>
        <v>0.48</v>
      </c>
      <c r="G8" s="683"/>
      <c r="H8" s="683"/>
      <c r="I8" s="685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77">
        <f>'#3. 생잔율'!D6</f>
        <v>0.99955499999999997</v>
      </c>
      <c r="Y8" s="678">
        <f>'#3. 생잔율'!E6</f>
        <v>0.99974499999999999</v>
      </c>
      <c r="Z8" s="679">
        <f t="shared" si="3"/>
        <v>3494</v>
      </c>
      <c r="AA8" s="686">
        <f>ROUND(C7*2/5*X7+C8*3/5*X8,0)</f>
        <v>1812</v>
      </c>
      <c r="AB8" s="687">
        <f>ROUND(D7*2/5*Y7+D8*3/5*Y8,0)</f>
        <v>1682</v>
      </c>
    </row>
    <row r="9" spans="1:28" s="667" customFormat="1" ht="22.5" customHeight="1">
      <c r="A9" s="682" t="s">
        <v>66</v>
      </c>
      <c r="B9" s="683">
        <f t="shared" si="0"/>
        <v>3928</v>
      </c>
      <c r="C9" s="674">
        <f>'홍성군(''15) 5세 계급별 인구(내포제외)'!C6</f>
        <v>2023</v>
      </c>
      <c r="D9" s="674">
        <f>'홍성군(''15) 5세 계급별 인구(내포제외)'!D6</f>
        <v>1905</v>
      </c>
      <c r="E9" s="684">
        <f t="shared" si="1"/>
        <v>0.52</v>
      </c>
      <c r="F9" s="684">
        <f t="shared" si="2"/>
        <v>0.48</v>
      </c>
      <c r="G9" s="683"/>
      <c r="H9" s="683"/>
      <c r="I9" s="685"/>
      <c r="J9" s="685"/>
      <c r="K9" s="685"/>
      <c r="L9" s="685"/>
      <c r="M9" s="685"/>
      <c r="N9" s="685"/>
      <c r="O9" s="685"/>
      <c r="P9" s="685"/>
      <c r="Q9" s="688"/>
      <c r="R9" s="685"/>
      <c r="S9" s="685"/>
      <c r="T9" s="685"/>
      <c r="U9" s="685"/>
      <c r="V9" s="685"/>
      <c r="W9" s="685"/>
      <c r="X9" s="677">
        <f>'#3. 생잔율'!D7</f>
        <v>0.99934000000000001</v>
      </c>
      <c r="Y9" s="678">
        <f>'#3. 생잔율'!E7</f>
        <v>0.99982000000000004</v>
      </c>
      <c r="Z9" s="679">
        <f t="shared" si="3"/>
        <v>3828</v>
      </c>
      <c r="AA9" s="686">
        <f t="shared" ref="AA9:AA27" si="4">ROUND(C8*2/5*X8+C9*3/5*X9,0)</f>
        <v>1971</v>
      </c>
      <c r="AB9" s="687">
        <f t="shared" ref="AB9:AB27" si="5">ROUND(D8*2/5*Y8+D9*3/5*Y9,0)</f>
        <v>1857</v>
      </c>
    </row>
    <row r="10" spans="1:28" s="667" customFormat="1" ht="22.5" customHeight="1">
      <c r="A10" s="682" t="s">
        <v>65</v>
      </c>
      <c r="B10" s="683">
        <f t="shared" si="0"/>
        <v>4795</v>
      </c>
      <c r="C10" s="674">
        <f>'홍성군(''15) 5세 계급별 인구(내포제외)'!C7</f>
        <v>2539</v>
      </c>
      <c r="D10" s="674">
        <f>'홍성군(''15) 5세 계급별 인구(내포제외)'!D7</f>
        <v>2256</v>
      </c>
      <c r="E10" s="684">
        <f t="shared" si="1"/>
        <v>0.53</v>
      </c>
      <c r="F10" s="684">
        <f t="shared" si="2"/>
        <v>0.47</v>
      </c>
      <c r="G10" s="689">
        <f>'#1. 장래인구 성비'!$D$29</f>
        <v>0.50985197529653947</v>
      </c>
      <c r="H10" s="689">
        <f>'#1. 장래인구 성비'!$E$29</f>
        <v>0.49014802470346047</v>
      </c>
      <c r="I10" s="690">
        <f>'#2. 모의 연령별 출산율'!B8</f>
        <v>1.5799999999999998</v>
      </c>
      <c r="J10" s="685">
        <f t="shared" ref="J10:K16" si="6">ROUND(G10*$I10,2)</f>
        <v>0.81</v>
      </c>
      <c r="K10" s="685">
        <f t="shared" si="6"/>
        <v>0.77</v>
      </c>
      <c r="L10" s="686">
        <f t="shared" ref="L10:L16" si="7">SUM(M10:N10)</f>
        <v>18</v>
      </c>
      <c r="M10" s="686">
        <f t="shared" ref="M10:M16" si="8">ROUND(J10*L$5*$D10/1000,0)</f>
        <v>9</v>
      </c>
      <c r="N10" s="686">
        <f t="shared" ref="N10:N16" si="9">ROUND(K10*L$5*$D10/1000,0)</f>
        <v>9</v>
      </c>
      <c r="O10" s="685"/>
      <c r="P10" s="685"/>
      <c r="Q10" s="685"/>
      <c r="R10" s="686">
        <f t="shared" ref="R10:R16" si="10">SUM(S10:T10)</f>
        <v>0</v>
      </c>
      <c r="S10" s="691">
        <f t="shared" ref="S10:T16" si="11">ROUND(M10*P$7,0)</f>
        <v>0</v>
      </c>
      <c r="T10" s="686">
        <f t="shared" si="11"/>
        <v>0</v>
      </c>
      <c r="U10" s="686">
        <f t="shared" ref="U10:U16" si="12">SUM(V10:W10)</f>
        <v>18</v>
      </c>
      <c r="V10" s="683">
        <f t="shared" ref="V10:W16" si="13">M10-S10</f>
        <v>9</v>
      </c>
      <c r="W10" s="683">
        <f t="shared" si="13"/>
        <v>9</v>
      </c>
      <c r="X10" s="677">
        <f>'#3. 생잔율'!D8</f>
        <v>0.99802000000000002</v>
      </c>
      <c r="Y10" s="678">
        <f>'#3. 생잔율'!E8</f>
        <v>0.99890000000000001</v>
      </c>
      <c r="Z10" s="679">
        <f t="shared" si="3"/>
        <v>4443</v>
      </c>
      <c r="AA10" s="686">
        <f t="shared" si="4"/>
        <v>2329</v>
      </c>
      <c r="AB10" s="687">
        <f t="shared" si="5"/>
        <v>2114</v>
      </c>
    </row>
    <row r="11" spans="1:28" s="667" customFormat="1" ht="22.5" customHeight="1">
      <c r="A11" s="682" t="s">
        <v>64</v>
      </c>
      <c r="B11" s="683">
        <f t="shared" si="0"/>
        <v>4794</v>
      </c>
      <c r="C11" s="674">
        <f>'홍성군(''15) 5세 계급별 인구(내포제외)'!C8</f>
        <v>2675</v>
      </c>
      <c r="D11" s="674">
        <f>'홍성군(''15) 5세 계급별 인구(내포제외)'!D8</f>
        <v>2119</v>
      </c>
      <c r="E11" s="684">
        <f t="shared" si="1"/>
        <v>0.56000000000000005</v>
      </c>
      <c r="F11" s="684">
        <f t="shared" si="2"/>
        <v>0.44</v>
      </c>
      <c r="G11" s="689">
        <f>'#1. 장래인구 성비'!$D$29</f>
        <v>0.50985197529653947</v>
      </c>
      <c r="H11" s="689">
        <f>'#1. 장래인구 성비'!$E$29</f>
        <v>0.49014802470346047</v>
      </c>
      <c r="I11" s="690">
        <f>'#2. 모의 연령별 출산율'!B9</f>
        <v>14.9</v>
      </c>
      <c r="J11" s="685">
        <f t="shared" si="6"/>
        <v>7.6</v>
      </c>
      <c r="K11" s="685">
        <f t="shared" si="6"/>
        <v>7.3</v>
      </c>
      <c r="L11" s="686">
        <f t="shared" si="7"/>
        <v>158</v>
      </c>
      <c r="M11" s="686">
        <f t="shared" si="8"/>
        <v>81</v>
      </c>
      <c r="N11" s="686">
        <f t="shared" si="9"/>
        <v>77</v>
      </c>
      <c r="O11" s="685"/>
      <c r="P11" s="685"/>
      <c r="Q11" s="685"/>
      <c r="R11" s="686">
        <f t="shared" si="10"/>
        <v>0</v>
      </c>
      <c r="S11" s="686">
        <f t="shared" si="11"/>
        <v>0</v>
      </c>
      <c r="T11" s="686">
        <f t="shared" si="11"/>
        <v>0</v>
      </c>
      <c r="U11" s="686">
        <f t="shared" si="12"/>
        <v>158</v>
      </c>
      <c r="V11" s="683">
        <f t="shared" si="13"/>
        <v>81</v>
      </c>
      <c r="W11" s="683">
        <f t="shared" si="13"/>
        <v>77</v>
      </c>
      <c r="X11" s="677">
        <f>'#3. 생잔율'!D9</f>
        <v>0.99770499999999995</v>
      </c>
      <c r="Y11" s="678">
        <f>'#3. 생잔율'!E9</f>
        <v>0.998695</v>
      </c>
      <c r="Z11" s="679">
        <f t="shared" si="3"/>
        <v>4786</v>
      </c>
      <c r="AA11" s="686">
        <f t="shared" si="4"/>
        <v>2615</v>
      </c>
      <c r="AB11" s="687">
        <f t="shared" si="5"/>
        <v>2171</v>
      </c>
    </row>
    <row r="12" spans="1:28" s="667" customFormat="1" ht="22.5" customHeight="1">
      <c r="A12" s="682" t="s">
        <v>63</v>
      </c>
      <c r="B12" s="683">
        <f t="shared" si="0"/>
        <v>3706</v>
      </c>
      <c r="C12" s="674">
        <f>'홍성군(''15) 5세 계급별 인구(내포제외)'!C9</f>
        <v>2044</v>
      </c>
      <c r="D12" s="674">
        <f>'홍성군(''15) 5세 계급별 인구(내포제외)'!D9</f>
        <v>1662</v>
      </c>
      <c r="E12" s="684">
        <f t="shared" si="1"/>
        <v>0.55000000000000004</v>
      </c>
      <c r="F12" s="684">
        <f t="shared" si="2"/>
        <v>0.45</v>
      </c>
      <c r="G12" s="689">
        <f>'#1. 장래인구 성비'!$D$29</f>
        <v>0.50985197529653947</v>
      </c>
      <c r="H12" s="689">
        <f>'#1. 장래인구 성비'!$E$29</f>
        <v>0.49014802470346047</v>
      </c>
      <c r="I12" s="690">
        <f>'#2. 모의 연령별 출산율'!B10</f>
        <v>69.420000000000016</v>
      </c>
      <c r="J12" s="685">
        <f t="shared" si="6"/>
        <v>35.39</v>
      </c>
      <c r="K12" s="685">
        <f t="shared" si="6"/>
        <v>34.03</v>
      </c>
      <c r="L12" s="686">
        <f t="shared" si="7"/>
        <v>577</v>
      </c>
      <c r="M12" s="686">
        <f t="shared" si="8"/>
        <v>294</v>
      </c>
      <c r="N12" s="686">
        <f t="shared" si="9"/>
        <v>283</v>
      </c>
      <c r="O12" s="685"/>
      <c r="P12" s="685"/>
      <c r="Q12" s="685"/>
      <c r="R12" s="686">
        <f t="shared" si="10"/>
        <v>2</v>
      </c>
      <c r="S12" s="686">
        <f t="shared" si="11"/>
        <v>1</v>
      </c>
      <c r="T12" s="686">
        <f t="shared" si="11"/>
        <v>1</v>
      </c>
      <c r="U12" s="686">
        <f t="shared" si="12"/>
        <v>575</v>
      </c>
      <c r="V12" s="683">
        <f t="shared" si="13"/>
        <v>293</v>
      </c>
      <c r="W12" s="683">
        <f t="shared" si="13"/>
        <v>282</v>
      </c>
      <c r="X12" s="677">
        <f>'#3. 생잔율'!D10</f>
        <v>0.99668000000000001</v>
      </c>
      <c r="Y12" s="678">
        <f>'#3. 생잔율'!E10</f>
        <v>0.99822500000000003</v>
      </c>
      <c r="Z12" s="679">
        <f t="shared" si="3"/>
        <v>4132</v>
      </c>
      <c r="AA12" s="686">
        <f t="shared" si="4"/>
        <v>2290</v>
      </c>
      <c r="AB12" s="687">
        <f t="shared" si="5"/>
        <v>1842</v>
      </c>
    </row>
    <row r="13" spans="1:28" s="667" customFormat="1" ht="22.5" customHeight="1">
      <c r="A13" s="682" t="s">
        <v>62</v>
      </c>
      <c r="B13" s="683">
        <f t="shared" si="0"/>
        <v>4447</v>
      </c>
      <c r="C13" s="674">
        <f>'홍성군(''15) 5세 계급별 인구(내포제외)'!C10</f>
        <v>2320</v>
      </c>
      <c r="D13" s="674">
        <f>'홍성군(''15) 5세 계급별 인구(내포제외)'!D10</f>
        <v>2127</v>
      </c>
      <c r="E13" s="684">
        <f t="shared" si="1"/>
        <v>0.52</v>
      </c>
      <c r="F13" s="684">
        <f t="shared" si="2"/>
        <v>0.48</v>
      </c>
      <c r="G13" s="689">
        <f>'#1. 장래인구 성비'!$D$29</f>
        <v>0.50985197529653947</v>
      </c>
      <c r="H13" s="689">
        <f>'#1. 장래인구 성비'!$E$29</f>
        <v>0.49014802470346047</v>
      </c>
      <c r="I13" s="690">
        <f>'#2. 모의 연령별 출산율'!B11</f>
        <v>115.92</v>
      </c>
      <c r="J13" s="685">
        <f t="shared" si="6"/>
        <v>59.1</v>
      </c>
      <c r="K13" s="685">
        <f t="shared" si="6"/>
        <v>56.82</v>
      </c>
      <c r="L13" s="686">
        <f t="shared" si="7"/>
        <v>1233</v>
      </c>
      <c r="M13" s="686">
        <f t="shared" si="8"/>
        <v>629</v>
      </c>
      <c r="N13" s="686">
        <f t="shared" si="9"/>
        <v>604</v>
      </c>
      <c r="O13" s="685"/>
      <c r="P13" s="685"/>
      <c r="Q13" s="685"/>
      <c r="R13" s="686">
        <f t="shared" si="10"/>
        <v>4</v>
      </c>
      <c r="S13" s="686">
        <f t="shared" si="11"/>
        <v>2</v>
      </c>
      <c r="T13" s="686">
        <f t="shared" si="11"/>
        <v>2</v>
      </c>
      <c r="U13" s="686">
        <f t="shared" si="12"/>
        <v>1229</v>
      </c>
      <c r="V13" s="683">
        <f t="shared" si="13"/>
        <v>627</v>
      </c>
      <c r="W13" s="683">
        <f t="shared" si="13"/>
        <v>602</v>
      </c>
      <c r="X13" s="677">
        <f>'#3. 생잔율'!D11</f>
        <v>0.99580999999999997</v>
      </c>
      <c r="Y13" s="678">
        <f>'#3. 생잔율'!E11</f>
        <v>0.99765499999999996</v>
      </c>
      <c r="Z13" s="679">
        <f t="shared" si="3"/>
        <v>4138</v>
      </c>
      <c r="AA13" s="686">
        <f t="shared" si="4"/>
        <v>2201</v>
      </c>
      <c r="AB13" s="687">
        <f t="shared" si="5"/>
        <v>1937</v>
      </c>
    </row>
    <row r="14" spans="1:28" s="667" customFormat="1" ht="22.5" customHeight="1">
      <c r="A14" s="682" t="s">
        <v>61</v>
      </c>
      <c r="B14" s="683">
        <f t="shared" si="0"/>
        <v>5139</v>
      </c>
      <c r="C14" s="674">
        <f>'홍성군(''15) 5세 계급별 인구(내포제외)'!C11</f>
        <v>2616</v>
      </c>
      <c r="D14" s="674">
        <f>'홍성군(''15) 5세 계급별 인구(내포제외)'!D11</f>
        <v>2523</v>
      </c>
      <c r="E14" s="684">
        <f t="shared" si="1"/>
        <v>0.51</v>
      </c>
      <c r="F14" s="684">
        <f t="shared" si="2"/>
        <v>0.49</v>
      </c>
      <c r="G14" s="689">
        <f>'#1. 장래인구 성비'!$D$29</f>
        <v>0.50985197529653947</v>
      </c>
      <c r="H14" s="689">
        <f>'#1. 장래인구 성비'!$E$29</f>
        <v>0.49014802470346047</v>
      </c>
      <c r="I14" s="690">
        <f>'#2. 모의 연령별 출산율'!B12</f>
        <v>46.8</v>
      </c>
      <c r="J14" s="685">
        <f t="shared" si="6"/>
        <v>23.86</v>
      </c>
      <c r="K14" s="685">
        <f t="shared" si="6"/>
        <v>22.94</v>
      </c>
      <c r="L14" s="686">
        <f t="shared" si="7"/>
        <v>590</v>
      </c>
      <c r="M14" s="686">
        <f t="shared" si="8"/>
        <v>301</v>
      </c>
      <c r="N14" s="686">
        <f t="shared" si="9"/>
        <v>289</v>
      </c>
      <c r="O14" s="685"/>
      <c r="P14" s="685"/>
      <c r="Q14" s="685"/>
      <c r="R14" s="686">
        <f t="shared" si="10"/>
        <v>2</v>
      </c>
      <c r="S14" s="686">
        <f t="shared" si="11"/>
        <v>1</v>
      </c>
      <c r="T14" s="686">
        <f t="shared" si="11"/>
        <v>1</v>
      </c>
      <c r="U14" s="686">
        <f t="shared" si="12"/>
        <v>588</v>
      </c>
      <c r="V14" s="683">
        <f t="shared" si="13"/>
        <v>300</v>
      </c>
      <c r="W14" s="683">
        <f t="shared" si="13"/>
        <v>288</v>
      </c>
      <c r="X14" s="677">
        <f>'#3. 생잔율'!D12</f>
        <v>0.99433499999999997</v>
      </c>
      <c r="Y14" s="678">
        <f>'#3. 생잔율'!E12</f>
        <v>0.99687999999999999</v>
      </c>
      <c r="Z14" s="679">
        <f t="shared" si="3"/>
        <v>4843</v>
      </c>
      <c r="AA14" s="686">
        <f t="shared" si="4"/>
        <v>2485</v>
      </c>
      <c r="AB14" s="687">
        <f t="shared" si="5"/>
        <v>2358</v>
      </c>
    </row>
    <row r="15" spans="1:28" s="667" customFormat="1" ht="22.5" customHeight="1">
      <c r="A15" s="682" t="s">
        <v>60</v>
      </c>
      <c r="B15" s="683">
        <f t="shared" si="0"/>
        <v>6296</v>
      </c>
      <c r="C15" s="674">
        <f>'홍성군(''15) 5세 계급별 인구(내포제외)'!C12</f>
        <v>3364</v>
      </c>
      <c r="D15" s="674">
        <f>'홍성군(''15) 5세 계급별 인구(내포제외)'!D12</f>
        <v>2932</v>
      </c>
      <c r="E15" s="684">
        <f t="shared" si="1"/>
        <v>0.53</v>
      </c>
      <c r="F15" s="684">
        <f t="shared" si="2"/>
        <v>0.47</v>
      </c>
      <c r="G15" s="689">
        <f>'#1. 장래인구 성비'!$D$29</f>
        <v>0.50985197529653947</v>
      </c>
      <c r="H15" s="689">
        <f>'#1. 장래인구 성비'!$E$29</f>
        <v>0.49014802470346047</v>
      </c>
      <c r="I15" s="690">
        <f>'#2. 모의 연령별 출산율'!B13</f>
        <v>7.0000000000000009</v>
      </c>
      <c r="J15" s="685">
        <f t="shared" si="6"/>
        <v>3.57</v>
      </c>
      <c r="K15" s="685">
        <f t="shared" si="6"/>
        <v>3.43</v>
      </c>
      <c r="L15" s="686">
        <f t="shared" si="7"/>
        <v>102</v>
      </c>
      <c r="M15" s="686">
        <f t="shared" si="8"/>
        <v>52</v>
      </c>
      <c r="N15" s="686">
        <f t="shared" si="9"/>
        <v>50</v>
      </c>
      <c r="O15" s="685"/>
      <c r="P15" s="685"/>
      <c r="Q15" s="685"/>
      <c r="R15" s="686">
        <f t="shared" si="10"/>
        <v>0</v>
      </c>
      <c r="S15" s="686">
        <f t="shared" si="11"/>
        <v>0</v>
      </c>
      <c r="T15" s="686">
        <f t="shared" si="11"/>
        <v>0</v>
      </c>
      <c r="U15" s="686">
        <f t="shared" si="12"/>
        <v>102</v>
      </c>
      <c r="V15" s="683">
        <f t="shared" si="13"/>
        <v>52</v>
      </c>
      <c r="W15" s="683">
        <f t="shared" si="13"/>
        <v>50</v>
      </c>
      <c r="X15" s="677">
        <f>'#3. 생잔율'!D13</f>
        <v>0.99065499999999995</v>
      </c>
      <c r="Y15" s="678">
        <f>'#3. 생잔율'!E13</f>
        <v>0.99560499999999996</v>
      </c>
      <c r="Z15" s="679">
        <f t="shared" si="3"/>
        <v>5798</v>
      </c>
      <c r="AA15" s="686">
        <f t="shared" si="4"/>
        <v>3040</v>
      </c>
      <c r="AB15" s="687">
        <f t="shared" si="5"/>
        <v>2758</v>
      </c>
    </row>
    <row r="16" spans="1:28" s="667" customFormat="1" ht="22.5" customHeight="1">
      <c r="A16" s="682" t="s">
        <v>59</v>
      </c>
      <c r="B16" s="683">
        <f t="shared" si="0"/>
        <v>6340</v>
      </c>
      <c r="C16" s="674">
        <f>'홍성군(''15) 5세 계급별 인구(내포제외)'!C13</f>
        <v>3403</v>
      </c>
      <c r="D16" s="674">
        <f>'홍성군(''15) 5세 계급별 인구(내포제외)'!D13</f>
        <v>2937</v>
      </c>
      <c r="E16" s="684">
        <f t="shared" si="1"/>
        <v>0.54</v>
      </c>
      <c r="F16" s="684">
        <f t="shared" si="2"/>
        <v>0.46</v>
      </c>
      <c r="G16" s="689">
        <f>'#1. 장래인구 성비'!$D$29</f>
        <v>0.50985197529653947</v>
      </c>
      <c r="H16" s="689">
        <f>'#1. 장래인구 성비'!$E$29</f>
        <v>0.49014802470346047</v>
      </c>
      <c r="I16" s="690">
        <f>'#2. 모의 연령별 출산율'!B14</f>
        <v>0.32</v>
      </c>
      <c r="J16" s="685">
        <f t="shared" si="6"/>
        <v>0.16</v>
      </c>
      <c r="K16" s="685">
        <f t="shared" si="6"/>
        <v>0.16</v>
      </c>
      <c r="L16" s="686">
        <f t="shared" si="7"/>
        <v>4</v>
      </c>
      <c r="M16" s="686">
        <f t="shared" si="8"/>
        <v>2</v>
      </c>
      <c r="N16" s="686">
        <f t="shared" si="9"/>
        <v>2</v>
      </c>
      <c r="O16" s="685"/>
      <c r="P16" s="685"/>
      <c r="Q16" s="685"/>
      <c r="R16" s="686">
        <f t="shared" si="10"/>
        <v>0</v>
      </c>
      <c r="S16" s="686">
        <f t="shared" si="11"/>
        <v>0</v>
      </c>
      <c r="T16" s="686">
        <f t="shared" si="11"/>
        <v>0</v>
      </c>
      <c r="U16" s="686">
        <f t="shared" si="12"/>
        <v>4</v>
      </c>
      <c r="V16" s="683">
        <f t="shared" si="13"/>
        <v>2</v>
      </c>
      <c r="W16" s="683">
        <f t="shared" si="13"/>
        <v>2</v>
      </c>
      <c r="X16" s="677">
        <f>'#3. 생잔율'!D14</f>
        <v>0.98433999999999999</v>
      </c>
      <c r="Y16" s="678">
        <f>'#3. 생잔율'!E14</f>
        <v>0.99421000000000004</v>
      </c>
      <c r="Z16" s="679">
        <f t="shared" si="3"/>
        <v>6263</v>
      </c>
      <c r="AA16" s="686">
        <f t="shared" si="4"/>
        <v>3343</v>
      </c>
      <c r="AB16" s="687">
        <f t="shared" si="5"/>
        <v>2920</v>
      </c>
    </row>
    <row r="17" spans="1:28" s="667" customFormat="1" ht="22.5" customHeight="1">
      <c r="A17" s="682" t="s">
        <v>58</v>
      </c>
      <c r="B17" s="683">
        <f t="shared" si="0"/>
        <v>6800</v>
      </c>
      <c r="C17" s="674">
        <f>'홍성군(''15) 5세 계급별 인구(내포제외)'!C14</f>
        <v>3501</v>
      </c>
      <c r="D17" s="674">
        <f>'홍성군(''15) 5세 계급별 인구(내포제외)'!D14</f>
        <v>3299</v>
      </c>
      <c r="E17" s="684">
        <f t="shared" si="1"/>
        <v>0.51</v>
      </c>
      <c r="F17" s="684">
        <f t="shared" si="2"/>
        <v>0.49</v>
      </c>
      <c r="G17" s="692"/>
      <c r="H17" s="683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5"/>
      <c r="V17" s="685"/>
      <c r="W17" s="685"/>
      <c r="X17" s="677">
        <f>'#3. 생잔율'!D15</f>
        <v>0.97801000000000005</v>
      </c>
      <c r="Y17" s="678">
        <f>'#3. 생잔율'!E15</f>
        <v>0.99126999999999998</v>
      </c>
      <c r="Z17" s="679">
        <f t="shared" si="3"/>
        <v>6524</v>
      </c>
      <c r="AA17" s="686">
        <f t="shared" si="4"/>
        <v>3394</v>
      </c>
      <c r="AB17" s="687">
        <f t="shared" si="5"/>
        <v>3130</v>
      </c>
    </row>
    <row r="18" spans="1:28" s="667" customFormat="1" ht="22.5" customHeight="1">
      <c r="A18" s="682" t="s">
        <v>57</v>
      </c>
      <c r="B18" s="683">
        <f t="shared" si="0"/>
        <v>6721</v>
      </c>
      <c r="C18" s="674">
        <f>'홍성군(''15) 5세 계급별 인구(내포제외)'!C15</f>
        <v>3414</v>
      </c>
      <c r="D18" s="674">
        <f>'홍성군(''15) 5세 계급별 인구(내포제외)'!D15</f>
        <v>3307</v>
      </c>
      <c r="E18" s="684">
        <f t="shared" si="1"/>
        <v>0.51</v>
      </c>
      <c r="F18" s="684">
        <f t="shared" si="2"/>
        <v>0.49</v>
      </c>
      <c r="G18" s="683"/>
      <c r="H18" s="683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685"/>
      <c r="X18" s="677">
        <f>'#3. 생잔율'!D16</f>
        <v>0.96704000000000001</v>
      </c>
      <c r="Y18" s="678">
        <f>'#3. 생잔율'!E16</f>
        <v>0.98912</v>
      </c>
      <c r="Z18" s="679">
        <f t="shared" si="3"/>
        <v>6621</v>
      </c>
      <c r="AA18" s="686">
        <f t="shared" si="4"/>
        <v>3350</v>
      </c>
      <c r="AB18" s="687">
        <f t="shared" si="5"/>
        <v>3271</v>
      </c>
    </row>
    <row r="19" spans="1:28" s="667" customFormat="1" ht="22.5" customHeight="1">
      <c r="A19" s="682" t="s">
        <v>56</v>
      </c>
      <c r="B19" s="683">
        <f t="shared" si="0"/>
        <v>5610</v>
      </c>
      <c r="C19" s="674">
        <f>'홍성군(''15) 5세 계급별 인구(내포제외)'!C16</f>
        <v>2734</v>
      </c>
      <c r="D19" s="674">
        <f>'홍성군(''15) 5세 계급별 인구(내포제외)'!D16</f>
        <v>2876</v>
      </c>
      <c r="E19" s="684">
        <f t="shared" si="1"/>
        <v>0.49</v>
      </c>
      <c r="F19" s="684">
        <f t="shared" si="2"/>
        <v>0.51</v>
      </c>
      <c r="G19" s="683"/>
      <c r="H19" s="683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685"/>
      <c r="X19" s="677">
        <f>'#3. 생잔율'!D17</f>
        <v>0.95233500000000004</v>
      </c>
      <c r="Y19" s="678">
        <f>'#3. 생잔율'!E17</f>
        <v>0.98426999999999998</v>
      </c>
      <c r="Z19" s="679">
        <f t="shared" si="3"/>
        <v>5890</v>
      </c>
      <c r="AA19" s="686">
        <f t="shared" si="4"/>
        <v>2883</v>
      </c>
      <c r="AB19" s="687">
        <f t="shared" si="5"/>
        <v>3007</v>
      </c>
    </row>
    <row r="20" spans="1:28" s="667" customFormat="1" ht="22.5" customHeight="1">
      <c r="A20" s="682" t="s">
        <v>55</v>
      </c>
      <c r="B20" s="683">
        <f t="shared" si="0"/>
        <v>4886</v>
      </c>
      <c r="C20" s="674">
        <f>'홍성군(''15) 5세 계급별 인구(내포제외)'!C17</f>
        <v>2359</v>
      </c>
      <c r="D20" s="674">
        <f>'홍성군(''15) 5세 계급별 인구(내포제외)'!D17</f>
        <v>2527</v>
      </c>
      <c r="E20" s="684">
        <f t="shared" si="1"/>
        <v>0.48</v>
      </c>
      <c r="F20" s="684">
        <f t="shared" si="2"/>
        <v>0.52</v>
      </c>
      <c r="G20" s="683"/>
      <c r="H20" s="683"/>
      <c r="I20" s="685"/>
      <c r="J20" s="685"/>
      <c r="K20" s="685"/>
      <c r="L20" s="685"/>
      <c r="M20" s="685"/>
      <c r="N20" s="685"/>
      <c r="O20" s="685"/>
      <c r="P20" s="685"/>
      <c r="Q20" s="685"/>
      <c r="R20" s="685"/>
      <c r="S20" s="685"/>
      <c r="T20" s="685"/>
      <c r="U20" s="685"/>
      <c r="V20" s="685"/>
      <c r="W20" s="685"/>
      <c r="X20" s="677">
        <f>'#3. 생잔율'!D18</f>
        <v>0.93345</v>
      </c>
      <c r="Y20" s="678">
        <f>'#3. 생잔율'!E18</f>
        <v>0.97440000000000004</v>
      </c>
      <c r="Z20" s="679">
        <f t="shared" si="3"/>
        <v>4973</v>
      </c>
      <c r="AA20" s="686">
        <f t="shared" si="4"/>
        <v>2363</v>
      </c>
      <c r="AB20" s="687">
        <f t="shared" si="5"/>
        <v>2610</v>
      </c>
    </row>
    <row r="21" spans="1:28" s="667" customFormat="1" ht="22.5" customHeight="1">
      <c r="A21" s="682" t="s">
        <v>54</v>
      </c>
      <c r="B21" s="683">
        <f t="shared" si="0"/>
        <v>4395</v>
      </c>
      <c r="C21" s="674">
        <f>'홍성군(''15) 5세 계급별 인구(내포제외)'!C18</f>
        <v>1893</v>
      </c>
      <c r="D21" s="674">
        <f>'홍성군(''15) 5세 계급별 인구(내포제외)'!D18</f>
        <v>2502</v>
      </c>
      <c r="E21" s="684">
        <f t="shared" si="1"/>
        <v>0.43</v>
      </c>
      <c r="F21" s="684">
        <f t="shared" si="2"/>
        <v>0.56999999999999995</v>
      </c>
      <c r="G21" s="683"/>
      <c r="H21" s="683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77">
        <f>'#3. 생잔율'!D19</f>
        <v>0.87794499999999998</v>
      </c>
      <c r="Y21" s="678">
        <f>'#3. 생잔율'!E19</f>
        <v>0.95304</v>
      </c>
      <c r="Z21" s="679">
        <f t="shared" si="3"/>
        <v>4294</v>
      </c>
      <c r="AA21" s="686">
        <f t="shared" si="4"/>
        <v>1878</v>
      </c>
      <c r="AB21" s="687">
        <f t="shared" si="5"/>
        <v>2416</v>
      </c>
    </row>
    <row r="22" spans="1:28" s="667" customFormat="1" ht="22.5" customHeight="1">
      <c r="A22" s="682" t="s">
        <v>53</v>
      </c>
      <c r="B22" s="683">
        <f t="shared" si="0"/>
        <v>4243</v>
      </c>
      <c r="C22" s="674">
        <f>'홍성군(''15) 5세 계급별 인구(내포제외)'!C19</f>
        <v>1707</v>
      </c>
      <c r="D22" s="674">
        <f>'홍성군(''15) 5세 계급별 인구(내포제외)'!D19</f>
        <v>2536</v>
      </c>
      <c r="E22" s="684">
        <f t="shared" si="1"/>
        <v>0.4</v>
      </c>
      <c r="F22" s="684">
        <f t="shared" si="2"/>
        <v>0.6</v>
      </c>
      <c r="G22" s="683"/>
      <c r="H22" s="683"/>
      <c r="I22" s="685"/>
      <c r="J22" s="685"/>
      <c r="K22" s="685"/>
      <c r="L22" s="685"/>
      <c r="M22" s="685"/>
      <c r="N22" s="685"/>
      <c r="O22" s="685"/>
      <c r="P22" s="685"/>
      <c r="Q22" s="685"/>
      <c r="R22" s="685"/>
      <c r="S22" s="685"/>
      <c r="T22" s="685"/>
      <c r="U22" s="685"/>
      <c r="V22" s="685"/>
      <c r="W22" s="685"/>
      <c r="X22" s="677">
        <f>'#3. 생잔율'!D20</f>
        <v>0.78728500000000001</v>
      </c>
      <c r="Y22" s="678">
        <f>'#3. 생잔율'!E20</f>
        <v>0.91356499999999996</v>
      </c>
      <c r="Z22" s="679">
        <f t="shared" si="3"/>
        <v>3815</v>
      </c>
      <c r="AA22" s="686">
        <f t="shared" si="4"/>
        <v>1471</v>
      </c>
      <c r="AB22" s="687">
        <f t="shared" si="5"/>
        <v>2344</v>
      </c>
    </row>
    <row r="23" spans="1:28" s="667" customFormat="1" ht="22.5" customHeight="1">
      <c r="A23" s="682" t="s">
        <v>52</v>
      </c>
      <c r="B23" s="683">
        <f t="shared" si="0"/>
        <v>2974</v>
      </c>
      <c r="C23" s="674">
        <f>'홍성군(''15) 5세 계급별 인구(내포제외)'!C20</f>
        <v>1107</v>
      </c>
      <c r="D23" s="674">
        <f>'홍성군(''15) 5세 계급별 인구(내포제외)'!D20</f>
        <v>1867</v>
      </c>
      <c r="E23" s="684">
        <f t="shared" si="1"/>
        <v>0.37</v>
      </c>
      <c r="F23" s="684">
        <f t="shared" si="2"/>
        <v>0.63</v>
      </c>
      <c r="G23" s="683"/>
      <c r="H23" s="683"/>
      <c r="I23" s="685"/>
      <c r="J23" s="685"/>
      <c r="K23" s="685"/>
      <c r="L23" s="685"/>
      <c r="M23" s="685"/>
      <c r="N23" s="685"/>
      <c r="O23" s="685"/>
      <c r="P23" s="685"/>
      <c r="Q23" s="685"/>
      <c r="R23" s="685"/>
      <c r="S23" s="685"/>
      <c r="T23" s="685"/>
      <c r="U23" s="685"/>
      <c r="V23" s="685"/>
      <c r="W23" s="685"/>
      <c r="X23" s="677">
        <f>'#3. 생잔율'!D21</f>
        <v>0.64532500000000004</v>
      </c>
      <c r="Y23" s="678">
        <f>'#3. 생잔율'!E21</f>
        <v>0.84540999999999999</v>
      </c>
      <c r="Z23" s="679">
        <f t="shared" si="3"/>
        <v>2840</v>
      </c>
      <c r="AA23" s="686">
        <f t="shared" si="4"/>
        <v>966</v>
      </c>
      <c r="AB23" s="687">
        <f t="shared" si="5"/>
        <v>1874</v>
      </c>
    </row>
    <row r="24" spans="1:28" s="667" customFormat="1" ht="22.5" customHeight="1">
      <c r="A24" s="682" t="s">
        <v>713</v>
      </c>
      <c r="B24" s="683">
        <f t="shared" si="0"/>
        <v>1215</v>
      </c>
      <c r="C24" s="674">
        <f>'홍성군(''15) 5세 계급별 인구(내포제외)'!C21</f>
        <v>398</v>
      </c>
      <c r="D24" s="674">
        <f>'홍성군(''15) 5세 계급별 인구(내포제외)'!D21</f>
        <v>817</v>
      </c>
      <c r="E24" s="684">
        <f t="shared" si="1"/>
        <v>0.33</v>
      </c>
      <c r="F24" s="684">
        <f t="shared" si="2"/>
        <v>0.67</v>
      </c>
      <c r="G24" s="683"/>
      <c r="H24" s="683"/>
      <c r="I24" s="685"/>
      <c r="J24" s="685"/>
      <c r="K24" s="685"/>
      <c r="L24" s="685"/>
      <c r="M24" s="685"/>
      <c r="N24" s="685"/>
      <c r="O24" s="685"/>
      <c r="P24" s="685"/>
      <c r="Q24" s="685"/>
      <c r="R24" s="685"/>
      <c r="S24" s="685"/>
      <c r="T24" s="685"/>
      <c r="U24" s="685"/>
      <c r="V24" s="685"/>
      <c r="W24" s="685"/>
      <c r="X24" s="677">
        <f>'#3. 생잔율'!D22</f>
        <v>0.45433500000000004</v>
      </c>
      <c r="Y24" s="678">
        <f>'#3. 생잔율'!E22</f>
        <v>0.73361999999999994</v>
      </c>
      <c r="Z24" s="679">
        <f t="shared" si="3"/>
        <v>1385</v>
      </c>
      <c r="AA24" s="686">
        <f t="shared" si="4"/>
        <v>394</v>
      </c>
      <c r="AB24" s="687">
        <f t="shared" si="5"/>
        <v>991</v>
      </c>
    </row>
    <row r="25" spans="1:28" s="667" customFormat="1" ht="22.5" customHeight="1">
      <c r="A25" s="693" t="s">
        <v>714</v>
      </c>
      <c r="B25" s="683">
        <f t="shared" si="0"/>
        <v>430</v>
      </c>
      <c r="C25" s="674">
        <f>'홍성군(''15) 5세 계급별 인구(내포제외)'!C22</f>
        <v>91</v>
      </c>
      <c r="D25" s="674">
        <f>'홍성군(''15) 5세 계급별 인구(내포제외)'!D22</f>
        <v>339</v>
      </c>
      <c r="E25" s="684">
        <f t="shared" ref="E25:E27" si="14">ROUND(C25/$B25,2)</f>
        <v>0.21</v>
      </c>
      <c r="F25" s="684">
        <f t="shared" ref="F25:F27" si="15">ROUND(D25/$B25,2)</f>
        <v>0.79</v>
      </c>
      <c r="G25" s="694"/>
      <c r="H25" s="694"/>
      <c r="I25" s="695"/>
      <c r="J25" s="695"/>
      <c r="K25" s="695"/>
      <c r="L25" s="695"/>
      <c r="M25" s="695"/>
      <c r="N25" s="695"/>
      <c r="O25" s="695"/>
      <c r="P25" s="695"/>
      <c r="Q25" s="695"/>
      <c r="R25" s="695"/>
      <c r="S25" s="695"/>
      <c r="T25" s="695"/>
      <c r="U25" s="695"/>
      <c r="V25" s="695"/>
      <c r="W25" s="695"/>
      <c r="X25" s="677">
        <f>'#3. 생잔율'!D23</f>
        <v>0.25079499999999999</v>
      </c>
      <c r="Y25" s="678">
        <f>'#3. 생잔율'!E23</f>
        <v>0.56887500000000002</v>
      </c>
      <c r="Z25" s="679">
        <f t="shared" si="3"/>
        <v>441</v>
      </c>
      <c r="AA25" s="686">
        <f t="shared" si="4"/>
        <v>86</v>
      </c>
      <c r="AB25" s="687">
        <f t="shared" si="5"/>
        <v>355</v>
      </c>
    </row>
    <row r="26" spans="1:28" s="667" customFormat="1" ht="22.5" customHeight="1">
      <c r="A26" s="693" t="s">
        <v>715</v>
      </c>
      <c r="B26" s="683">
        <f t="shared" si="0"/>
        <v>80</v>
      </c>
      <c r="C26" s="674">
        <f>'홍성군(''15) 5세 계급별 인구(내포제외)'!C23</f>
        <v>17</v>
      </c>
      <c r="D26" s="674">
        <f>'홍성군(''15) 5세 계급별 인구(내포제외)'!D23</f>
        <v>63</v>
      </c>
      <c r="E26" s="684">
        <f t="shared" si="14"/>
        <v>0.21</v>
      </c>
      <c r="F26" s="684">
        <f t="shared" si="15"/>
        <v>0.79</v>
      </c>
      <c r="G26" s="694"/>
      <c r="H26" s="694"/>
      <c r="I26" s="695"/>
      <c r="J26" s="695"/>
      <c r="K26" s="695"/>
      <c r="L26" s="695"/>
      <c r="M26" s="695"/>
      <c r="N26" s="695"/>
      <c r="O26" s="695"/>
      <c r="P26" s="695"/>
      <c r="Q26" s="695"/>
      <c r="R26" s="695"/>
      <c r="S26" s="695"/>
      <c r="T26" s="695"/>
      <c r="U26" s="695"/>
      <c r="V26" s="695"/>
      <c r="W26" s="695"/>
      <c r="X26" s="677">
        <f>'#3. 생잔율'!D24</f>
        <v>9.7204999999999986E-2</v>
      </c>
      <c r="Y26" s="678">
        <f>'#3. 생잔율'!E24</f>
        <v>0.365815</v>
      </c>
      <c r="Z26" s="679">
        <f t="shared" si="3"/>
        <v>101</v>
      </c>
      <c r="AA26" s="686">
        <f t="shared" si="4"/>
        <v>10</v>
      </c>
      <c r="AB26" s="687">
        <f t="shared" si="5"/>
        <v>91</v>
      </c>
    </row>
    <row r="27" spans="1:28" s="667" customFormat="1" ht="22.5" customHeight="1">
      <c r="A27" s="693" t="s">
        <v>716</v>
      </c>
      <c r="B27" s="683">
        <f t="shared" si="0"/>
        <v>42</v>
      </c>
      <c r="C27" s="674">
        <f>'홍성군(''15) 5세 계급별 인구(내포제외)'!C24</f>
        <v>14</v>
      </c>
      <c r="D27" s="674">
        <f>'홍성군(''15) 5세 계급별 인구(내포제외)'!D24</f>
        <v>28</v>
      </c>
      <c r="E27" s="684">
        <f t="shared" si="14"/>
        <v>0.33</v>
      </c>
      <c r="F27" s="684">
        <f t="shared" si="15"/>
        <v>0.67</v>
      </c>
      <c r="G27" s="694"/>
      <c r="H27" s="694"/>
      <c r="I27" s="695"/>
      <c r="J27" s="695"/>
      <c r="K27" s="695"/>
      <c r="L27" s="695"/>
      <c r="M27" s="695"/>
      <c r="N27" s="695"/>
      <c r="O27" s="695"/>
      <c r="P27" s="695"/>
      <c r="Q27" s="695"/>
      <c r="R27" s="695"/>
      <c r="S27" s="695"/>
      <c r="T27" s="695"/>
      <c r="U27" s="695"/>
      <c r="V27" s="695"/>
      <c r="W27" s="695"/>
      <c r="X27" s="677">
        <f>'#3. 생잔율'!D25</f>
        <v>0</v>
      </c>
      <c r="Y27" s="678">
        <f>'#3. 생잔율'!E25</f>
        <v>0</v>
      </c>
      <c r="Z27" s="679">
        <f t="shared" si="3"/>
        <v>10</v>
      </c>
      <c r="AA27" s="686">
        <f t="shared" si="4"/>
        <v>1</v>
      </c>
      <c r="AB27" s="687">
        <f t="shared" si="5"/>
        <v>9</v>
      </c>
    </row>
    <row r="28" spans="1:28" s="667" customFormat="1" ht="22.5" customHeight="1">
      <c r="A28" s="696" t="s">
        <v>50</v>
      </c>
      <c r="B28" s="697">
        <f>SUM(B7:B27)</f>
        <v>83739</v>
      </c>
      <c r="C28" s="698">
        <f>SUM(C7:C27)</f>
        <v>41802</v>
      </c>
      <c r="D28" s="698">
        <f>SUM(D7:D27)</f>
        <v>41937</v>
      </c>
      <c r="E28" s="699"/>
      <c r="F28" s="699"/>
      <c r="G28" s="699"/>
      <c r="H28" s="699"/>
      <c r="I28" s="698"/>
      <c r="J28" s="699"/>
      <c r="K28" s="699"/>
      <c r="L28" s="698">
        <f xml:space="preserve"> SUM(L10:L24)</f>
        <v>2682</v>
      </c>
      <c r="M28" s="699"/>
      <c r="N28" s="699"/>
      <c r="O28" s="699"/>
      <c r="P28" s="699"/>
      <c r="Q28" s="699"/>
      <c r="R28" s="698">
        <f t="shared" ref="R28:W28" si="16">SUM(R10:R24)</f>
        <v>8</v>
      </c>
      <c r="S28" s="698">
        <f t="shared" si="16"/>
        <v>4</v>
      </c>
      <c r="T28" s="698">
        <f t="shared" si="16"/>
        <v>4</v>
      </c>
      <c r="U28" s="698">
        <f t="shared" si="16"/>
        <v>2674</v>
      </c>
      <c r="V28" s="698">
        <f t="shared" si="16"/>
        <v>1364</v>
      </c>
      <c r="W28" s="698">
        <f t="shared" si="16"/>
        <v>1310</v>
      </c>
      <c r="X28" s="699"/>
      <c r="Y28" s="700"/>
      <c r="Z28" s="701">
        <f t="shared" si="3"/>
        <v>83222</v>
      </c>
      <c r="AA28" s="698">
        <f>SUM(AA7:AA27)</f>
        <v>41258</v>
      </c>
      <c r="AB28" s="698">
        <f>SUM(AB7:AB27)</f>
        <v>41964</v>
      </c>
    </row>
    <row r="29" spans="1:28" s="667" customFormat="1" ht="22.5" customHeight="1">
      <c r="Z29" s="702"/>
    </row>
    <row r="30" spans="1:28" s="667" customFormat="1" ht="22.5" customHeight="1">
      <c r="A30" s="997" t="s">
        <v>81</v>
      </c>
      <c r="B30" s="999">
        <f>Z5</f>
        <v>2020</v>
      </c>
      <c r="C30" s="999"/>
      <c r="D30" s="999"/>
      <c r="E30" s="996" t="s">
        <v>74</v>
      </c>
      <c r="F30" s="996"/>
      <c r="G30" s="996" t="s">
        <v>84</v>
      </c>
      <c r="H30" s="996"/>
      <c r="I30" s="1000" t="s">
        <v>247</v>
      </c>
      <c r="J30" s="1000"/>
      <c r="K30" s="1000"/>
      <c r="L30" s="1005">
        <v>5</v>
      </c>
      <c r="M30" s="1005"/>
      <c r="N30" s="1005"/>
      <c r="O30" s="996" t="s">
        <v>83</v>
      </c>
      <c r="P30" s="996"/>
      <c r="Q30" s="996"/>
      <c r="R30" s="996" t="s">
        <v>71</v>
      </c>
      <c r="S30" s="996"/>
      <c r="T30" s="996"/>
      <c r="U30" s="996" t="s">
        <v>70</v>
      </c>
      <c r="V30" s="996"/>
      <c r="W30" s="996"/>
      <c r="X30" s="996" t="s">
        <v>82</v>
      </c>
      <c r="Y30" s="1004"/>
      <c r="Z30" s="1001">
        <f>B30+L30</f>
        <v>2025</v>
      </c>
      <c r="AA30" s="1002"/>
      <c r="AB30" s="1003"/>
    </row>
    <row r="31" spans="1:28" s="672" customFormat="1" ht="22.5" customHeight="1">
      <c r="A31" s="998"/>
      <c r="B31" s="668" t="s">
        <v>77</v>
      </c>
      <c r="C31" s="668" t="s">
        <v>76</v>
      </c>
      <c r="D31" s="668" t="s">
        <v>75</v>
      </c>
      <c r="E31" s="668" t="s">
        <v>76</v>
      </c>
      <c r="F31" s="668" t="s">
        <v>75</v>
      </c>
      <c r="G31" s="668" t="s">
        <v>76</v>
      </c>
      <c r="H31" s="668" t="s">
        <v>75</v>
      </c>
      <c r="I31" s="668" t="s">
        <v>77</v>
      </c>
      <c r="J31" s="668" t="s">
        <v>76</v>
      </c>
      <c r="K31" s="668" t="s">
        <v>75</v>
      </c>
      <c r="L31" s="668" t="s">
        <v>77</v>
      </c>
      <c r="M31" s="668" t="s">
        <v>76</v>
      </c>
      <c r="N31" s="668" t="s">
        <v>75</v>
      </c>
      <c r="O31" s="668" t="s">
        <v>77</v>
      </c>
      <c r="P31" s="668" t="s">
        <v>76</v>
      </c>
      <c r="Q31" s="668" t="s">
        <v>75</v>
      </c>
      <c r="R31" s="668" t="s">
        <v>77</v>
      </c>
      <c r="S31" s="668" t="s">
        <v>76</v>
      </c>
      <c r="T31" s="668" t="s">
        <v>75</v>
      </c>
      <c r="U31" s="668" t="s">
        <v>77</v>
      </c>
      <c r="V31" s="668" t="s">
        <v>76</v>
      </c>
      <c r="W31" s="668" t="s">
        <v>75</v>
      </c>
      <c r="X31" s="668" t="s">
        <v>76</v>
      </c>
      <c r="Y31" s="669" t="s">
        <v>75</v>
      </c>
      <c r="Z31" s="670" t="s">
        <v>77</v>
      </c>
      <c r="AA31" s="668" t="s">
        <v>76</v>
      </c>
      <c r="AB31" s="671" t="s">
        <v>75</v>
      </c>
    </row>
    <row r="32" spans="1:28" s="667" customFormat="1" ht="22.5" customHeight="1">
      <c r="A32" s="673" t="str">
        <f>A7</f>
        <v>0~4</v>
      </c>
      <c r="B32" s="674">
        <f t="shared" ref="B32:B52" si="17">SUM(C32:D32)</f>
        <v>4603</v>
      </c>
      <c r="C32" s="674">
        <f t="shared" ref="C32:C49" si="18">AA7</f>
        <v>2376</v>
      </c>
      <c r="D32" s="674">
        <f t="shared" ref="D32:D49" si="19">AB7</f>
        <v>2227</v>
      </c>
      <c r="E32" s="675">
        <f t="shared" ref="E32:E52" si="20">ROUND(C32/$B32,2)</f>
        <v>0.52</v>
      </c>
      <c r="F32" s="675">
        <f t="shared" ref="F32:F52" si="21">ROUND(D32/$B32,2)</f>
        <v>0.48</v>
      </c>
      <c r="G32" s="674"/>
      <c r="H32" s="674"/>
      <c r="I32" s="676"/>
      <c r="J32" s="676"/>
      <c r="K32" s="676"/>
      <c r="L32" s="676"/>
      <c r="M32" s="676"/>
      <c r="N32" s="676"/>
      <c r="O32" s="676">
        <f>AVERAGE(P32:Q32)</f>
        <v>3.2675E-3</v>
      </c>
      <c r="P32" s="676">
        <f>'#3. 생잔율'!F4</f>
        <v>3.5399999999999997E-3</v>
      </c>
      <c r="Q32" s="676">
        <f>'#3. 생잔율'!G4</f>
        <v>2.9950000000000003E-3</v>
      </c>
      <c r="R32" s="676"/>
      <c r="S32" s="676"/>
      <c r="T32" s="676"/>
      <c r="U32" s="676"/>
      <c r="V32" s="676"/>
      <c r="W32" s="676"/>
      <c r="X32" s="677">
        <f>'#3. 생잔율'!H5</f>
        <v>0.99966999999999995</v>
      </c>
      <c r="Y32" s="678">
        <f>'#3. 생잔율'!I5</f>
        <v>0.99940499999999999</v>
      </c>
      <c r="Z32" s="679">
        <f t="shared" ref="Z32:Z33" si="22">SUM(AA32:AB32)</f>
        <v>2782</v>
      </c>
      <c r="AA32" s="680">
        <f>ROUND(V53,0)</f>
        <v>1417</v>
      </c>
      <c r="AB32" s="681">
        <f>ROUND(W53,0)</f>
        <v>1365</v>
      </c>
    </row>
    <row r="33" spans="1:28" s="667" customFormat="1" ht="22.5" customHeight="1">
      <c r="A33" s="673" t="str">
        <f t="shared" ref="A33:A52" si="23">A8</f>
        <v>5~9</v>
      </c>
      <c r="B33" s="683">
        <f t="shared" si="17"/>
        <v>3494</v>
      </c>
      <c r="C33" s="683">
        <f t="shared" si="18"/>
        <v>1812</v>
      </c>
      <c r="D33" s="683">
        <f t="shared" si="19"/>
        <v>1682</v>
      </c>
      <c r="E33" s="684">
        <f t="shared" si="20"/>
        <v>0.52</v>
      </c>
      <c r="F33" s="684">
        <f t="shared" si="21"/>
        <v>0.48</v>
      </c>
      <c r="G33" s="683"/>
      <c r="H33" s="683"/>
      <c r="I33" s="685"/>
      <c r="J33" s="685"/>
      <c r="K33" s="685"/>
      <c r="L33" s="685"/>
      <c r="M33" s="685"/>
      <c r="N33" s="685"/>
      <c r="O33" s="685"/>
      <c r="P33" s="685"/>
      <c r="Q33" s="685"/>
      <c r="R33" s="685"/>
      <c r="S33" s="685"/>
      <c r="T33" s="685"/>
      <c r="U33" s="685"/>
      <c r="V33" s="685"/>
      <c r="W33" s="685"/>
      <c r="X33" s="677">
        <f>'#3. 생잔율'!H6</f>
        <v>0.99968500000000005</v>
      </c>
      <c r="Y33" s="678">
        <f>'#3. 생잔율'!I6</f>
        <v>0.99982000000000004</v>
      </c>
      <c r="Z33" s="703">
        <f t="shared" si="22"/>
        <v>4601</v>
      </c>
      <c r="AA33" s="686">
        <f t="shared" ref="AA33" si="24">ROUND(C32*X32,0)</f>
        <v>2375</v>
      </c>
      <c r="AB33" s="687">
        <f t="shared" ref="AB33" si="25">ROUND(D32*Y32,0)</f>
        <v>2226</v>
      </c>
    </row>
    <row r="34" spans="1:28" s="667" customFormat="1" ht="22.5" customHeight="1">
      <c r="A34" s="673" t="str">
        <f t="shared" si="23"/>
        <v>10~14</v>
      </c>
      <c r="B34" s="683">
        <f t="shared" si="17"/>
        <v>3828</v>
      </c>
      <c r="C34" s="683">
        <f t="shared" si="18"/>
        <v>1971</v>
      </c>
      <c r="D34" s="683">
        <f t="shared" si="19"/>
        <v>1857</v>
      </c>
      <c r="E34" s="684">
        <f t="shared" si="20"/>
        <v>0.51</v>
      </c>
      <c r="F34" s="684">
        <f t="shared" si="21"/>
        <v>0.49</v>
      </c>
      <c r="G34" s="683"/>
      <c r="H34" s="683"/>
      <c r="I34" s="685"/>
      <c r="J34" s="685"/>
      <c r="K34" s="685"/>
      <c r="L34" s="685"/>
      <c r="M34" s="685"/>
      <c r="N34" s="685"/>
      <c r="O34" s="685"/>
      <c r="P34" s="685"/>
      <c r="Q34" s="685"/>
      <c r="R34" s="685"/>
      <c r="S34" s="685"/>
      <c r="T34" s="685"/>
      <c r="U34" s="685"/>
      <c r="V34" s="685"/>
      <c r="W34" s="685"/>
      <c r="X34" s="677">
        <f>'#3. 생잔율'!H7</f>
        <v>0.99951500000000004</v>
      </c>
      <c r="Y34" s="678">
        <f>'#3. 생잔율'!I7</f>
        <v>0.99987000000000004</v>
      </c>
      <c r="Z34" s="703">
        <f t="shared" ref="Z34:Z53" si="26">SUM(AA34:AB34)</f>
        <v>3493</v>
      </c>
      <c r="AA34" s="686">
        <f t="shared" ref="AA34:AA52" si="27">ROUND(C33*X33,0)</f>
        <v>1811</v>
      </c>
      <c r="AB34" s="687">
        <f t="shared" ref="AB34:AB52" si="28">ROUND(D33*Y33,0)</f>
        <v>1682</v>
      </c>
    </row>
    <row r="35" spans="1:28" s="667" customFormat="1" ht="22.5" customHeight="1">
      <c r="A35" s="673" t="str">
        <f t="shared" si="23"/>
        <v>15~19</v>
      </c>
      <c r="B35" s="683">
        <f t="shared" si="17"/>
        <v>4443</v>
      </c>
      <c r="C35" s="683">
        <f t="shared" si="18"/>
        <v>2329</v>
      </c>
      <c r="D35" s="683">
        <f t="shared" si="19"/>
        <v>2114</v>
      </c>
      <c r="E35" s="684">
        <f t="shared" si="20"/>
        <v>0.52</v>
      </c>
      <c r="F35" s="684">
        <f t="shared" si="21"/>
        <v>0.48</v>
      </c>
      <c r="G35" s="689">
        <f>'#1. 장래인구 성비'!$F$29</f>
        <v>0.50917836458231081</v>
      </c>
      <c r="H35" s="689">
        <f>'#1. 장래인구 성비'!$G$29</f>
        <v>0.49082163541768919</v>
      </c>
      <c r="I35" s="690">
        <f>'#2. 모의 연령별 출산율'!C8</f>
        <v>1.5799999999999998</v>
      </c>
      <c r="J35" s="685">
        <f t="shared" ref="J35:K41" si="29">ROUND(G35*$I35,2)</f>
        <v>0.8</v>
      </c>
      <c r="K35" s="685">
        <f t="shared" si="29"/>
        <v>0.78</v>
      </c>
      <c r="L35" s="686">
        <f t="shared" ref="L35:L41" si="30">SUM(M35:N35)</f>
        <v>16</v>
      </c>
      <c r="M35" s="686">
        <f t="shared" ref="M35:M41" si="31">ROUND(J35*L$30*$D35/1000,0)</f>
        <v>8</v>
      </c>
      <c r="N35" s="686">
        <f t="shared" ref="N35:N41" si="32">ROUND(K35*L$30*$D35/1000,0)</f>
        <v>8</v>
      </c>
      <c r="O35" s="685"/>
      <c r="P35" s="685"/>
      <c r="Q35" s="685"/>
      <c r="R35" s="686">
        <f t="shared" ref="R35:R41" si="33">SUM(S35:T35)</f>
        <v>0</v>
      </c>
      <c r="S35" s="691">
        <f t="shared" ref="S35:T41" si="34">ROUND(M35*P$32,0)</f>
        <v>0</v>
      </c>
      <c r="T35" s="686">
        <f t="shared" si="34"/>
        <v>0</v>
      </c>
      <c r="U35" s="686">
        <f t="shared" ref="U35:U41" si="35">SUM(V35:W35)</f>
        <v>16</v>
      </c>
      <c r="V35" s="683">
        <f t="shared" ref="V35:W41" si="36">M35-S35</f>
        <v>8</v>
      </c>
      <c r="W35" s="683">
        <f t="shared" si="36"/>
        <v>8</v>
      </c>
      <c r="X35" s="677">
        <f>'#3. 생잔율'!H8</f>
        <v>0.99848499999999996</v>
      </c>
      <c r="Y35" s="678">
        <f>'#3. 생잔율'!I8</f>
        <v>0.99915500000000002</v>
      </c>
      <c r="Z35" s="703">
        <f t="shared" si="26"/>
        <v>3827</v>
      </c>
      <c r="AA35" s="686">
        <f t="shared" si="27"/>
        <v>1970</v>
      </c>
      <c r="AB35" s="687">
        <f t="shared" si="28"/>
        <v>1857</v>
      </c>
    </row>
    <row r="36" spans="1:28" s="667" customFormat="1" ht="22.5" customHeight="1">
      <c r="A36" s="673" t="str">
        <f t="shared" si="23"/>
        <v>20~24</v>
      </c>
      <c r="B36" s="683">
        <f t="shared" si="17"/>
        <v>4786</v>
      </c>
      <c r="C36" s="683">
        <f t="shared" si="18"/>
        <v>2615</v>
      </c>
      <c r="D36" s="683">
        <f t="shared" si="19"/>
        <v>2171</v>
      </c>
      <c r="E36" s="684">
        <f t="shared" si="20"/>
        <v>0.55000000000000004</v>
      </c>
      <c r="F36" s="684">
        <f t="shared" si="21"/>
        <v>0.45</v>
      </c>
      <c r="G36" s="689">
        <f>'#1. 장래인구 성비'!$F$29</f>
        <v>0.50917836458231081</v>
      </c>
      <c r="H36" s="689">
        <f>'#1. 장래인구 성비'!$G$29</f>
        <v>0.49082163541768919</v>
      </c>
      <c r="I36" s="690">
        <f>'#2. 모의 연령별 출산율'!C9</f>
        <v>14.419999999999998</v>
      </c>
      <c r="J36" s="685">
        <f t="shared" si="29"/>
        <v>7.34</v>
      </c>
      <c r="K36" s="685">
        <f t="shared" si="29"/>
        <v>7.08</v>
      </c>
      <c r="L36" s="686">
        <f t="shared" si="30"/>
        <v>157</v>
      </c>
      <c r="M36" s="686">
        <f t="shared" si="31"/>
        <v>80</v>
      </c>
      <c r="N36" s="686">
        <f t="shared" si="32"/>
        <v>77</v>
      </c>
      <c r="O36" s="685"/>
      <c r="P36" s="685"/>
      <c r="Q36" s="685"/>
      <c r="R36" s="686">
        <f t="shared" si="33"/>
        <v>0</v>
      </c>
      <c r="S36" s="686">
        <f t="shared" si="34"/>
        <v>0</v>
      </c>
      <c r="T36" s="686">
        <f t="shared" si="34"/>
        <v>0</v>
      </c>
      <c r="U36" s="686">
        <f t="shared" si="35"/>
        <v>157</v>
      </c>
      <c r="V36" s="683">
        <f t="shared" si="36"/>
        <v>80</v>
      </c>
      <c r="W36" s="683">
        <f t="shared" si="36"/>
        <v>77</v>
      </c>
      <c r="X36" s="677">
        <f>'#3. 생잔율'!H9</f>
        <v>0.99819999999999998</v>
      </c>
      <c r="Y36" s="678">
        <f>'#3. 생잔율'!I9</f>
        <v>0.99897499999999995</v>
      </c>
      <c r="Z36" s="703">
        <f t="shared" si="26"/>
        <v>4437</v>
      </c>
      <c r="AA36" s="686">
        <f t="shared" si="27"/>
        <v>2325</v>
      </c>
      <c r="AB36" s="687">
        <f t="shared" si="28"/>
        <v>2112</v>
      </c>
    </row>
    <row r="37" spans="1:28" s="667" customFormat="1" ht="22.5" customHeight="1">
      <c r="A37" s="673" t="str">
        <f t="shared" si="23"/>
        <v>25~29</v>
      </c>
      <c r="B37" s="683">
        <f t="shared" si="17"/>
        <v>4132</v>
      </c>
      <c r="C37" s="683">
        <f t="shared" si="18"/>
        <v>2290</v>
      </c>
      <c r="D37" s="683">
        <f t="shared" si="19"/>
        <v>1842</v>
      </c>
      <c r="E37" s="684">
        <f t="shared" si="20"/>
        <v>0.55000000000000004</v>
      </c>
      <c r="F37" s="684">
        <f t="shared" si="21"/>
        <v>0.45</v>
      </c>
      <c r="G37" s="689">
        <f>'#1. 장래인구 성비'!$F$29</f>
        <v>0.50917836458231081</v>
      </c>
      <c r="H37" s="689">
        <f>'#1. 장래인구 성비'!$G$29</f>
        <v>0.49082163541768919</v>
      </c>
      <c r="I37" s="690">
        <f>'#2. 모의 연령별 출산율'!C10</f>
        <v>64.88000000000001</v>
      </c>
      <c r="J37" s="685">
        <f t="shared" si="29"/>
        <v>33.04</v>
      </c>
      <c r="K37" s="685">
        <f t="shared" si="29"/>
        <v>31.84</v>
      </c>
      <c r="L37" s="686">
        <f t="shared" si="30"/>
        <v>597</v>
      </c>
      <c r="M37" s="686">
        <f t="shared" si="31"/>
        <v>304</v>
      </c>
      <c r="N37" s="686">
        <f t="shared" si="32"/>
        <v>293</v>
      </c>
      <c r="O37" s="685"/>
      <c r="P37" s="685"/>
      <c r="Q37" s="685"/>
      <c r="R37" s="686">
        <f t="shared" si="33"/>
        <v>2</v>
      </c>
      <c r="S37" s="686">
        <f t="shared" si="34"/>
        <v>1</v>
      </c>
      <c r="T37" s="686">
        <f t="shared" si="34"/>
        <v>1</v>
      </c>
      <c r="U37" s="686">
        <f t="shared" si="35"/>
        <v>595</v>
      </c>
      <c r="V37" s="683">
        <f t="shared" si="36"/>
        <v>303</v>
      </c>
      <c r="W37" s="683">
        <f t="shared" si="36"/>
        <v>292</v>
      </c>
      <c r="X37" s="677">
        <f>'#3. 생잔율'!H10</f>
        <v>0.99731999999999998</v>
      </c>
      <c r="Y37" s="678">
        <f>'#3. 생잔율'!I10</f>
        <v>0.99856500000000004</v>
      </c>
      <c r="Z37" s="703">
        <f t="shared" si="26"/>
        <v>4779</v>
      </c>
      <c r="AA37" s="686">
        <f t="shared" si="27"/>
        <v>2610</v>
      </c>
      <c r="AB37" s="687">
        <f t="shared" si="28"/>
        <v>2169</v>
      </c>
    </row>
    <row r="38" spans="1:28" s="667" customFormat="1" ht="22.5" customHeight="1">
      <c r="A38" s="673" t="str">
        <f t="shared" si="23"/>
        <v>30~34</v>
      </c>
      <c r="B38" s="683">
        <f t="shared" si="17"/>
        <v>4138</v>
      </c>
      <c r="C38" s="683">
        <f t="shared" si="18"/>
        <v>2201</v>
      </c>
      <c r="D38" s="683">
        <f t="shared" si="19"/>
        <v>1937</v>
      </c>
      <c r="E38" s="684">
        <f t="shared" si="20"/>
        <v>0.53</v>
      </c>
      <c r="F38" s="684">
        <f t="shared" si="21"/>
        <v>0.47</v>
      </c>
      <c r="G38" s="689">
        <f>'#1. 장래인구 성비'!$F$29</f>
        <v>0.50917836458231081</v>
      </c>
      <c r="H38" s="689">
        <f>'#1. 장래인구 성비'!$G$29</f>
        <v>0.49082163541768919</v>
      </c>
      <c r="I38" s="690">
        <f>'#2. 모의 연령별 출산율'!C11</f>
        <v>115.5</v>
      </c>
      <c r="J38" s="685">
        <f t="shared" si="29"/>
        <v>58.81</v>
      </c>
      <c r="K38" s="685">
        <f t="shared" si="29"/>
        <v>56.69</v>
      </c>
      <c r="L38" s="686">
        <f t="shared" si="30"/>
        <v>1119</v>
      </c>
      <c r="M38" s="686">
        <f t="shared" si="31"/>
        <v>570</v>
      </c>
      <c r="N38" s="686">
        <f t="shared" si="32"/>
        <v>549</v>
      </c>
      <c r="O38" s="685"/>
      <c r="P38" s="685"/>
      <c r="Q38" s="685"/>
      <c r="R38" s="686">
        <f t="shared" si="33"/>
        <v>4</v>
      </c>
      <c r="S38" s="686">
        <f t="shared" si="34"/>
        <v>2</v>
      </c>
      <c r="T38" s="686">
        <f t="shared" si="34"/>
        <v>2</v>
      </c>
      <c r="U38" s="686">
        <f t="shared" si="35"/>
        <v>1115</v>
      </c>
      <c r="V38" s="683">
        <f t="shared" si="36"/>
        <v>568</v>
      </c>
      <c r="W38" s="683">
        <f t="shared" si="36"/>
        <v>547</v>
      </c>
      <c r="X38" s="677">
        <f>'#3. 생잔율'!H11</f>
        <v>0.99656500000000003</v>
      </c>
      <c r="Y38" s="678">
        <f>'#3. 생잔율'!I11</f>
        <v>0.99807999999999997</v>
      </c>
      <c r="Z38" s="703">
        <f t="shared" si="26"/>
        <v>4123</v>
      </c>
      <c r="AA38" s="686">
        <f t="shared" si="27"/>
        <v>2284</v>
      </c>
      <c r="AB38" s="687">
        <f t="shared" si="28"/>
        <v>1839</v>
      </c>
    </row>
    <row r="39" spans="1:28" s="667" customFormat="1" ht="22.5" customHeight="1">
      <c r="A39" s="673" t="str">
        <f t="shared" si="23"/>
        <v>35~39</v>
      </c>
      <c r="B39" s="683">
        <f t="shared" si="17"/>
        <v>4843</v>
      </c>
      <c r="C39" s="683">
        <f t="shared" si="18"/>
        <v>2485</v>
      </c>
      <c r="D39" s="683">
        <f t="shared" si="19"/>
        <v>2358</v>
      </c>
      <c r="E39" s="684">
        <f t="shared" si="20"/>
        <v>0.51</v>
      </c>
      <c r="F39" s="684">
        <f t="shared" si="21"/>
        <v>0.49</v>
      </c>
      <c r="G39" s="689">
        <f>'#1. 장래인구 성비'!$F$29</f>
        <v>0.50917836458231081</v>
      </c>
      <c r="H39" s="689">
        <f>'#1. 장래인구 성비'!$G$29</f>
        <v>0.49082163541768919</v>
      </c>
      <c r="I39" s="690">
        <f>'#2. 모의 연령별 출산율'!C12</f>
        <v>60.76</v>
      </c>
      <c r="J39" s="685">
        <f t="shared" si="29"/>
        <v>30.94</v>
      </c>
      <c r="K39" s="685">
        <f t="shared" si="29"/>
        <v>29.82</v>
      </c>
      <c r="L39" s="686">
        <f t="shared" si="30"/>
        <v>717</v>
      </c>
      <c r="M39" s="686">
        <f t="shared" si="31"/>
        <v>365</v>
      </c>
      <c r="N39" s="686">
        <f t="shared" si="32"/>
        <v>352</v>
      </c>
      <c r="O39" s="685"/>
      <c r="P39" s="685"/>
      <c r="Q39" s="685"/>
      <c r="R39" s="686">
        <f t="shared" si="33"/>
        <v>2</v>
      </c>
      <c r="S39" s="686">
        <f t="shared" si="34"/>
        <v>1</v>
      </c>
      <c r="T39" s="686">
        <f t="shared" si="34"/>
        <v>1</v>
      </c>
      <c r="U39" s="686">
        <f t="shared" si="35"/>
        <v>715</v>
      </c>
      <c r="V39" s="683">
        <f t="shared" si="36"/>
        <v>364</v>
      </c>
      <c r="W39" s="683">
        <f t="shared" si="36"/>
        <v>351</v>
      </c>
      <c r="X39" s="677">
        <f>'#3. 생잔율'!H12</f>
        <v>0.99529000000000001</v>
      </c>
      <c r="Y39" s="678">
        <f>'#3. 생잔율'!I12</f>
        <v>0.99740499999999999</v>
      </c>
      <c r="Z39" s="703">
        <f t="shared" si="26"/>
        <v>4126</v>
      </c>
      <c r="AA39" s="686">
        <f t="shared" si="27"/>
        <v>2193</v>
      </c>
      <c r="AB39" s="687">
        <f t="shared" si="28"/>
        <v>1933</v>
      </c>
    </row>
    <row r="40" spans="1:28" s="667" customFormat="1" ht="22.5" customHeight="1">
      <c r="A40" s="673" t="str">
        <f t="shared" si="23"/>
        <v>40~44</v>
      </c>
      <c r="B40" s="683">
        <f t="shared" si="17"/>
        <v>5798</v>
      </c>
      <c r="C40" s="683">
        <f t="shared" si="18"/>
        <v>3040</v>
      </c>
      <c r="D40" s="683">
        <f t="shared" si="19"/>
        <v>2758</v>
      </c>
      <c r="E40" s="684">
        <f t="shared" si="20"/>
        <v>0.52</v>
      </c>
      <c r="F40" s="684">
        <f t="shared" si="21"/>
        <v>0.48</v>
      </c>
      <c r="G40" s="689">
        <f>'#1. 장래인구 성비'!$F$29</f>
        <v>0.50917836458231081</v>
      </c>
      <c r="H40" s="689">
        <f>'#1. 장래인구 성비'!$G$29</f>
        <v>0.49082163541768919</v>
      </c>
      <c r="I40" s="690">
        <f>'#2. 모의 연령별 출산율'!C13</f>
        <v>11.86</v>
      </c>
      <c r="J40" s="685">
        <f t="shared" si="29"/>
        <v>6.04</v>
      </c>
      <c r="K40" s="685">
        <f t="shared" si="29"/>
        <v>5.82</v>
      </c>
      <c r="L40" s="686">
        <f t="shared" si="30"/>
        <v>163</v>
      </c>
      <c r="M40" s="686">
        <f t="shared" si="31"/>
        <v>83</v>
      </c>
      <c r="N40" s="686">
        <f t="shared" si="32"/>
        <v>80</v>
      </c>
      <c r="O40" s="685"/>
      <c r="P40" s="685"/>
      <c r="Q40" s="685"/>
      <c r="R40" s="686">
        <f t="shared" si="33"/>
        <v>0</v>
      </c>
      <c r="S40" s="686">
        <f t="shared" si="34"/>
        <v>0</v>
      </c>
      <c r="T40" s="686">
        <f t="shared" si="34"/>
        <v>0</v>
      </c>
      <c r="U40" s="686">
        <f t="shared" si="35"/>
        <v>163</v>
      </c>
      <c r="V40" s="683">
        <f t="shared" si="36"/>
        <v>83</v>
      </c>
      <c r="W40" s="683">
        <f t="shared" si="36"/>
        <v>80</v>
      </c>
      <c r="X40" s="677">
        <f>'#3. 생잔율'!H13</f>
        <v>0.99214999999999998</v>
      </c>
      <c r="Y40" s="678">
        <f>'#3. 생잔율'!I13</f>
        <v>0.99631000000000003</v>
      </c>
      <c r="Z40" s="703">
        <f t="shared" si="26"/>
        <v>4825</v>
      </c>
      <c r="AA40" s="686">
        <f t="shared" si="27"/>
        <v>2473</v>
      </c>
      <c r="AB40" s="687">
        <f t="shared" si="28"/>
        <v>2352</v>
      </c>
    </row>
    <row r="41" spans="1:28" s="667" customFormat="1" ht="22.5" customHeight="1">
      <c r="A41" s="673" t="str">
        <f t="shared" si="23"/>
        <v>45~49</v>
      </c>
      <c r="B41" s="683">
        <f t="shared" si="17"/>
        <v>6263</v>
      </c>
      <c r="C41" s="683">
        <f t="shared" si="18"/>
        <v>3343</v>
      </c>
      <c r="D41" s="683">
        <f t="shared" si="19"/>
        <v>2920</v>
      </c>
      <c r="E41" s="684">
        <f t="shared" si="20"/>
        <v>0.53</v>
      </c>
      <c r="F41" s="684">
        <f t="shared" si="21"/>
        <v>0.47</v>
      </c>
      <c r="G41" s="689">
        <f>'#1. 장래인구 성비'!$F$29</f>
        <v>0.50917836458231081</v>
      </c>
      <c r="H41" s="689">
        <f>'#1. 장래인구 성비'!$G$29</f>
        <v>0.49082163541768919</v>
      </c>
      <c r="I41" s="690">
        <f>'#2. 모의 연령별 출산율'!C14</f>
        <v>1.44</v>
      </c>
      <c r="J41" s="685">
        <f t="shared" si="29"/>
        <v>0.73</v>
      </c>
      <c r="K41" s="685">
        <f t="shared" si="29"/>
        <v>0.71</v>
      </c>
      <c r="L41" s="686">
        <f t="shared" si="30"/>
        <v>21</v>
      </c>
      <c r="M41" s="686">
        <f t="shared" si="31"/>
        <v>11</v>
      </c>
      <c r="N41" s="686">
        <f t="shared" si="32"/>
        <v>10</v>
      </c>
      <c r="O41" s="685"/>
      <c r="P41" s="685"/>
      <c r="Q41" s="685"/>
      <c r="R41" s="686">
        <f t="shared" si="33"/>
        <v>0</v>
      </c>
      <c r="S41" s="686">
        <f t="shared" si="34"/>
        <v>0</v>
      </c>
      <c r="T41" s="686">
        <f t="shared" si="34"/>
        <v>0</v>
      </c>
      <c r="U41" s="686">
        <f t="shared" si="35"/>
        <v>21</v>
      </c>
      <c r="V41" s="683">
        <f t="shared" si="36"/>
        <v>11</v>
      </c>
      <c r="W41" s="683">
        <f t="shared" si="36"/>
        <v>10</v>
      </c>
      <c r="X41" s="677">
        <f>'#3. 생잔율'!H14</f>
        <v>0.98673999999999995</v>
      </c>
      <c r="Y41" s="678">
        <f>'#3. 생잔율'!I14</f>
        <v>0.99509999999999998</v>
      </c>
      <c r="Z41" s="703">
        <f t="shared" si="26"/>
        <v>5764</v>
      </c>
      <c r="AA41" s="686">
        <f t="shared" si="27"/>
        <v>3016</v>
      </c>
      <c r="AB41" s="687">
        <f t="shared" si="28"/>
        <v>2748</v>
      </c>
    </row>
    <row r="42" spans="1:28" s="667" customFormat="1" ht="22.5" customHeight="1">
      <c r="A42" s="673" t="str">
        <f t="shared" si="23"/>
        <v>50~54</v>
      </c>
      <c r="B42" s="683">
        <f t="shared" si="17"/>
        <v>6524</v>
      </c>
      <c r="C42" s="683">
        <f t="shared" si="18"/>
        <v>3394</v>
      </c>
      <c r="D42" s="683">
        <f t="shared" si="19"/>
        <v>3130</v>
      </c>
      <c r="E42" s="684">
        <f t="shared" si="20"/>
        <v>0.52</v>
      </c>
      <c r="F42" s="684">
        <f t="shared" si="21"/>
        <v>0.48</v>
      </c>
      <c r="G42" s="692"/>
      <c r="H42" s="683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77">
        <f>'#3. 생잔율'!H15</f>
        <v>0.98136500000000004</v>
      </c>
      <c r="Y42" s="678">
        <f>'#3. 생잔율'!I15</f>
        <v>0.99260499999999996</v>
      </c>
      <c r="Z42" s="703">
        <f t="shared" si="26"/>
        <v>6205</v>
      </c>
      <c r="AA42" s="686">
        <f t="shared" si="27"/>
        <v>3299</v>
      </c>
      <c r="AB42" s="687">
        <f t="shared" si="28"/>
        <v>2906</v>
      </c>
    </row>
    <row r="43" spans="1:28" s="667" customFormat="1" ht="22.5" customHeight="1">
      <c r="A43" s="673" t="str">
        <f t="shared" si="23"/>
        <v>55~59</v>
      </c>
      <c r="B43" s="683">
        <f t="shared" si="17"/>
        <v>6621</v>
      </c>
      <c r="C43" s="683">
        <f t="shared" si="18"/>
        <v>3350</v>
      </c>
      <c r="D43" s="683">
        <f t="shared" si="19"/>
        <v>3271</v>
      </c>
      <c r="E43" s="684">
        <f t="shared" si="20"/>
        <v>0.51</v>
      </c>
      <c r="F43" s="684">
        <f t="shared" si="21"/>
        <v>0.49</v>
      </c>
      <c r="G43" s="683"/>
      <c r="H43" s="683"/>
      <c r="I43" s="685"/>
      <c r="J43" s="685"/>
      <c r="K43" s="685"/>
      <c r="L43" s="685"/>
      <c r="M43" s="685"/>
      <c r="N43" s="685"/>
      <c r="O43" s="685"/>
      <c r="P43" s="685"/>
      <c r="Q43" s="685"/>
      <c r="R43" s="685"/>
      <c r="S43" s="685"/>
      <c r="T43" s="685"/>
      <c r="U43" s="685"/>
      <c r="V43" s="685"/>
      <c r="W43" s="685"/>
      <c r="X43" s="677">
        <f>'#3. 생잔율'!H16</f>
        <v>0.97206499999999996</v>
      </c>
      <c r="Y43" s="678">
        <f>'#3. 생잔율'!I16</f>
        <v>0.99078999999999995</v>
      </c>
      <c r="Z43" s="703">
        <f t="shared" si="26"/>
        <v>6438</v>
      </c>
      <c r="AA43" s="686">
        <f t="shared" si="27"/>
        <v>3331</v>
      </c>
      <c r="AB43" s="687">
        <f t="shared" si="28"/>
        <v>3107</v>
      </c>
    </row>
    <row r="44" spans="1:28" s="667" customFormat="1" ht="22.5" customHeight="1">
      <c r="A44" s="673" t="str">
        <f t="shared" si="23"/>
        <v>60~64</v>
      </c>
      <c r="B44" s="683">
        <f t="shared" si="17"/>
        <v>5890</v>
      </c>
      <c r="C44" s="683">
        <f t="shared" si="18"/>
        <v>2883</v>
      </c>
      <c r="D44" s="683">
        <f t="shared" si="19"/>
        <v>3007</v>
      </c>
      <c r="E44" s="684">
        <f t="shared" si="20"/>
        <v>0.49</v>
      </c>
      <c r="F44" s="684">
        <f t="shared" si="21"/>
        <v>0.51</v>
      </c>
      <c r="G44" s="683"/>
      <c r="H44" s="683"/>
      <c r="I44" s="685"/>
      <c r="J44" s="685"/>
      <c r="K44" s="685"/>
      <c r="L44" s="685"/>
      <c r="M44" s="685"/>
      <c r="N44" s="685"/>
      <c r="O44" s="685"/>
      <c r="P44" s="685"/>
      <c r="Q44" s="685"/>
      <c r="R44" s="685"/>
      <c r="S44" s="685"/>
      <c r="T44" s="685"/>
      <c r="U44" s="685"/>
      <c r="V44" s="685"/>
      <c r="W44" s="685"/>
      <c r="X44" s="677">
        <f>'#3. 생잔율'!H17</f>
        <v>0.95948999999999995</v>
      </c>
      <c r="Y44" s="678">
        <f>'#3. 생잔율'!I17</f>
        <v>0.98665499999999995</v>
      </c>
      <c r="Z44" s="703">
        <f t="shared" si="26"/>
        <v>6497</v>
      </c>
      <c r="AA44" s="686">
        <f t="shared" si="27"/>
        <v>3256</v>
      </c>
      <c r="AB44" s="687">
        <f t="shared" si="28"/>
        <v>3241</v>
      </c>
    </row>
    <row r="45" spans="1:28" s="667" customFormat="1" ht="22.5" customHeight="1">
      <c r="A45" s="673" t="str">
        <f t="shared" si="23"/>
        <v>65~69</v>
      </c>
      <c r="B45" s="683">
        <f t="shared" si="17"/>
        <v>4973</v>
      </c>
      <c r="C45" s="683">
        <f t="shared" si="18"/>
        <v>2363</v>
      </c>
      <c r="D45" s="683">
        <f t="shared" si="19"/>
        <v>2610</v>
      </c>
      <c r="E45" s="684">
        <f t="shared" si="20"/>
        <v>0.48</v>
      </c>
      <c r="F45" s="684">
        <f t="shared" si="21"/>
        <v>0.52</v>
      </c>
      <c r="G45" s="683"/>
      <c r="H45" s="683"/>
      <c r="I45" s="685"/>
      <c r="J45" s="685"/>
      <c r="K45" s="685"/>
      <c r="L45" s="685"/>
      <c r="M45" s="685"/>
      <c r="N45" s="685"/>
      <c r="O45" s="685"/>
      <c r="P45" s="685"/>
      <c r="Q45" s="685"/>
      <c r="R45" s="685"/>
      <c r="S45" s="685"/>
      <c r="T45" s="685"/>
      <c r="U45" s="685"/>
      <c r="V45" s="685"/>
      <c r="W45" s="685"/>
      <c r="X45" s="677">
        <f>'#3. 생잔율'!H18</f>
        <v>0.94257000000000002</v>
      </c>
      <c r="Y45" s="678">
        <f>'#3. 생잔율'!I18</f>
        <v>0.97794999999999999</v>
      </c>
      <c r="Z45" s="703">
        <f t="shared" si="26"/>
        <v>5733</v>
      </c>
      <c r="AA45" s="686">
        <f t="shared" si="27"/>
        <v>2766</v>
      </c>
      <c r="AB45" s="687">
        <f t="shared" si="28"/>
        <v>2967</v>
      </c>
    </row>
    <row r="46" spans="1:28" s="667" customFormat="1" ht="22.5" customHeight="1">
      <c r="A46" s="673" t="str">
        <f t="shared" si="23"/>
        <v>70~74</v>
      </c>
      <c r="B46" s="683">
        <f t="shared" si="17"/>
        <v>4294</v>
      </c>
      <c r="C46" s="683">
        <f t="shared" si="18"/>
        <v>1878</v>
      </c>
      <c r="D46" s="683">
        <f t="shared" si="19"/>
        <v>2416</v>
      </c>
      <c r="E46" s="684">
        <f t="shared" si="20"/>
        <v>0.44</v>
      </c>
      <c r="F46" s="684">
        <f t="shared" si="21"/>
        <v>0.56000000000000005</v>
      </c>
      <c r="G46" s="683"/>
      <c r="H46" s="683"/>
      <c r="I46" s="685"/>
      <c r="J46" s="685"/>
      <c r="K46" s="685"/>
      <c r="L46" s="685"/>
      <c r="N46" s="685"/>
      <c r="O46" s="685"/>
      <c r="P46" s="685"/>
      <c r="Q46" s="685"/>
      <c r="R46" s="685"/>
      <c r="S46" s="685"/>
      <c r="T46" s="685"/>
      <c r="U46" s="685"/>
      <c r="V46" s="685"/>
      <c r="W46" s="685"/>
      <c r="X46" s="677">
        <f>'#3. 생잔율'!H19</f>
        <v>0.89197000000000004</v>
      </c>
      <c r="Y46" s="678">
        <f>'#3. 생잔율'!I19</f>
        <v>0.95859000000000005</v>
      </c>
      <c r="Z46" s="703">
        <f t="shared" si="26"/>
        <v>4779</v>
      </c>
      <c r="AA46" s="686">
        <f t="shared" si="27"/>
        <v>2227</v>
      </c>
      <c r="AB46" s="687">
        <f t="shared" si="28"/>
        <v>2552</v>
      </c>
    </row>
    <row r="47" spans="1:28" s="667" customFormat="1" ht="22.5" customHeight="1">
      <c r="A47" s="673" t="str">
        <f t="shared" si="23"/>
        <v>75~79</v>
      </c>
      <c r="B47" s="683">
        <f t="shared" si="17"/>
        <v>3815</v>
      </c>
      <c r="C47" s="683">
        <f t="shared" si="18"/>
        <v>1471</v>
      </c>
      <c r="D47" s="683">
        <f t="shared" si="19"/>
        <v>2344</v>
      </c>
      <c r="E47" s="684">
        <f t="shared" si="20"/>
        <v>0.39</v>
      </c>
      <c r="F47" s="684">
        <f t="shared" si="21"/>
        <v>0.61</v>
      </c>
      <c r="G47" s="683"/>
      <c r="H47" s="683"/>
      <c r="I47" s="685"/>
      <c r="J47" s="685"/>
      <c r="K47" s="685"/>
      <c r="L47" s="685"/>
      <c r="M47" s="685"/>
      <c r="N47" s="685"/>
      <c r="O47" s="685"/>
      <c r="P47" s="685"/>
      <c r="Q47" s="685"/>
      <c r="R47" s="685"/>
      <c r="S47" s="685"/>
      <c r="T47" s="685"/>
      <c r="U47" s="685"/>
      <c r="V47" s="685"/>
      <c r="W47" s="685"/>
      <c r="X47" s="677">
        <f>'#3. 생잔율'!H20</f>
        <v>0.80688000000000004</v>
      </c>
      <c r="Y47" s="678">
        <f>'#3. 생잔율'!I20</f>
        <v>0.92196999999999996</v>
      </c>
      <c r="Z47" s="703">
        <f t="shared" si="26"/>
        <v>3991</v>
      </c>
      <c r="AA47" s="686">
        <f t="shared" si="27"/>
        <v>1675</v>
      </c>
      <c r="AB47" s="687">
        <f t="shared" si="28"/>
        <v>2316</v>
      </c>
    </row>
    <row r="48" spans="1:28" s="667" customFormat="1" ht="22.5" customHeight="1">
      <c r="A48" s="673" t="str">
        <f t="shared" si="23"/>
        <v>80~84</v>
      </c>
      <c r="B48" s="683">
        <f t="shared" si="17"/>
        <v>2840</v>
      </c>
      <c r="C48" s="683">
        <f t="shared" si="18"/>
        <v>966</v>
      </c>
      <c r="D48" s="683">
        <f t="shared" si="19"/>
        <v>1874</v>
      </c>
      <c r="E48" s="684">
        <f t="shared" si="20"/>
        <v>0.34</v>
      </c>
      <c r="F48" s="684">
        <f t="shared" si="21"/>
        <v>0.66</v>
      </c>
      <c r="G48" s="683"/>
      <c r="H48" s="683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77">
        <f>'#3. 생잔율'!H21</f>
        <v>0.66922999999999999</v>
      </c>
      <c r="Y48" s="678">
        <f>'#3. 생잔율'!I21</f>
        <v>0.85697000000000001</v>
      </c>
      <c r="Z48" s="703">
        <f t="shared" si="26"/>
        <v>3348</v>
      </c>
      <c r="AA48" s="686">
        <f t="shared" si="27"/>
        <v>1187</v>
      </c>
      <c r="AB48" s="687">
        <f t="shared" si="28"/>
        <v>2161</v>
      </c>
    </row>
    <row r="49" spans="1:28" s="667" customFormat="1" ht="22.5" customHeight="1">
      <c r="A49" s="673" t="str">
        <f t="shared" si="23"/>
        <v>85~89</v>
      </c>
      <c r="B49" s="683">
        <f t="shared" si="17"/>
        <v>1385</v>
      </c>
      <c r="C49" s="683">
        <f t="shared" si="18"/>
        <v>394</v>
      </c>
      <c r="D49" s="683">
        <f t="shared" si="19"/>
        <v>991</v>
      </c>
      <c r="E49" s="684">
        <f t="shared" si="20"/>
        <v>0.28000000000000003</v>
      </c>
      <c r="F49" s="684">
        <f t="shared" si="21"/>
        <v>0.72</v>
      </c>
      <c r="G49" s="683"/>
      <c r="H49" s="683"/>
      <c r="I49" s="685"/>
      <c r="J49" s="685"/>
      <c r="K49" s="685"/>
      <c r="L49" s="685"/>
      <c r="M49" s="685"/>
      <c r="N49" s="685"/>
      <c r="O49" s="685"/>
      <c r="P49" s="685"/>
      <c r="Q49" s="685"/>
      <c r="R49" s="685"/>
      <c r="S49" s="685"/>
      <c r="T49" s="685"/>
      <c r="U49" s="685"/>
      <c r="V49" s="685"/>
      <c r="W49" s="685"/>
      <c r="X49" s="677">
        <f>'#3. 생잔율'!H22</f>
        <v>0.4776450000000001</v>
      </c>
      <c r="Y49" s="678">
        <f>'#3. 생잔율'!I22</f>
        <v>0.74749500000000002</v>
      </c>
      <c r="Z49" s="703">
        <f t="shared" si="26"/>
        <v>2252</v>
      </c>
      <c r="AA49" s="686">
        <f t="shared" si="27"/>
        <v>646</v>
      </c>
      <c r="AB49" s="687">
        <f t="shared" si="28"/>
        <v>1606</v>
      </c>
    </row>
    <row r="50" spans="1:28" s="667" customFormat="1" ht="22.5" customHeight="1">
      <c r="A50" s="673" t="str">
        <f t="shared" si="23"/>
        <v>90~94</v>
      </c>
      <c r="B50" s="683">
        <f t="shared" si="17"/>
        <v>441</v>
      </c>
      <c r="C50" s="683">
        <f t="shared" ref="C50:C52" si="37">AA25</f>
        <v>86</v>
      </c>
      <c r="D50" s="683">
        <f t="shared" ref="D50:D52" si="38">AB25</f>
        <v>355</v>
      </c>
      <c r="E50" s="684">
        <f t="shared" si="20"/>
        <v>0.2</v>
      </c>
      <c r="F50" s="684">
        <f t="shared" si="21"/>
        <v>0.8</v>
      </c>
      <c r="G50" s="694"/>
      <c r="H50" s="694"/>
      <c r="I50" s="695"/>
      <c r="J50" s="695"/>
      <c r="K50" s="695"/>
      <c r="L50" s="695"/>
      <c r="M50" s="695"/>
      <c r="N50" s="695"/>
      <c r="O50" s="695"/>
      <c r="P50" s="695"/>
      <c r="Q50" s="695"/>
      <c r="R50" s="695"/>
      <c r="S50" s="695"/>
      <c r="T50" s="695"/>
      <c r="U50" s="695"/>
      <c r="V50" s="695"/>
      <c r="W50" s="695"/>
      <c r="X50" s="677">
        <f>'#3. 생잔율'!H23</f>
        <v>0.26675500000000008</v>
      </c>
      <c r="Y50" s="678">
        <f>'#3. 생잔율'!I23</f>
        <v>0.58220499999999997</v>
      </c>
      <c r="Z50" s="703">
        <f t="shared" si="26"/>
        <v>929</v>
      </c>
      <c r="AA50" s="686">
        <f t="shared" si="27"/>
        <v>188</v>
      </c>
      <c r="AB50" s="687">
        <f t="shared" si="28"/>
        <v>741</v>
      </c>
    </row>
    <row r="51" spans="1:28" s="667" customFormat="1" ht="22.5" customHeight="1">
      <c r="A51" s="673" t="str">
        <f t="shared" si="23"/>
        <v>95~99</v>
      </c>
      <c r="B51" s="683">
        <f t="shared" si="17"/>
        <v>101</v>
      </c>
      <c r="C51" s="683">
        <f t="shared" si="37"/>
        <v>10</v>
      </c>
      <c r="D51" s="683">
        <f t="shared" si="38"/>
        <v>91</v>
      </c>
      <c r="E51" s="684">
        <f t="shared" si="20"/>
        <v>0.1</v>
      </c>
      <c r="F51" s="684">
        <f t="shared" si="21"/>
        <v>0.9</v>
      </c>
      <c r="G51" s="694"/>
      <c r="H51" s="694"/>
      <c r="I51" s="695"/>
      <c r="J51" s="695"/>
      <c r="K51" s="695"/>
      <c r="L51" s="695"/>
      <c r="M51" s="695"/>
      <c r="N51" s="695"/>
      <c r="O51" s="695"/>
      <c r="P51" s="695"/>
      <c r="Q51" s="695"/>
      <c r="R51" s="695"/>
      <c r="S51" s="695"/>
      <c r="T51" s="695"/>
      <c r="U51" s="695"/>
      <c r="V51" s="695"/>
      <c r="W51" s="695"/>
      <c r="X51" s="677">
        <f>'#3. 생잔율'!H24</f>
        <v>0.10345499999999996</v>
      </c>
      <c r="Y51" s="678">
        <f>'#3. 생잔율'!I24</f>
        <v>0.37448000000000004</v>
      </c>
      <c r="Z51" s="703">
        <f t="shared" si="26"/>
        <v>230</v>
      </c>
      <c r="AA51" s="686">
        <f t="shared" si="27"/>
        <v>23</v>
      </c>
      <c r="AB51" s="687">
        <f t="shared" si="28"/>
        <v>207</v>
      </c>
    </row>
    <row r="52" spans="1:28" s="667" customFormat="1" ht="22.5" customHeight="1">
      <c r="A52" s="673" t="str">
        <f t="shared" si="23"/>
        <v>100+</v>
      </c>
      <c r="B52" s="683">
        <f t="shared" si="17"/>
        <v>10</v>
      </c>
      <c r="C52" s="683">
        <f t="shared" si="37"/>
        <v>1</v>
      </c>
      <c r="D52" s="683">
        <f t="shared" si="38"/>
        <v>9</v>
      </c>
      <c r="E52" s="684">
        <f t="shared" si="20"/>
        <v>0.1</v>
      </c>
      <c r="F52" s="684">
        <f t="shared" si="21"/>
        <v>0.9</v>
      </c>
      <c r="G52" s="694"/>
      <c r="H52" s="694"/>
      <c r="I52" s="695"/>
      <c r="J52" s="695"/>
      <c r="K52" s="695"/>
      <c r="L52" s="695"/>
      <c r="M52" s="695"/>
      <c r="N52" s="695"/>
      <c r="O52" s="695"/>
      <c r="P52" s="695"/>
      <c r="Q52" s="695"/>
      <c r="R52" s="695"/>
      <c r="S52" s="695"/>
      <c r="T52" s="695"/>
      <c r="U52" s="695"/>
      <c r="V52" s="695"/>
      <c r="W52" s="695"/>
      <c r="X52" s="677">
        <f>'#3. 생잔율'!H25</f>
        <v>0</v>
      </c>
      <c r="Y52" s="678">
        <f>'#3. 생잔율'!I25</f>
        <v>0</v>
      </c>
      <c r="Z52" s="703">
        <f t="shared" si="26"/>
        <v>35</v>
      </c>
      <c r="AA52" s="686">
        <f t="shared" si="27"/>
        <v>1</v>
      </c>
      <c r="AB52" s="687">
        <f t="shared" si="28"/>
        <v>34</v>
      </c>
    </row>
    <row r="53" spans="1:28" s="667" customFormat="1" ht="22.5" customHeight="1">
      <c r="A53" s="696" t="s">
        <v>50</v>
      </c>
      <c r="B53" s="697">
        <f>SUM(B32:B52)</f>
        <v>83222</v>
      </c>
      <c r="C53" s="698">
        <f>SUM(C32:C52)</f>
        <v>41258</v>
      </c>
      <c r="D53" s="698">
        <f>SUM(D32:D52)</f>
        <v>41964</v>
      </c>
      <c r="E53" s="699"/>
      <c r="F53" s="699"/>
      <c r="G53" s="699"/>
      <c r="H53" s="699"/>
      <c r="I53" s="699"/>
      <c r="J53" s="699"/>
      <c r="K53" s="699"/>
      <c r="L53" s="698">
        <f>SUM(L35:L49)</f>
        <v>2790</v>
      </c>
      <c r="M53" s="699"/>
      <c r="N53" s="699"/>
      <c r="O53" s="699"/>
      <c r="P53" s="699"/>
      <c r="Q53" s="699"/>
      <c r="R53" s="698">
        <f t="shared" ref="R53:W53" si="39">SUM(R35:R49)</f>
        <v>8</v>
      </c>
      <c r="S53" s="698">
        <f t="shared" si="39"/>
        <v>4</v>
      </c>
      <c r="T53" s="698">
        <f t="shared" si="39"/>
        <v>4</v>
      </c>
      <c r="U53" s="698">
        <f t="shared" si="39"/>
        <v>2782</v>
      </c>
      <c r="V53" s="698">
        <f t="shared" si="39"/>
        <v>1417</v>
      </c>
      <c r="W53" s="698">
        <f t="shared" si="39"/>
        <v>1365</v>
      </c>
      <c r="X53" s="699"/>
      <c r="Y53" s="700"/>
      <c r="Z53" s="701">
        <f t="shared" si="26"/>
        <v>83194</v>
      </c>
      <c r="AA53" s="698">
        <f>SUM(AA32:AA52)</f>
        <v>41073</v>
      </c>
      <c r="AB53" s="698">
        <f>SUM(AB32:AB52)</f>
        <v>42121</v>
      </c>
    </row>
    <row r="54" spans="1:28" s="667" customFormat="1" ht="22.5" customHeight="1"/>
    <row r="55" spans="1:28" s="667" customFormat="1" ht="22.5" customHeight="1">
      <c r="A55" s="997" t="s">
        <v>81</v>
      </c>
      <c r="B55" s="999">
        <f>Z30</f>
        <v>2025</v>
      </c>
      <c r="C55" s="999"/>
      <c r="D55" s="999"/>
      <c r="E55" s="996" t="s">
        <v>74</v>
      </c>
      <c r="F55" s="996"/>
      <c r="G55" s="996" t="s">
        <v>80</v>
      </c>
      <c r="H55" s="996"/>
      <c r="I55" s="1000" t="s">
        <v>248</v>
      </c>
      <c r="J55" s="1000"/>
      <c r="K55" s="1000"/>
      <c r="L55" s="1005">
        <v>5</v>
      </c>
      <c r="M55" s="1005"/>
      <c r="N55" s="1005"/>
      <c r="O55" s="996" t="s">
        <v>79</v>
      </c>
      <c r="P55" s="996"/>
      <c r="Q55" s="996"/>
      <c r="R55" s="996" t="s">
        <v>71</v>
      </c>
      <c r="S55" s="996"/>
      <c r="T55" s="996"/>
      <c r="U55" s="996" t="s">
        <v>70</v>
      </c>
      <c r="V55" s="996"/>
      <c r="W55" s="996"/>
      <c r="X55" s="996" t="s">
        <v>78</v>
      </c>
      <c r="Y55" s="1004"/>
      <c r="Z55" s="1001">
        <f>B55+L55</f>
        <v>2030</v>
      </c>
      <c r="AA55" s="1002"/>
      <c r="AB55" s="1003"/>
    </row>
    <row r="56" spans="1:28" s="672" customFormat="1" ht="22.5" customHeight="1">
      <c r="A56" s="998"/>
      <c r="B56" s="668" t="s">
        <v>77</v>
      </c>
      <c r="C56" s="668" t="s">
        <v>76</v>
      </c>
      <c r="D56" s="668" t="s">
        <v>75</v>
      </c>
      <c r="E56" s="668" t="s">
        <v>76</v>
      </c>
      <c r="F56" s="668" t="s">
        <v>75</v>
      </c>
      <c r="G56" s="668" t="s">
        <v>76</v>
      </c>
      <c r="H56" s="668" t="s">
        <v>75</v>
      </c>
      <c r="I56" s="668" t="s">
        <v>77</v>
      </c>
      <c r="J56" s="668" t="s">
        <v>76</v>
      </c>
      <c r="K56" s="668" t="s">
        <v>75</v>
      </c>
      <c r="L56" s="668" t="s">
        <v>77</v>
      </c>
      <c r="M56" s="668" t="s">
        <v>76</v>
      </c>
      <c r="N56" s="668" t="s">
        <v>75</v>
      </c>
      <c r="O56" s="668" t="s">
        <v>77</v>
      </c>
      <c r="P56" s="668" t="s">
        <v>76</v>
      </c>
      <c r="Q56" s="668" t="s">
        <v>75</v>
      </c>
      <c r="R56" s="668" t="s">
        <v>77</v>
      </c>
      <c r="S56" s="668" t="s">
        <v>76</v>
      </c>
      <c r="T56" s="668" t="s">
        <v>75</v>
      </c>
      <c r="U56" s="668" t="s">
        <v>77</v>
      </c>
      <c r="V56" s="668" t="s">
        <v>76</v>
      </c>
      <c r="W56" s="668" t="s">
        <v>75</v>
      </c>
      <c r="X56" s="668" t="s">
        <v>76</v>
      </c>
      <c r="Y56" s="669" t="s">
        <v>75</v>
      </c>
      <c r="Z56" s="670" t="s">
        <v>77</v>
      </c>
      <c r="AA56" s="668" t="s">
        <v>76</v>
      </c>
      <c r="AB56" s="671" t="s">
        <v>75</v>
      </c>
    </row>
    <row r="57" spans="1:28" s="667" customFormat="1" ht="22.5" customHeight="1">
      <c r="A57" s="673" t="str">
        <f>A32</f>
        <v>0~4</v>
      </c>
      <c r="B57" s="674">
        <f t="shared" ref="B57:B74" si="40">SUM(C57:D57)</f>
        <v>2782</v>
      </c>
      <c r="C57" s="674">
        <f t="shared" ref="C57:C74" si="41">AA32</f>
        <v>1417</v>
      </c>
      <c r="D57" s="674">
        <f t="shared" ref="D57:D74" si="42">AB32</f>
        <v>1365</v>
      </c>
      <c r="E57" s="675">
        <f t="shared" ref="E57:E74" si="43">ROUND(C57/$B57,2)</f>
        <v>0.51</v>
      </c>
      <c r="F57" s="675">
        <f t="shared" ref="F57:F74" si="44">ROUND(D57/$B57,2)</f>
        <v>0.49</v>
      </c>
      <c r="G57" s="674"/>
      <c r="H57" s="674"/>
      <c r="I57" s="676"/>
      <c r="J57" s="676"/>
      <c r="K57" s="676"/>
      <c r="L57" s="676"/>
      <c r="M57" s="676"/>
      <c r="N57" s="676"/>
      <c r="O57" s="676">
        <f>AVERAGE(P57:Q57)</f>
        <v>3.0025E-3</v>
      </c>
      <c r="P57" s="676">
        <f>'#3. 생잔율'!J4</f>
        <v>3.2699999999999999E-3</v>
      </c>
      <c r="Q57" s="676">
        <f>'#3. 생잔율'!K4</f>
        <v>2.735E-3</v>
      </c>
      <c r="R57" s="676"/>
      <c r="S57" s="676"/>
      <c r="T57" s="676"/>
      <c r="U57" s="676"/>
      <c r="V57" s="676"/>
      <c r="W57" s="676"/>
      <c r="X57" s="677">
        <f>'#3. 생잔율'!L5</f>
        <v>0.99977000000000005</v>
      </c>
      <c r="Y57" s="678">
        <f>'#3. 생잔율'!M5</f>
        <v>0.99958499999999995</v>
      </c>
      <c r="Z57" s="679">
        <f t="shared" ref="Z57:Z58" si="45">SUM(AA57:AB57)</f>
        <v>2744</v>
      </c>
      <c r="AA57" s="680">
        <f>ROUND(V78,0)</f>
        <v>1395</v>
      </c>
      <c r="AB57" s="681">
        <f>ROUND(W78,0)</f>
        <v>1349</v>
      </c>
    </row>
    <row r="58" spans="1:28" s="667" customFormat="1" ht="22.5" customHeight="1">
      <c r="A58" s="673" t="str">
        <f t="shared" ref="A58:A77" si="46">A33</f>
        <v>5~9</v>
      </c>
      <c r="B58" s="683">
        <f t="shared" si="40"/>
        <v>4601</v>
      </c>
      <c r="C58" s="683">
        <f t="shared" si="41"/>
        <v>2375</v>
      </c>
      <c r="D58" s="683">
        <f t="shared" si="42"/>
        <v>2226</v>
      </c>
      <c r="E58" s="684">
        <f t="shared" si="43"/>
        <v>0.52</v>
      </c>
      <c r="F58" s="684">
        <f t="shared" si="44"/>
        <v>0.48</v>
      </c>
      <c r="G58" s="683"/>
      <c r="H58" s="683"/>
      <c r="I58" s="685"/>
      <c r="J58" s="685"/>
      <c r="K58" s="685"/>
      <c r="L58" s="685"/>
      <c r="M58" s="685"/>
      <c r="N58" s="685"/>
      <c r="O58" s="685"/>
      <c r="P58" s="685"/>
      <c r="Q58" s="685"/>
      <c r="R58" s="685"/>
      <c r="S58" s="685"/>
      <c r="T58" s="685"/>
      <c r="U58" s="685"/>
      <c r="V58" s="685"/>
      <c r="W58" s="685"/>
      <c r="X58" s="704">
        <f>'#3. 생잔율'!L6</f>
        <v>0.99978</v>
      </c>
      <c r="Y58" s="705">
        <f>'#3. 생잔율'!M6</f>
        <v>0.99987499999999996</v>
      </c>
      <c r="Z58" s="703">
        <f t="shared" si="45"/>
        <v>2781</v>
      </c>
      <c r="AA58" s="686">
        <f t="shared" ref="AA58" si="47">ROUND(C57*X57,0)</f>
        <v>1417</v>
      </c>
      <c r="AB58" s="687">
        <f t="shared" ref="AB58" si="48">ROUND(D57*Y57,0)</f>
        <v>1364</v>
      </c>
    </row>
    <row r="59" spans="1:28" s="667" customFormat="1" ht="22.5" customHeight="1">
      <c r="A59" s="673" t="str">
        <f t="shared" si="46"/>
        <v>10~14</v>
      </c>
      <c r="B59" s="683">
        <f t="shared" si="40"/>
        <v>3493</v>
      </c>
      <c r="C59" s="683">
        <f t="shared" si="41"/>
        <v>1811</v>
      </c>
      <c r="D59" s="683">
        <f t="shared" si="42"/>
        <v>1682</v>
      </c>
      <c r="E59" s="684">
        <f t="shared" si="43"/>
        <v>0.52</v>
      </c>
      <c r="F59" s="684">
        <f t="shared" si="44"/>
        <v>0.48</v>
      </c>
      <c r="G59" s="683"/>
      <c r="H59" s="683"/>
      <c r="I59" s="685"/>
      <c r="J59" s="685"/>
      <c r="K59" s="685"/>
      <c r="L59" s="685"/>
      <c r="M59" s="685"/>
      <c r="N59" s="685"/>
      <c r="O59" s="685"/>
      <c r="P59" s="685"/>
      <c r="Q59" s="685"/>
      <c r="R59" s="685"/>
      <c r="S59" s="685"/>
      <c r="T59" s="685"/>
      <c r="U59" s="685"/>
      <c r="V59" s="685"/>
      <c r="W59" s="685"/>
      <c r="X59" s="704">
        <f>'#3. 생잔율'!L7</f>
        <v>0.99965000000000004</v>
      </c>
      <c r="Y59" s="705">
        <f>'#3. 생잔율'!M7</f>
        <v>0.99990500000000004</v>
      </c>
      <c r="Z59" s="703">
        <f t="shared" ref="Z59:Z78" si="49">SUM(AA59:AB59)</f>
        <v>4600</v>
      </c>
      <c r="AA59" s="686">
        <f t="shared" ref="AA59:AA77" si="50">ROUND(C58*X58,0)</f>
        <v>2374</v>
      </c>
      <c r="AB59" s="687">
        <f t="shared" ref="AB59:AB77" si="51">ROUND(D58*Y58,0)</f>
        <v>2226</v>
      </c>
    </row>
    <row r="60" spans="1:28" s="667" customFormat="1" ht="22.5" customHeight="1">
      <c r="A60" s="673" t="str">
        <f t="shared" si="46"/>
        <v>15~19</v>
      </c>
      <c r="B60" s="683">
        <f t="shared" si="40"/>
        <v>3827</v>
      </c>
      <c r="C60" s="683">
        <f t="shared" si="41"/>
        <v>1970</v>
      </c>
      <c r="D60" s="683">
        <f t="shared" si="42"/>
        <v>1857</v>
      </c>
      <c r="E60" s="684">
        <f t="shared" si="43"/>
        <v>0.51</v>
      </c>
      <c r="F60" s="684">
        <f t="shared" si="44"/>
        <v>0.49</v>
      </c>
      <c r="G60" s="689">
        <f>'#1. 장래인구 성비'!$H$29</f>
        <v>0.50855120896402595</v>
      </c>
      <c r="H60" s="689">
        <f>'#1. 장래인구 성비'!$I$29</f>
        <v>0.49144879103597405</v>
      </c>
      <c r="I60" s="690">
        <f>'#2. 모의 연령별 출산율'!D8</f>
        <v>1.5799999999999998</v>
      </c>
      <c r="J60" s="685">
        <f t="shared" ref="J60:K66" si="52">ROUND(G60*$I60,2)</f>
        <v>0.8</v>
      </c>
      <c r="K60" s="685">
        <f t="shared" si="52"/>
        <v>0.78</v>
      </c>
      <c r="L60" s="686">
        <f t="shared" ref="L60:L66" si="53">SUM(M60:N60)</f>
        <v>14</v>
      </c>
      <c r="M60" s="686">
        <f t="shared" ref="M60:M66" si="54">ROUND(J60*L$55*$D60/1000,0)</f>
        <v>7</v>
      </c>
      <c r="N60" s="686">
        <f t="shared" ref="N60:N66" si="55">ROUND(K60*L$55*$D60/1000,0)</f>
        <v>7</v>
      </c>
      <c r="O60" s="685"/>
      <c r="P60" s="685"/>
      <c r="Q60" s="685"/>
      <c r="R60" s="686">
        <f t="shared" ref="R60:R66" si="56">SUM(S60:T60)</f>
        <v>0</v>
      </c>
      <c r="S60" s="686">
        <f t="shared" ref="S60:T66" si="57">ROUND(M60*P$57,0)</f>
        <v>0</v>
      </c>
      <c r="T60" s="686">
        <f t="shared" si="57"/>
        <v>0</v>
      </c>
      <c r="U60" s="686">
        <f t="shared" ref="U60:U66" si="58">SUM(V60:W60)</f>
        <v>14</v>
      </c>
      <c r="V60" s="683">
        <f t="shared" ref="V60:W66" si="59">M60-S60</f>
        <v>7</v>
      </c>
      <c r="W60" s="683">
        <f t="shared" si="59"/>
        <v>7</v>
      </c>
      <c r="X60" s="704">
        <f>'#3. 생잔율'!L8</f>
        <v>0.99884499999999998</v>
      </c>
      <c r="Y60" s="705">
        <f>'#3. 생잔율'!M8</f>
        <v>0.99936499999999995</v>
      </c>
      <c r="Z60" s="703">
        <f t="shared" si="49"/>
        <v>3492</v>
      </c>
      <c r="AA60" s="686">
        <f t="shared" si="50"/>
        <v>1810</v>
      </c>
      <c r="AB60" s="687">
        <f t="shared" si="51"/>
        <v>1682</v>
      </c>
    </row>
    <row r="61" spans="1:28" s="667" customFormat="1" ht="22.5" customHeight="1">
      <c r="A61" s="673" t="str">
        <f t="shared" si="46"/>
        <v>20~24</v>
      </c>
      <c r="B61" s="683">
        <f t="shared" si="40"/>
        <v>4437</v>
      </c>
      <c r="C61" s="683">
        <f t="shared" si="41"/>
        <v>2325</v>
      </c>
      <c r="D61" s="683">
        <f t="shared" si="42"/>
        <v>2112</v>
      </c>
      <c r="E61" s="684">
        <f t="shared" si="43"/>
        <v>0.52</v>
      </c>
      <c r="F61" s="684">
        <f t="shared" si="44"/>
        <v>0.48</v>
      </c>
      <c r="G61" s="689">
        <f>'#1. 장래인구 성비'!$H$29</f>
        <v>0.50855120896402595</v>
      </c>
      <c r="H61" s="689">
        <f>'#1. 장래인구 성비'!$I$29</f>
        <v>0.49144879103597405</v>
      </c>
      <c r="I61" s="690">
        <f>'#2. 모의 연령별 출산율'!D9</f>
        <v>14.419999999999998</v>
      </c>
      <c r="J61" s="685">
        <f t="shared" si="52"/>
        <v>7.33</v>
      </c>
      <c r="K61" s="685">
        <f t="shared" si="52"/>
        <v>7.09</v>
      </c>
      <c r="L61" s="686">
        <f t="shared" si="53"/>
        <v>152</v>
      </c>
      <c r="M61" s="686">
        <f t="shared" si="54"/>
        <v>77</v>
      </c>
      <c r="N61" s="686">
        <f t="shared" si="55"/>
        <v>75</v>
      </c>
      <c r="O61" s="685"/>
      <c r="P61" s="685"/>
      <c r="Q61" s="685"/>
      <c r="R61" s="686">
        <f t="shared" si="56"/>
        <v>0</v>
      </c>
      <c r="S61" s="686">
        <f t="shared" si="57"/>
        <v>0</v>
      </c>
      <c r="T61" s="686">
        <f t="shared" si="57"/>
        <v>0</v>
      </c>
      <c r="U61" s="686">
        <f t="shared" si="58"/>
        <v>152</v>
      </c>
      <c r="V61" s="683">
        <f t="shared" si="59"/>
        <v>77</v>
      </c>
      <c r="W61" s="683">
        <f t="shared" si="59"/>
        <v>75</v>
      </c>
      <c r="X61" s="704">
        <f>'#3. 생잔율'!L9</f>
        <v>0.99858999999999998</v>
      </c>
      <c r="Y61" s="705">
        <f>'#3. 생잔율'!M9</f>
        <v>0.99920500000000001</v>
      </c>
      <c r="Z61" s="703">
        <f t="shared" si="49"/>
        <v>3824</v>
      </c>
      <c r="AA61" s="686">
        <f t="shared" si="50"/>
        <v>1968</v>
      </c>
      <c r="AB61" s="687">
        <f t="shared" si="51"/>
        <v>1856</v>
      </c>
    </row>
    <row r="62" spans="1:28" s="667" customFormat="1" ht="22.5" customHeight="1">
      <c r="A62" s="673" t="str">
        <f t="shared" si="46"/>
        <v>25~29</v>
      </c>
      <c r="B62" s="683">
        <f t="shared" si="40"/>
        <v>4779</v>
      </c>
      <c r="C62" s="683">
        <f t="shared" si="41"/>
        <v>2610</v>
      </c>
      <c r="D62" s="683">
        <f t="shared" si="42"/>
        <v>2169</v>
      </c>
      <c r="E62" s="684">
        <f t="shared" si="43"/>
        <v>0.55000000000000004</v>
      </c>
      <c r="F62" s="684">
        <f t="shared" si="44"/>
        <v>0.45</v>
      </c>
      <c r="G62" s="689">
        <f>'#1. 장래인구 성비'!$H$29</f>
        <v>0.50855120896402595</v>
      </c>
      <c r="H62" s="689">
        <f>'#1. 장래인구 성비'!$I$29</f>
        <v>0.49144879103597405</v>
      </c>
      <c r="I62" s="690">
        <f>'#2. 모의 연령별 출산율'!D10</f>
        <v>63.4</v>
      </c>
      <c r="J62" s="685">
        <f t="shared" si="52"/>
        <v>32.24</v>
      </c>
      <c r="K62" s="685">
        <f t="shared" si="52"/>
        <v>31.16</v>
      </c>
      <c r="L62" s="686">
        <f t="shared" si="53"/>
        <v>688</v>
      </c>
      <c r="M62" s="686">
        <f t="shared" si="54"/>
        <v>350</v>
      </c>
      <c r="N62" s="686">
        <f t="shared" si="55"/>
        <v>338</v>
      </c>
      <c r="O62" s="685"/>
      <c r="P62" s="685"/>
      <c r="Q62" s="685"/>
      <c r="R62" s="686">
        <f t="shared" si="56"/>
        <v>2</v>
      </c>
      <c r="S62" s="686">
        <f t="shared" si="57"/>
        <v>1</v>
      </c>
      <c r="T62" s="686">
        <f t="shared" si="57"/>
        <v>1</v>
      </c>
      <c r="U62" s="686">
        <f t="shared" si="58"/>
        <v>686</v>
      </c>
      <c r="V62" s="683">
        <f t="shared" si="59"/>
        <v>349</v>
      </c>
      <c r="W62" s="683">
        <f t="shared" si="59"/>
        <v>337</v>
      </c>
      <c r="X62" s="704">
        <f>'#3. 생잔율'!L10</f>
        <v>0.99784499999999998</v>
      </c>
      <c r="Y62" s="705">
        <f>'#3. 생잔율'!M10</f>
        <v>0.99885500000000005</v>
      </c>
      <c r="Z62" s="703">
        <f t="shared" si="49"/>
        <v>4432</v>
      </c>
      <c r="AA62" s="686">
        <f t="shared" si="50"/>
        <v>2322</v>
      </c>
      <c r="AB62" s="687">
        <f t="shared" si="51"/>
        <v>2110</v>
      </c>
    </row>
    <row r="63" spans="1:28" s="667" customFormat="1" ht="22.5" customHeight="1">
      <c r="A63" s="673" t="str">
        <f t="shared" si="46"/>
        <v>30~34</v>
      </c>
      <c r="B63" s="683">
        <f t="shared" si="40"/>
        <v>4123</v>
      </c>
      <c r="C63" s="683">
        <f t="shared" si="41"/>
        <v>2284</v>
      </c>
      <c r="D63" s="683">
        <f t="shared" si="42"/>
        <v>1839</v>
      </c>
      <c r="E63" s="684">
        <f t="shared" si="43"/>
        <v>0.55000000000000004</v>
      </c>
      <c r="F63" s="684">
        <f t="shared" si="44"/>
        <v>0.45</v>
      </c>
      <c r="G63" s="689">
        <f>'#1. 장래인구 성비'!$H$29</f>
        <v>0.50855120896402595</v>
      </c>
      <c r="H63" s="689">
        <f>'#1. 장래인구 성비'!$I$29</f>
        <v>0.49144879103597405</v>
      </c>
      <c r="I63" s="690">
        <f>'#2. 모의 연령별 출산율'!D11</f>
        <v>112.82000000000001</v>
      </c>
      <c r="J63" s="685">
        <f t="shared" si="52"/>
        <v>57.37</v>
      </c>
      <c r="K63" s="685">
        <f t="shared" si="52"/>
        <v>55.45</v>
      </c>
      <c r="L63" s="686">
        <f t="shared" si="53"/>
        <v>1038</v>
      </c>
      <c r="M63" s="686">
        <f t="shared" si="54"/>
        <v>528</v>
      </c>
      <c r="N63" s="686">
        <f t="shared" si="55"/>
        <v>510</v>
      </c>
      <c r="O63" s="685"/>
      <c r="P63" s="685"/>
      <c r="Q63" s="685"/>
      <c r="R63" s="686">
        <f t="shared" si="56"/>
        <v>3</v>
      </c>
      <c r="S63" s="686">
        <f t="shared" si="57"/>
        <v>2</v>
      </c>
      <c r="T63" s="686">
        <f t="shared" si="57"/>
        <v>1</v>
      </c>
      <c r="U63" s="686">
        <f t="shared" si="58"/>
        <v>1035</v>
      </c>
      <c r="V63" s="683">
        <f t="shared" si="59"/>
        <v>526</v>
      </c>
      <c r="W63" s="683">
        <f t="shared" si="59"/>
        <v>509</v>
      </c>
      <c r="X63" s="704">
        <f>'#3. 생잔율'!L11</f>
        <v>0.99719500000000005</v>
      </c>
      <c r="Y63" s="705">
        <f>'#3. 생잔율'!M11</f>
        <v>0.99844500000000003</v>
      </c>
      <c r="Z63" s="703">
        <f t="shared" si="49"/>
        <v>4771</v>
      </c>
      <c r="AA63" s="686">
        <f t="shared" si="50"/>
        <v>2604</v>
      </c>
      <c r="AB63" s="687">
        <f t="shared" si="51"/>
        <v>2167</v>
      </c>
    </row>
    <row r="64" spans="1:28" s="667" customFormat="1" ht="22.5" customHeight="1">
      <c r="A64" s="673" t="str">
        <f t="shared" si="46"/>
        <v>35~39</v>
      </c>
      <c r="B64" s="683">
        <f t="shared" si="40"/>
        <v>4126</v>
      </c>
      <c r="C64" s="683">
        <f t="shared" si="41"/>
        <v>2193</v>
      </c>
      <c r="D64" s="683">
        <f t="shared" si="42"/>
        <v>1933</v>
      </c>
      <c r="E64" s="684">
        <f t="shared" si="43"/>
        <v>0.53</v>
      </c>
      <c r="F64" s="684">
        <f t="shared" si="44"/>
        <v>0.47</v>
      </c>
      <c r="G64" s="689">
        <f>'#1. 장래인구 성비'!$H$29</f>
        <v>0.50855120896402595</v>
      </c>
      <c r="H64" s="689">
        <f>'#1. 장래인구 성비'!$I$29</f>
        <v>0.49144879103597405</v>
      </c>
      <c r="I64" s="690">
        <f>'#2. 모의 연령별 출산율'!D12</f>
        <v>66.56</v>
      </c>
      <c r="J64" s="685">
        <f t="shared" si="52"/>
        <v>33.85</v>
      </c>
      <c r="K64" s="685">
        <f t="shared" si="52"/>
        <v>32.71</v>
      </c>
      <c r="L64" s="686">
        <f t="shared" si="53"/>
        <v>643</v>
      </c>
      <c r="M64" s="686">
        <f t="shared" si="54"/>
        <v>327</v>
      </c>
      <c r="N64" s="686">
        <f t="shared" si="55"/>
        <v>316</v>
      </c>
      <c r="O64" s="685"/>
      <c r="P64" s="685"/>
      <c r="Q64" s="685"/>
      <c r="R64" s="686">
        <f t="shared" si="56"/>
        <v>2</v>
      </c>
      <c r="S64" s="686">
        <f t="shared" si="57"/>
        <v>1</v>
      </c>
      <c r="T64" s="686">
        <f t="shared" si="57"/>
        <v>1</v>
      </c>
      <c r="U64" s="686">
        <f t="shared" si="58"/>
        <v>641</v>
      </c>
      <c r="V64" s="683">
        <f t="shared" si="59"/>
        <v>326</v>
      </c>
      <c r="W64" s="683">
        <f t="shared" si="59"/>
        <v>315</v>
      </c>
      <c r="X64" s="704">
        <f>'#3. 생잔율'!L12</f>
        <v>0.99609499999999995</v>
      </c>
      <c r="Y64" s="705">
        <f>'#3. 생잔율'!M12</f>
        <v>0.997865</v>
      </c>
      <c r="Z64" s="703">
        <f t="shared" si="49"/>
        <v>4114</v>
      </c>
      <c r="AA64" s="686">
        <f t="shared" si="50"/>
        <v>2278</v>
      </c>
      <c r="AB64" s="687">
        <f t="shared" si="51"/>
        <v>1836</v>
      </c>
    </row>
    <row r="65" spans="1:28" s="667" customFormat="1" ht="22.5" customHeight="1">
      <c r="A65" s="673" t="str">
        <f t="shared" si="46"/>
        <v>40~44</v>
      </c>
      <c r="B65" s="683">
        <f t="shared" si="40"/>
        <v>4825</v>
      </c>
      <c r="C65" s="683">
        <f t="shared" si="41"/>
        <v>2473</v>
      </c>
      <c r="D65" s="683">
        <f t="shared" si="42"/>
        <v>2352</v>
      </c>
      <c r="E65" s="684">
        <f t="shared" si="43"/>
        <v>0.51</v>
      </c>
      <c r="F65" s="684">
        <f t="shared" si="44"/>
        <v>0.49</v>
      </c>
      <c r="G65" s="689">
        <f>'#1. 장래인구 성비'!$H$29</f>
        <v>0.50855120896402595</v>
      </c>
      <c r="H65" s="689">
        <f>'#1. 장래인구 성비'!$I$29</f>
        <v>0.49144879103597405</v>
      </c>
      <c r="I65" s="690">
        <f>'#2. 모의 연령별 출산율'!D13</f>
        <v>15.56</v>
      </c>
      <c r="J65" s="685">
        <f t="shared" si="52"/>
        <v>7.91</v>
      </c>
      <c r="K65" s="685">
        <f t="shared" si="52"/>
        <v>7.65</v>
      </c>
      <c r="L65" s="686">
        <f t="shared" si="53"/>
        <v>183</v>
      </c>
      <c r="M65" s="686">
        <f t="shared" si="54"/>
        <v>93</v>
      </c>
      <c r="N65" s="686">
        <f t="shared" si="55"/>
        <v>90</v>
      </c>
      <c r="O65" s="685"/>
      <c r="P65" s="685"/>
      <c r="Q65" s="685"/>
      <c r="R65" s="686">
        <f t="shared" si="56"/>
        <v>0</v>
      </c>
      <c r="S65" s="686">
        <f t="shared" si="57"/>
        <v>0</v>
      </c>
      <c r="T65" s="686">
        <f t="shared" si="57"/>
        <v>0</v>
      </c>
      <c r="U65" s="686">
        <f t="shared" si="58"/>
        <v>183</v>
      </c>
      <c r="V65" s="683">
        <f t="shared" si="59"/>
        <v>93</v>
      </c>
      <c r="W65" s="683">
        <f t="shared" si="59"/>
        <v>90</v>
      </c>
      <c r="X65" s="704">
        <f>'#3. 생잔율'!L13</f>
        <v>0.993425</v>
      </c>
      <c r="Y65" s="705">
        <f>'#3. 생잔율'!M13</f>
        <v>0.99692999999999998</v>
      </c>
      <c r="Z65" s="703">
        <f t="shared" si="49"/>
        <v>4113</v>
      </c>
      <c r="AA65" s="686">
        <f t="shared" si="50"/>
        <v>2184</v>
      </c>
      <c r="AB65" s="687">
        <f t="shared" si="51"/>
        <v>1929</v>
      </c>
    </row>
    <row r="66" spans="1:28" s="667" customFormat="1" ht="22.5" customHeight="1">
      <c r="A66" s="673" t="str">
        <f t="shared" si="46"/>
        <v>45~49</v>
      </c>
      <c r="B66" s="683">
        <f t="shared" si="40"/>
        <v>5764</v>
      </c>
      <c r="C66" s="683">
        <f t="shared" si="41"/>
        <v>3016</v>
      </c>
      <c r="D66" s="683">
        <f t="shared" si="42"/>
        <v>2748</v>
      </c>
      <c r="E66" s="684">
        <f t="shared" si="43"/>
        <v>0.52</v>
      </c>
      <c r="F66" s="684">
        <f t="shared" si="44"/>
        <v>0.48</v>
      </c>
      <c r="G66" s="689">
        <f>'#1. 장래인구 성비'!$H$29</f>
        <v>0.50855120896402595</v>
      </c>
      <c r="H66" s="689">
        <f>'#1. 장래인구 성비'!$I$29</f>
        <v>0.49144879103597405</v>
      </c>
      <c r="I66" s="690">
        <f>'#2. 모의 연령별 출산율'!D14</f>
        <v>2.4000000000000004</v>
      </c>
      <c r="J66" s="685">
        <f t="shared" si="52"/>
        <v>1.22</v>
      </c>
      <c r="K66" s="685">
        <f t="shared" si="52"/>
        <v>1.18</v>
      </c>
      <c r="L66" s="686">
        <f t="shared" si="53"/>
        <v>33</v>
      </c>
      <c r="M66" s="686">
        <f t="shared" si="54"/>
        <v>17</v>
      </c>
      <c r="N66" s="686">
        <f t="shared" si="55"/>
        <v>16</v>
      </c>
      <c r="O66" s="685"/>
      <c r="P66" s="685"/>
      <c r="Q66" s="685"/>
      <c r="R66" s="686">
        <f t="shared" si="56"/>
        <v>0</v>
      </c>
      <c r="S66" s="686">
        <f t="shared" si="57"/>
        <v>0</v>
      </c>
      <c r="T66" s="686">
        <f t="shared" si="57"/>
        <v>0</v>
      </c>
      <c r="U66" s="686">
        <f t="shared" si="58"/>
        <v>33</v>
      </c>
      <c r="V66" s="683">
        <f t="shared" si="59"/>
        <v>17</v>
      </c>
      <c r="W66" s="683">
        <f t="shared" si="59"/>
        <v>16</v>
      </c>
      <c r="X66" s="704">
        <f>'#3. 생잔율'!L14</f>
        <v>0.98880500000000005</v>
      </c>
      <c r="Y66" s="705">
        <f>'#3. 생잔율'!M14</f>
        <v>0.99589000000000005</v>
      </c>
      <c r="Z66" s="703">
        <f t="shared" si="49"/>
        <v>4802</v>
      </c>
      <c r="AA66" s="686">
        <f t="shared" si="50"/>
        <v>2457</v>
      </c>
      <c r="AB66" s="687">
        <f t="shared" si="51"/>
        <v>2345</v>
      </c>
    </row>
    <row r="67" spans="1:28" s="667" customFormat="1" ht="22.5" customHeight="1">
      <c r="A67" s="673" t="str">
        <f t="shared" si="46"/>
        <v>50~54</v>
      </c>
      <c r="B67" s="683">
        <f t="shared" si="40"/>
        <v>6205</v>
      </c>
      <c r="C67" s="683">
        <f t="shared" si="41"/>
        <v>3299</v>
      </c>
      <c r="D67" s="683">
        <f t="shared" si="42"/>
        <v>2906</v>
      </c>
      <c r="E67" s="684">
        <f t="shared" si="43"/>
        <v>0.53</v>
      </c>
      <c r="F67" s="684">
        <f t="shared" si="44"/>
        <v>0.47</v>
      </c>
      <c r="G67" s="692"/>
      <c r="H67" s="683"/>
      <c r="I67" s="685"/>
      <c r="J67" s="685"/>
      <c r="K67" s="685"/>
      <c r="L67" s="685"/>
      <c r="M67" s="685"/>
      <c r="N67" s="685"/>
      <c r="O67" s="685"/>
      <c r="P67" s="685"/>
      <c r="Q67" s="685"/>
      <c r="R67" s="685"/>
      <c r="S67" s="685"/>
      <c r="T67" s="685"/>
      <c r="U67" s="685"/>
      <c r="V67" s="685"/>
      <c r="W67" s="685"/>
      <c r="X67" s="704">
        <f>'#3. 생잔율'!L15</f>
        <v>0.98425499999999999</v>
      </c>
      <c r="Y67" s="705">
        <f>'#3. 생잔율'!M15</f>
        <v>0.99380000000000002</v>
      </c>
      <c r="Z67" s="703">
        <f t="shared" si="49"/>
        <v>5719</v>
      </c>
      <c r="AA67" s="686">
        <f t="shared" si="50"/>
        <v>2982</v>
      </c>
      <c r="AB67" s="687">
        <f t="shared" si="51"/>
        <v>2737</v>
      </c>
    </row>
    <row r="68" spans="1:28" s="667" customFormat="1" ht="22.5" customHeight="1">
      <c r="A68" s="673" t="str">
        <f t="shared" si="46"/>
        <v>55~59</v>
      </c>
      <c r="B68" s="683">
        <f t="shared" si="40"/>
        <v>6438</v>
      </c>
      <c r="C68" s="683">
        <f t="shared" si="41"/>
        <v>3331</v>
      </c>
      <c r="D68" s="683">
        <f t="shared" si="42"/>
        <v>3107</v>
      </c>
      <c r="E68" s="684">
        <f t="shared" si="43"/>
        <v>0.52</v>
      </c>
      <c r="F68" s="684">
        <f t="shared" si="44"/>
        <v>0.48</v>
      </c>
      <c r="G68" s="683"/>
      <c r="H68" s="683"/>
      <c r="I68" s="685"/>
      <c r="J68" s="685"/>
      <c r="K68" s="685"/>
      <c r="L68" s="685"/>
      <c r="M68" s="685"/>
      <c r="N68" s="685"/>
      <c r="O68" s="685"/>
      <c r="P68" s="685"/>
      <c r="Q68" s="685"/>
      <c r="R68" s="685"/>
      <c r="S68" s="685"/>
      <c r="T68" s="685"/>
      <c r="U68" s="685"/>
      <c r="V68" s="685"/>
      <c r="W68" s="685"/>
      <c r="X68" s="704">
        <f>'#3. 생잔율'!L16</f>
        <v>0.97640000000000005</v>
      </c>
      <c r="Y68" s="705">
        <f>'#3. 생잔율'!M16</f>
        <v>0.99227500000000002</v>
      </c>
      <c r="Z68" s="703">
        <f t="shared" si="49"/>
        <v>6135</v>
      </c>
      <c r="AA68" s="686">
        <f t="shared" si="50"/>
        <v>3247</v>
      </c>
      <c r="AB68" s="687">
        <f t="shared" si="51"/>
        <v>2888</v>
      </c>
    </row>
    <row r="69" spans="1:28" s="667" customFormat="1" ht="22.5" customHeight="1">
      <c r="A69" s="673" t="str">
        <f t="shared" si="46"/>
        <v>60~64</v>
      </c>
      <c r="B69" s="683">
        <f t="shared" si="40"/>
        <v>6497</v>
      </c>
      <c r="C69" s="683">
        <f t="shared" si="41"/>
        <v>3256</v>
      </c>
      <c r="D69" s="683">
        <f t="shared" si="42"/>
        <v>3241</v>
      </c>
      <c r="E69" s="684">
        <f t="shared" si="43"/>
        <v>0.5</v>
      </c>
      <c r="F69" s="684">
        <f t="shared" si="44"/>
        <v>0.5</v>
      </c>
      <c r="G69" s="683"/>
      <c r="H69" s="683"/>
      <c r="I69" s="685"/>
      <c r="J69" s="685"/>
      <c r="K69" s="685"/>
      <c r="L69" s="685"/>
      <c r="M69" s="685"/>
      <c r="N69" s="685"/>
      <c r="O69" s="685"/>
      <c r="P69" s="685"/>
      <c r="Q69" s="685"/>
      <c r="R69" s="685"/>
      <c r="S69" s="685"/>
      <c r="T69" s="685"/>
      <c r="U69" s="685"/>
      <c r="V69" s="685"/>
      <c r="W69" s="685"/>
      <c r="X69" s="704">
        <f>'#3. 생잔율'!L17</f>
        <v>0.96568500000000002</v>
      </c>
      <c r="Y69" s="705">
        <f>'#3. 생잔율'!M17</f>
        <v>0.98878500000000003</v>
      </c>
      <c r="Z69" s="703">
        <f t="shared" si="49"/>
        <v>6335</v>
      </c>
      <c r="AA69" s="686">
        <f t="shared" si="50"/>
        <v>3252</v>
      </c>
      <c r="AB69" s="687">
        <f t="shared" si="51"/>
        <v>3083</v>
      </c>
    </row>
    <row r="70" spans="1:28" s="667" customFormat="1" ht="22.5" customHeight="1">
      <c r="A70" s="673" t="str">
        <f t="shared" si="46"/>
        <v>65~69</v>
      </c>
      <c r="B70" s="683">
        <f t="shared" si="40"/>
        <v>5733</v>
      </c>
      <c r="C70" s="683">
        <f t="shared" si="41"/>
        <v>2766</v>
      </c>
      <c r="D70" s="683">
        <f t="shared" si="42"/>
        <v>2967</v>
      </c>
      <c r="E70" s="684">
        <f t="shared" si="43"/>
        <v>0.48</v>
      </c>
      <c r="F70" s="684">
        <f t="shared" si="44"/>
        <v>0.52</v>
      </c>
      <c r="G70" s="683"/>
      <c r="H70" s="683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704">
        <f>'#3. 생잔율'!L18</f>
        <v>0.95059499999999997</v>
      </c>
      <c r="Y70" s="705">
        <f>'#3. 생잔율'!M18</f>
        <v>0.98117500000000002</v>
      </c>
      <c r="Z70" s="703">
        <f t="shared" si="49"/>
        <v>6349</v>
      </c>
      <c r="AA70" s="686">
        <f t="shared" si="50"/>
        <v>3144</v>
      </c>
      <c r="AB70" s="687">
        <f t="shared" si="51"/>
        <v>3205</v>
      </c>
    </row>
    <row r="71" spans="1:28" s="667" customFormat="1" ht="22.5" customHeight="1">
      <c r="A71" s="673" t="str">
        <f t="shared" si="46"/>
        <v>70~74</v>
      </c>
      <c r="B71" s="683">
        <f t="shared" si="40"/>
        <v>4779</v>
      </c>
      <c r="C71" s="683">
        <f t="shared" si="41"/>
        <v>2227</v>
      </c>
      <c r="D71" s="683">
        <f t="shared" si="42"/>
        <v>2552</v>
      </c>
      <c r="E71" s="684">
        <f t="shared" si="43"/>
        <v>0.47</v>
      </c>
      <c r="F71" s="684">
        <f t="shared" si="44"/>
        <v>0.53</v>
      </c>
      <c r="G71" s="683"/>
      <c r="H71" s="683"/>
      <c r="I71" s="685"/>
      <c r="J71" s="685"/>
      <c r="K71" s="685"/>
      <c r="L71" s="685"/>
      <c r="M71" s="685"/>
      <c r="N71" s="685"/>
      <c r="O71" s="685"/>
      <c r="P71" s="685"/>
      <c r="Q71" s="685"/>
      <c r="R71" s="685"/>
      <c r="S71" s="685"/>
      <c r="T71" s="685"/>
      <c r="U71" s="685"/>
      <c r="V71" s="685"/>
      <c r="W71" s="685"/>
      <c r="X71" s="704">
        <f>'#3. 생잔율'!L19</f>
        <v>0.90466000000000002</v>
      </c>
      <c r="Y71" s="705">
        <f>'#3. 생잔율'!M19</f>
        <v>0.96376499999999998</v>
      </c>
      <c r="Z71" s="703">
        <f t="shared" si="49"/>
        <v>5540</v>
      </c>
      <c r="AA71" s="686">
        <f t="shared" si="50"/>
        <v>2629</v>
      </c>
      <c r="AB71" s="687">
        <f t="shared" si="51"/>
        <v>2911</v>
      </c>
    </row>
    <row r="72" spans="1:28" s="667" customFormat="1" ht="22.5" customHeight="1">
      <c r="A72" s="673" t="str">
        <f t="shared" si="46"/>
        <v>75~79</v>
      </c>
      <c r="B72" s="683">
        <f t="shared" si="40"/>
        <v>3991</v>
      </c>
      <c r="C72" s="683">
        <f t="shared" si="41"/>
        <v>1675</v>
      </c>
      <c r="D72" s="683">
        <f t="shared" si="42"/>
        <v>2316</v>
      </c>
      <c r="E72" s="684">
        <f t="shared" si="43"/>
        <v>0.42</v>
      </c>
      <c r="F72" s="684">
        <f t="shared" si="44"/>
        <v>0.57999999999999996</v>
      </c>
      <c r="G72" s="683"/>
      <c r="H72" s="683"/>
      <c r="I72" s="685"/>
      <c r="J72" s="685"/>
      <c r="K72" s="685"/>
      <c r="L72" s="685"/>
      <c r="M72" s="685"/>
      <c r="N72" s="685"/>
      <c r="O72" s="685"/>
      <c r="P72" s="685"/>
      <c r="Q72" s="685"/>
      <c r="R72" s="685"/>
      <c r="S72" s="685"/>
      <c r="T72" s="685"/>
      <c r="U72" s="685"/>
      <c r="V72" s="685"/>
      <c r="W72" s="685"/>
      <c r="X72" s="704">
        <f>'#3. 생잔율'!L20</f>
        <v>0.82511999999999996</v>
      </c>
      <c r="Y72" s="705">
        <f>'#3. 생잔율'!M20</f>
        <v>0.93001500000000004</v>
      </c>
      <c r="Z72" s="703">
        <f t="shared" si="49"/>
        <v>4475</v>
      </c>
      <c r="AA72" s="686">
        <f t="shared" si="50"/>
        <v>2015</v>
      </c>
      <c r="AB72" s="687">
        <f t="shared" si="51"/>
        <v>2460</v>
      </c>
    </row>
    <row r="73" spans="1:28" s="667" customFormat="1" ht="22.5" customHeight="1">
      <c r="A73" s="673" t="str">
        <f t="shared" si="46"/>
        <v>80~84</v>
      </c>
      <c r="B73" s="683">
        <f t="shared" si="40"/>
        <v>3348</v>
      </c>
      <c r="C73" s="683">
        <f t="shared" si="41"/>
        <v>1187</v>
      </c>
      <c r="D73" s="683">
        <f t="shared" si="42"/>
        <v>2161</v>
      </c>
      <c r="E73" s="684">
        <f t="shared" si="43"/>
        <v>0.35</v>
      </c>
      <c r="F73" s="684">
        <f t="shared" si="44"/>
        <v>0.65</v>
      </c>
      <c r="G73" s="683"/>
      <c r="H73" s="683"/>
      <c r="I73" s="685"/>
      <c r="J73" s="685"/>
      <c r="K73" s="685"/>
      <c r="L73" s="685"/>
      <c r="M73" s="685"/>
      <c r="N73" s="685"/>
      <c r="O73" s="685"/>
      <c r="P73" s="685"/>
      <c r="Q73" s="685"/>
      <c r="R73" s="685"/>
      <c r="S73" s="685"/>
      <c r="T73" s="685"/>
      <c r="U73" s="685"/>
      <c r="V73" s="685"/>
      <c r="W73" s="685"/>
      <c r="X73" s="704">
        <f>'#3. 생잔율'!L21</f>
        <v>0.692195</v>
      </c>
      <c r="Y73" s="705">
        <f>'#3. 생잔율'!M21</f>
        <v>0.86836500000000005</v>
      </c>
      <c r="Z73" s="703">
        <f t="shared" si="49"/>
        <v>3536</v>
      </c>
      <c r="AA73" s="686">
        <f t="shared" si="50"/>
        <v>1382</v>
      </c>
      <c r="AB73" s="687">
        <f t="shared" si="51"/>
        <v>2154</v>
      </c>
    </row>
    <row r="74" spans="1:28" s="667" customFormat="1" ht="22.5" customHeight="1">
      <c r="A74" s="673" t="str">
        <f t="shared" si="46"/>
        <v>85~89</v>
      </c>
      <c r="B74" s="683">
        <f t="shared" si="40"/>
        <v>2252</v>
      </c>
      <c r="C74" s="683">
        <f t="shared" si="41"/>
        <v>646</v>
      </c>
      <c r="D74" s="683">
        <f t="shared" si="42"/>
        <v>1606</v>
      </c>
      <c r="E74" s="684">
        <f t="shared" si="43"/>
        <v>0.28999999999999998</v>
      </c>
      <c r="F74" s="684">
        <f t="shared" si="44"/>
        <v>0.71</v>
      </c>
      <c r="G74" s="683"/>
      <c r="H74" s="683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704">
        <f>'#3. 생잔율'!L22</f>
        <v>0.50078</v>
      </c>
      <c r="Y74" s="705">
        <f>'#3. 생잔율'!M22</f>
        <v>0.76158999999999999</v>
      </c>
      <c r="Z74" s="703">
        <f t="shared" si="49"/>
        <v>2699</v>
      </c>
      <c r="AA74" s="686">
        <f t="shared" si="50"/>
        <v>822</v>
      </c>
      <c r="AB74" s="687">
        <f t="shared" si="51"/>
        <v>1877</v>
      </c>
    </row>
    <row r="75" spans="1:28" s="667" customFormat="1" ht="22.5" customHeight="1">
      <c r="A75" s="673" t="str">
        <f t="shared" si="46"/>
        <v>90~94</v>
      </c>
      <c r="B75" s="683">
        <f t="shared" ref="B75:B77" si="60">SUM(C75:D75)</f>
        <v>929</v>
      </c>
      <c r="C75" s="683">
        <f t="shared" ref="C75:D75" si="61">AA50</f>
        <v>188</v>
      </c>
      <c r="D75" s="683">
        <f t="shared" si="61"/>
        <v>741</v>
      </c>
      <c r="E75" s="684">
        <f t="shared" ref="E75:E77" si="62">ROUND(C75/$B75,2)</f>
        <v>0.2</v>
      </c>
      <c r="F75" s="684">
        <f t="shared" ref="F75:F77" si="63">ROUND(D75/$B75,2)</f>
        <v>0.8</v>
      </c>
      <c r="G75" s="694"/>
      <c r="H75" s="694"/>
      <c r="I75" s="695"/>
      <c r="J75" s="695"/>
      <c r="K75" s="695"/>
      <c r="L75" s="695"/>
      <c r="M75" s="695"/>
      <c r="N75" s="695"/>
      <c r="O75" s="695"/>
      <c r="P75" s="695"/>
      <c r="Q75" s="695"/>
      <c r="R75" s="695"/>
      <c r="S75" s="695"/>
      <c r="T75" s="695"/>
      <c r="U75" s="695"/>
      <c r="V75" s="695"/>
      <c r="W75" s="695"/>
      <c r="X75" s="704">
        <f>'#3. 생잔율'!L23</f>
        <v>0.28305000000000002</v>
      </c>
      <c r="Y75" s="705">
        <f>'#3. 생잔율'!M23</f>
        <v>0.59616999999999998</v>
      </c>
      <c r="Z75" s="703">
        <f t="shared" si="49"/>
        <v>1547</v>
      </c>
      <c r="AA75" s="686">
        <f t="shared" si="50"/>
        <v>324</v>
      </c>
      <c r="AB75" s="687">
        <f t="shared" si="51"/>
        <v>1223</v>
      </c>
    </row>
    <row r="76" spans="1:28" s="667" customFormat="1" ht="22.5" customHeight="1">
      <c r="A76" s="673" t="str">
        <f t="shared" si="46"/>
        <v>95~99</v>
      </c>
      <c r="B76" s="683">
        <f t="shared" si="60"/>
        <v>230</v>
      </c>
      <c r="C76" s="683">
        <f t="shared" ref="C76:D76" si="64">AA51</f>
        <v>23</v>
      </c>
      <c r="D76" s="683">
        <f t="shared" si="64"/>
        <v>207</v>
      </c>
      <c r="E76" s="684">
        <f t="shared" si="62"/>
        <v>0.1</v>
      </c>
      <c r="F76" s="684">
        <f t="shared" si="63"/>
        <v>0.9</v>
      </c>
      <c r="G76" s="694"/>
      <c r="H76" s="694"/>
      <c r="I76" s="695"/>
      <c r="J76" s="695"/>
      <c r="K76" s="695"/>
      <c r="L76" s="695"/>
      <c r="M76" s="695"/>
      <c r="N76" s="695"/>
      <c r="O76" s="695"/>
      <c r="P76" s="695"/>
      <c r="Q76" s="695"/>
      <c r="R76" s="695"/>
      <c r="S76" s="695"/>
      <c r="T76" s="695"/>
      <c r="U76" s="695"/>
      <c r="V76" s="695"/>
      <c r="W76" s="695"/>
      <c r="X76" s="704">
        <f>'#3. 생잔율'!L24</f>
        <v>0.109935</v>
      </c>
      <c r="Y76" s="705">
        <f>'#3. 생잔율'!M24</f>
        <v>0.38384499999999999</v>
      </c>
      <c r="Z76" s="703">
        <f t="shared" si="49"/>
        <v>495</v>
      </c>
      <c r="AA76" s="686">
        <f t="shared" si="50"/>
        <v>53</v>
      </c>
      <c r="AB76" s="687">
        <f t="shared" si="51"/>
        <v>442</v>
      </c>
    </row>
    <row r="77" spans="1:28" s="667" customFormat="1" ht="22.5" customHeight="1">
      <c r="A77" s="673" t="str">
        <f t="shared" si="46"/>
        <v>100+</v>
      </c>
      <c r="B77" s="683">
        <f t="shared" si="60"/>
        <v>35</v>
      </c>
      <c r="C77" s="683">
        <f t="shared" ref="C77:D77" si="65">AA52</f>
        <v>1</v>
      </c>
      <c r="D77" s="683">
        <f t="shared" si="65"/>
        <v>34</v>
      </c>
      <c r="E77" s="684">
        <f t="shared" si="62"/>
        <v>0.03</v>
      </c>
      <c r="F77" s="684">
        <f t="shared" si="63"/>
        <v>0.97</v>
      </c>
      <c r="G77" s="694"/>
      <c r="H77" s="694"/>
      <c r="I77" s="695"/>
      <c r="J77" s="695"/>
      <c r="K77" s="695"/>
      <c r="L77" s="695"/>
      <c r="M77" s="695"/>
      <c r="N77" s="695"/>
      <c r="O77" s="695"/>
      <c r="P77" s="695"/>
      <c r="Q77" s="695"/>
      <c r="R77" s="695"/>
      <c r="S77" s="695"/>
      <c r="T77" s="695"/>
      <c r="U77" s="695"/>
      <c r="V77" s="695"/>
      <c r="W77" s="695"/>
      <c r="X77" s="704">
        <f>'#3. 생잔율'!L25</f>
        <v>0</v>
      </c>
      <c r="Y77" s="705">
        <f>'#3. 생잔율'!M25</f>
        <v>0</v>
      </c>
      <c r="Z77" s="703">
        <f t="shared" si="49"/>
        <v>82</v>
      </c>
      <c r="AA77" s="686">
        <f t="shared" si="50"/>
        <v>3</v>
      </c>
      <c r="AB77" s="687">
        <f t="shared" si="51"/>
        <v>79</v>
      </c>
    </row>
    <row r="78" spans="1:28" s="667" customFormat="1" ht="22.5" customHeight="1">
      <c r="A78" s="696" t="s">
        <v>50</v>
      </c>
      <c r="B78" s="697">
        <f>SUM(B57:B77)</f>
        <v>83194</v>
      </c>
      <c r="C78" s="698">
        <f>SUM(C57:C77)</f>
        <v>41073</v>
      </c>
      <c r="D78" s="698">
        <f>SUM(D57:D77)</f>
        <v>42121</v>
      </c>
      <c r="E78" s="699"/>
      <c r="F78" s="699"/>
      <c r="G78" s="699"/>
      <c r="H78" s="699"/>
      <c r="I78" s="699"/>
      <c r="J78" s="699"/>
      <c r="K78" s="699"/>
      <c r="L78" s="698">
        <f>SUM(L60:L74)</f>
        <v>2751</v>
      </c>
      <c r="M78" s="699"/>
      <c r="N78" s="699"/>
      <c r="O78" s="699"/>
      <c r="P78" s="699"/>
      <c r="Q78" s="699"/>
      <c r="R78" s="698">
        <f t="shared" ref="R78:W78" si="66">SUM(R60:R74)</f>
        <v>7</v>
      </c>
      <c r="S78" s="698">
        <f t="shared" si="66"/>
        <v>4</v>
      </c>
      <c r="T78" s="698">
        <f t="shared" si="66"/>
        <v>3</v>
      </c>
      <c r="U78" s="698">
        <f t="shared" si="66"/>
        <v>2744</v>
      </c>
      <c r="V78" s="698">
        <f t="shared" si="66"/>
        <v>1395</v>
      </c>
      <c r="W78" s="698">
        <f t="shared" si="66"/>
        <v>1349</v>
      </c>
      <c r="X78" s="699"/>
      <c r="Y78" s="700"/>
      <c r="Z78" s="701">
        <f t="shared" si="49"/>
        <v>82585</v>
      </c>
      <c r="AA78" s="698">
        <f>SUM(AA57:AA77)</f>
        <v>40662</v>
      </c>
      <c r="AB78" s="698">
        <f>SUM(AB57:AB77)</f>
        <v>41923</v>
      </c>
    </row>
    <row r="79" spans="1:28" s="667" customFormat="1" ht="22.5" customHeight="1"/>
    <row r="80" spans="1:28" s="667" customFormat="1" ht="22.5" customHeight="1">
      <c r="A80" s="997" t="s">
        <v>81</v>
      </c>
      <c r="B80" s="999">
        <f>Z55</f>
        <v>2030</v>
      </c>
      <c r="C80" s="999"/>
      <c r="D80" s="999"/>
      <c r="E80" s="996" t="s">
        <v>74</v>
      </c>
      <c r="F80" s="996"/>
      <c r="G80" s="996" t="s">
        <v>73</v>
      </c>
      <c r="H80" s="996"/>
      <c r="I80" s="1000" t="s">
        <v>249</v>
      </c>
      <c r="J80" s="1000"/>
      <c r="K80" s="1000"/>
      <c r="L80" s="1005">
        <v>5</v>
      </c>
      <c r="M80" s="1005"/>
      <c r="N80" s="1005"/>
      <c r="O80" s="996" t="s">
        <v>72</v>
      </c>
      <c r="P80" s="996"/>
      <c r="Q80" s="996"/>
      <c r="R80" s="996" t="s">
        <v>71</v>
      </c>
      <c r="S80" s="996"/>
      <c r="T80" s="996"/>
      <c r="U80" s="996" t="s">
        <v>70</v>
      </c>
      <c r="V80" s="996"/>
      <c r="W80" s="996"/>
      <c r="X80" s="996" t="s">
        <v>69</v>
      </c>
      <c r="Y80" s="1004"/>
      <c r="Z80" s="1001">
        <f>B80+L80</f>
        <v>2035</v>
      </c>
      <c r="AA80" s="1002"/>
      <c r="AB80" s="1003"/>
    </row>
    <row r="81" spans="1:28" s="672" customFormat="1" ht="22.5" customHeight="1">
      <c r="A81" s="998"/>
      <c r="B81" s="668" t="s">
        <v>77</v>
      </c>
      <c r="C81" s="668" t="s">
        <v>76</v>
      </c>
      <c r="D81" s="668" t="s">
        <v>75</v>
      </c>
      <c r="E81" s="668" t="s">
        <v>76</v>
      </c>
      <c r="F81" s="668" t="s">
        <v>75</v>
      </c>
      <c r="G81" s="668" t="s">
        <v>76</v>
      </c>
      <c r="H81" s="668" t="s">
        <v>75</v>
      </c>
      <c r="I81" s="668" t="s">
        <v>77</v>
      </c>
      <c r="J81" s="668" t="s">
        <v>76</v>
      </c>
      <c r="K81" s="668" t="s">
        <v>75</v>
      </c>
      <c r="L81" s="668" t="s">
        <v>77</v>
      </c>
      <c r="M81" s="668" t="s">
        <v>76</v>
      </c>
      <c r="N81" s="668" t="s">
        <v>75</v>
      </c>
      <c r="O81" s="668" t="s">
        <v>77</v>
      </c>
      <c r="P81" s="668" t="s">
        <v>76</v>
      </c>
      <c r="Q81" s="668" t="s">
        <v>75</v>
      </c>
      <c r="R81" s="668" t="s">
        <v>77</v>
      </c>
      <c r="S81" s="668" t="s">
        <v>76</v>
      </c>
      <c r="T81" s="668" t="s">
        <v>75</v>
      </c>
      <c r="U81" s="668" t="s">
        <v>77</v>
      </c>
      <c r="V81" s="668" t="s">
        <v>76</v>
      </c>
      <c r="W81" s="668" t="s">
        <v>75</v>
      </c>
      <c r="X81" s="668" t="s">
        <v>76</v>
      </c>
      <c r="Y81" s="669" t="s">
        <v>75</v>
      </c>
      <c r="Z81" s="670" t="s">
        <v>77</v>
      </c>
      <c r="AA81" s="668" t="s">
        <v>76</v>
      </c>
      <c r="AB81" s="671" t="s">
        <v>75</v>
      </c>
    </row>
    <row r="82" spans="1:28" s="667" customFormat="1" ht="22.5" customHeight="1">
      <c r="A82" s="673" t="str">
        <f>A57</f>
        <v>0~4</v>
      </c>
      <c r="B82" s="674">
        <f t="shared" ref="B82:B99" si="67">SUM(C82:D82)</f>
        <v>2744</v>
      </c>
      <c r="C82" s="674">
        <f t="shared" ref="C82:C99" si="68">AA57</f>
        <v>1395</v>
      </c>
      <c r="D82" s="674">
        <f t="shared" ref="D82:D99" si="69">AB57</f>
        <v>1349</v>
      </c>
      <c r="E82" s="675">
        <f t="shared" ref="E82:E99" si="70">ROUND(C82/$B82,2)</f>
        <v>0.51</v>
      </c>
      <c r="F82" s="675">
        <f t="shared" ref="F82:F99" si="71">ROUND(D82/$B82,2)</f>
        <v>0.49</v>
      </c>
      <c r="G82" s="674"/>
      <c r="H82" s="674"/>
      <c r="I82" s="676"/>
      <c r="J82" s="676"/>
      <c r="K82" s="676"/>
      <c r="L82" s="676"/>
      <c r="M82" s="676"/>
      <c r="N82" s="676"/>
      <c r="O82" s="676">
        <f>AVERAGE(P82:Q82)</f>
        <v>2.7575E-3</v>
      </c>
      <c r="P82" s="676">
        <f>'#3. 생잔율'!N4</f>
        <v>3.0200000000000001E-3</v>
      </c>
      <c r="Q82" s="676">
        <f>'#3. 생잔율'!O4</f>
        <v>2.4949999999999998E-3</v>
      </c>
      <c r="R82" s="676"/>
      <c r="S82" s="676"/>
      <c r="T82" s="676"/>
      <c r="U82" s="676"/>
      <c r="V82" s="676"/>
      <c r="W82" s="676"/>
      <c r="X82" s="677">
        <f>'#3. 생잔율'!P5</f>
        <v>0.99983500000000003</v>
      </c>
      <c r="Y82" s="678">
        <f>'#3. 생잔율'!Q5</f>
        <v>0.99970499999999995</v>
      </c>
      <c r="Z82" s="679">
        <f t="shared" ref="Z82:Z99" si="72">SUM(AA82:AB82)</f>
        <v>2865</v>
      </c>
      <c r="AA82" s="680">
        <f>ROUND(V103,0)</f>
        <v>1453</v>
      </c>
      <c r="AB82" s="681">
        <f>ROUND(W103,0)</f>
        <v>1412</v>
      </c>
    </row>
    <row r="83" spans="1:28" s="667" customFormat="1" ht="22.5" customHeight="1">
      <c r="A83" s="673" t="str">
        <f t="shared" ref="A83:A102" si="73">A58</f>
        <v>5~9</v>
      </c>
      <c r="B83" s="683">
        <f t="shared" si="67"/>
        <v>2781</v>
      </c>
      <c r="C83" s="683">
        <f t="shared" si="68"/>
        <v>1417</v>
      </c>
      <c r="D83" s="683">
        <f t="shared" si="69"/>
        <v>1364</v>
      </c>
      <c r="E83" s="684">
        <f t="shared" si="70"/>
        <v>0.51</v>
      </c>
      <c r="F83" s="684">
        <f t="shared" si="71"/>
        <v>0.49</v>
      </c>
      <c r="G83" s="683"/>
      <c r="H83" s="683"/>
      <c r="I83" s="685"/>
      <c r="J83" s="685"/>
      <c r="K83" s="685"/>
      <c r="L83" s="685"/>
      <c r="M83" s="685"/>
      <c r="N83" s="685"/>
      <c r="O83" s="685"/>
      <c r="P83" s="685"/>
      <c r="Q83" s="685"/>
      <c r="R83" s="685"/>
      <c r="S83" s="685"/>
      <c r="T83" s="685"/>
      <c r="U83" s="685"/>
      <c r="V83" s="685"/>
      <c r="W83" s="685"/>
      <c r="X83" s="704">
        <f>'#3. 생잔율'!P6</f>
        <v>0.99984499999999998</v>
      </c>
      <c r="Y83" s="705">
        <f>'#3. 생잔율'!Q6</f>
        <v>0.999915</v>
      </c>
      <c r="Z83" s="703">
        <f t="shared" si="72"/>
        <v>2744</v>
      </c>
      <c r="AA83" s="686">
        <f t="shared" ref="AA83:AA99" si="74">ROUND(C82*X82,0)</f>
        <v>1395</v>
      </c>
      <c r="AB83" s="687">
        <f t="shared" ref="AB83:AB99" si="75">ROUND(D82*Y82,0)</f>
        <v>1349</v>
      </c>
    </row>
    <row r="84" spans="1:28" s="667" customFormat="1" ht="22.5" customHeight="1">
      <c r="A84" s="673" t="str">
        <f t="shared" si="73"/>
        <v>10~14</v>
      </c>
      <c r="B84" s="683">
        <f t="shared" si="67"/>
        <v>4600</v>
      </c>
      <c r="C84" s="683">
        <f t="shared" si="68"/>
        <v>2374</v>
      </c>
      <c r="D84" s="683">
        <f t="shared" si="69"/>
        <v>2226</v>
      </c>
      <c r="E84" s="684">
        <f t="shared" si="70"/>
        <v>0.52</v>
      </c>
      <c r="F84" s="684">
        <f t="shared" si="71"/>
        <v>0.48</v>
      </c>
      <c r="G84" s="683"/>
      <c r="H84" s="683"/>
      <c r="I84" s="685"/>
      <c r="J84" s="685"/>
      <c r="K84" s="685"/>
      <c r="L84" s="685"/>
      <c r="M84" s="685"/>
      <c r="N84" s="685"/>
      <c r="O84" s="685"/>
      <c r="P84" s="685"/>
      <c r="Q84" s="685"/>
      <c r="R84" s="685"/>
      <c r="S84" s="685"/>
      <c r="T84" s="685"/>
      <c r="U84" s="685"/>
      <c r="V84" s="685"/>
      <c r="W84" s="685"/>
      <c r="X84" s="704">
        <f>'#3. 생잔율'!P7</f>
        <v>0.99974499999999999</v>
      </c>
      <c r="Y84" s="705">
        <f>'#3. 생잔율'!Q7</f>
        <v>0.99992999999999999</v>
      </c>
      <c r="Z84" s="703">
        <f t="shared" si="72"/>
        <v>2781</v>
      </c>
      <c r="AA84" s="686">
        <f t="shared" si="74"/>
        <v>1417</v>
      </c>
      <c r="AB84" s="687">
        <f t="shared" si="75"/>
        <v>1364</v>
      </c>
    </row>
    <row r="85" spans="1:28" s="667" customFormat="1" ht="22.5" customHeight="1">
      <c r="A85" s="673" t="str">
        <f t="shared" si="73"/>
        <v>15~19</v>
      </c>
      <c r="B85" s="683">
        <f t="shared" si="67"/>
        <v>3492</v>
      </c>
      <c r="C85" s="683">
        <f t="shared" si="68"/>
        <v>1810</v>
      </c>
      <c r="D85" s="683">
        <f t="shared" si="69"/>
        <v>1682</v>
      </c>
      <c r="E85" s="684">
        <f t="shared" si="70"/>
        <v>0.52</v>
      </c>
      <c r="F85" s="684">
        <f t="shared" si="71"/>
        <v>0.48</v>
      </c>
      <c r="G85" s="689">
        <f>'#1. 장래인구 성비'!$J$29</f>
        <v>0.5073891625615764</v>
      </c>
      <c r="H85" s="689">
        <f>'#1. 장래인구 성비'!$K$29</f>
        <v>0.49261083743842365</v>
      </c>
      <c r="I85" s="690">
        <f>'#2. 모의 연령별 출산율'!E8</f>
        <v>1.5799999999999998</v>
      </c>
      <c r="J85" s="685">
        <f t="shared" ref="J85:K91" si="76">ROUND(G85*$I85,2)</f>
        <v>0.8</v>
      </c>
      <c r="K85" s="685">
        <f t="shared" si="76"/>
        <v>0.78</v>
      </c>
      <c r="L85" s="686">
        <f t="shared" ref="L85:L91" si="77">SUM(M85:N85)</f>
        <v>14</v>
      </c>
      <c r="M85" s="686">
        <f t="shared" ref="M85:M91" si="78">ROUND(J85*L$80*$D85/1000,0)</f>
        <v>7</v>
      </c>
      <c r="N85" s="686">
        <f t="shared" ref="N85:N91" si="79">ROUND(K85*L$80*$D85/1000,0)</f>
        <v>7</v>
      </c>
      <c r="O85" s="685"/>
      <c r="P85" s="685"/>
      <c r="Q85" s="685"/>
      <c r="R85" s="686">
        <f t="shared" ref="R85:R91" si="80">SUM(S85:T85)</f>
        <v>0</v>
      </c>
      <c r="S85" s="686">
        <f t="shared" ref="S85:T91" si="81">ROUND(M85*P$82,0)</f>
        <v>0</v>
      </c>
      <c r="T85" s="686">
        <f t="shared" si="81"/>
        <v>0</v>
      </c>
      <c r="U85" s="686">
        <f t="shared" ref="U85:U91" si="82">SUM(V85:W85)</f>
        <v>14</v>
      </c>
      <c r="V85" s="683">
        <f t="shared" ref="V85:W91" si="83">M85-S85</f>
        <v>7</v>
      </c>
      <c r="W85" s="683">
        <f t="shared" si="83"/>
        <v>7</v>
      </c>
      <c r="X85" s="704">
        <f>'#3. 생잔율'!P8</f>
        <v>0.99911499999999998</v>
      </c>
      <c r="Y85" s="705">
        <f>'#3. 생잔율'!Q8</f>
        <v>0.99951999999999996</v>
      </c>
      <c r="Z85" s="703">
        <f t="shared" si="72"/>
        <v>4599</v>
      </c>
      <c r="AA85" s="686">
        <f t="shared" si="74"/>
        <v>2373</v>
      </c>
      <c r="AB85" s="687">
        <f t="shared" si="75"/>
        <v>2226</v>
      </c>
    </row>
    <row r="86" spans="1:28" s="667" customFormat="1" ht="22.5" customHeight="1">
      <c r="A86" s="673" t="str">
        <f t="shared" si="73"/>
        <v>20~24</v>
      </c>
      <c r="B86" s="683">
        <f t="shared" si="67"/>
        <v>3824</v>
      </c>
      <c r="C86" s="683">
        <f t="shared" si="68"/>
        <v>1968</v>
      </c>
      <c r="D86" s="683">
        <f t="shared" si="69"/>
        <v>1856</v>
      </c>
      <c r="E86" s="684">
        <f t="shared" si="70"/>
        <v>0.51</v>
      </c>
      <c r="F86" s="684">
        <f t="shared" si="71"/>
        <v>0.49</v>
      </c>
      <c r="G86" s="689">
        <f>'#1. 장래인구 성비'!$J$29</f>
        <v>0.5073891625615764</v>
      </c>
      <c r="H86" s="689">
        <f>'#1. 장래인구 성비'!$K$29</f>
        <v>0.49261083743842365</v>
      </c>
      <c r="I86" s="690">
        <f>'#2. 모의 연령별 출산율'!E9</f>
        <v>14.419999999999998</v>
      </c>
      <c r="J86" s="685">
        <f t="shared" si="76"/>
        <v>7.32</v>
      </c>
      <c r="K86" s="685">
        <f t="shared" si="76"/>
        <v>7.1</v>
      </c>
      <c r="L86" s="686">
        <f t="shared" si="77"/>
        <v>134</v>
      </c>
      <c r="M86" s="686">
        <f t="shared" si="78"/>
        <v>68</v>
      </c>
      <c r="N86" s="686">
        <f t="shared" si="79"/>
        <v>66</v>
      </c>
      <c r="O86" s="685"/>
      <c r="P86" s="685"/>
      <c r="Q86" s="685"/>
      <c r="R86" s="686">
        <f t="shared" si="80"/>
        <v>0</v>
      </c>
      <c r="S86" s="686">
        <f t="shared" si="81"/>
        <v>0</v>
      </c>
      <c r="T86" s="686">
        <f t="shared" si="81"/>
        <v>0</v>
      </c>
      <c r="U86" s="686">
        <f t="shared" si="82"/>
        <v>134</v>
      </c>
      <c r="V86" s="683">
        <f t="shared" si="83"/>
        <v>68</v>
      </c>
      <c r="W86" s="683">
        <f t="shared" si="83"/>
        <v>66</v>
      </c>
      <c r="X86" s="704">
        <f>'#3. 생잔율'!P9</f>
        <v>0.99889000000000006</v>
      </c>
      <c r="Y86" s="705">
        <f>'#3. 생잔율'!Q9</f>
        <v>0.99938000000000005</v>
      </c>
      <c r="Z86" s="703">
        <f t="shared" si="72"/>
        <v>3489</v>
      </c>
      <c r="AA86" s="686">
        <f t="shared" si="74"/>
        <v>1808</v>
      </c>
      <c r="AB86" s="687">
        <f t="shared" si="75"/>
        <v>1681</v>
      </c>
    </row>
    <row r="87" spans="1:28" s="667" customFormat="1" ht="22.5" customHeight="1">
      <c r="A87" s="673" t="str">
        <f t="shared" si="73"/>
        <v>25~29</v>
      </c>
      <c r="B87" s="683">
        <f t="shared" si="67"/>
        <v>4432</v>
      </c>
      <c r="C87" s="683">
        <f t="shared" si="68"/>
        <v>2322</v>
      </c>
      <c r="D87" s="683">
        <f t="shared" si="69"/>
        <v>2110</v>
      </c>
      <c r="E87" s="684">
        <f t="shared" si="70"/>
        <v>0.52</v>
      </c>
      <c r="F87" s="684">
        <f t="shared" si="71"/>
        <v>0.48</v>
      </c>
      <c r="G87" s="689">
        <f>'#1. 장래인구 성비'!$J$29</f>
        <v>0.5073891625615764</v>
      </c>
      <c r="H87" s="689">
        <f>'#1. 장래인구 성비'!$K$29</f>
        <v>0.49261083743842365</v>
      </c>
      <c r="I87" s="690">
        <f>'#2. 모의 연령별 출산율'!E10</f>
        <v>63.4</v>
      </c>
      <c r="J87" s="685">
        <f t="shared" si="76"/>
        <v>32.17</v>
      </c>
      <c r="K87" s="685">
        <f t="shared" si="76"/>
        <v>31.23</v>
      </c>
      <c r="L87" s="686">
        <f t="shared" si="77"/>
        <v>668</v>
      </c>
      <c r="M87" s="686">
        <f t="shared" si="78"/>
        <v>339</v>
      </c>
      <c r="N87" s="686">
        <f t="shared" si="79"/>
        <v>329</v>
      </c>
      <c r="O87" s="685"/>
      <c r="P87" s="685"/>
      <c r="Q87" s="685"/>
      <c r="R87" s="686">
        <f t="shared" si="80"/>
        <v>2</v>
      </c>
      <c r="S87" s="686">
        <f t="shared" si="81"/>
        <v>1</v>
      </c>
      <c r="T87" s="686">
        <f t="shared" si="81"/>
        <v>1</v>
      </c>
      <c r="U87" s="686">
        <f t="shared" si="82"/>
        <v>666</v>
      </c>
      <c r="V87" s="683">
        <f t="shared" si="83"/>
        <v>338</v>
      </c>
      <c r="W87" s="683">
        <f t="shared" si="83"/>
        <v>328</v>
      </c>
      <c r="X87" s="704">
        <f>'#3. 생잔율'!P10</f>
        <v>0.99826000000000004</v>
      </c>
      <c r="Y87" s="705">
        <f>'#3. 생잔율'!Q10</f>
        <v>0.99907999999999997</v>
      </c>
      <c r="Z87" s="703">
        <f t="shared" si="72"/>
        <v>3821</v>
      </c>
      <c r="AA87" s="686">
        <f t="shared" si="74"/>
        <v>1966</v>
      </c>
      <c r="AB87" s="687">
        <f t="shared" si="75"/>
        <v>1855</v>
      </c>
    </row>
    <row r="88" spans="1:28" s="667" customFormat="1" ht="22.5" customHeight="1">
      <c r="A88" s="673" t="str">
        <f t="shared" si="73"/>
        <v>30~34</v>
      </c>
      <c r="B88" s="683">
        <f t="shared" si="67"/>
        <v>4771</v>
      </c>
      <c r="C88" s="683">
        <f t="shared" si="68"/>
        <v>2604</v>
      </c>
      <c r="D88" s="683">
        <f t="shared" si="69"/>
        <v>2167</v>
      </c>
      <c r="E88" s="684">
        <f t="shared" si="70"/>
        <v>0.55000000000000004</v>
      </c>
      <c r="F88" s="684">
        <f t="shared" si="71"/>
        <v>0.45</v>
      </c>
      <c r="G88" s="689">
        <f>'#1. 장래인구 성비'!$J$29</f>
        <v>0.5073891625615764</v>
      </c>
      <c r="H88" s="689">
        <f>'#1. 장래인구 성비'!$K$29</f>
        <v>0.49261083743842365</v>
      </c>
      <c r="I88" s="690">
        <f>'#2. 모의 연령별 출산율'!E11</f>
        <v>112.38000000000001</v>
      </c>
      <c r="J88" s="685">
        <f t="shared" si="76"/>
        <v>57.02</v>
      </c>
      <c r="K88" s="685">
        <f t="shared" si="76"/>
        <v>55.36</v>
      </c>
      <c r="L88" s="686">
        <f t="shared" si="77"/>
        <v>1218</v>
      </c>
      <c r="M88" s="686">
        <f t="shared" si="78"/>
        <v>618</v>
      </c>
      <c r="N88" s="686">
        <f t="shared" si="79"/>
        <v>600</v>
      </c>
      <c r="O88" s="685"/>
      <c r="P88" s="685"/>
      <c r="Q88" s="685"/>
      <c r="R88" s="686">
        <f t="shared" si="80"/>
        <v>3</v>
      </c>
      <c r="S88" s="686">
        <f t="shared" si="81"/>
        <v>2</v>
      </c>
      <c r="T88" s="686">
        <f t="shared" si="81"/>
        <v>1</v>
      </c>
      <c r="U88" s="686">
        <f t="shared" si="82"/>
        <v>1215</v>
      </c>
      <c r="V88" s="683">
        <f t="shared" si="83"/>
        <v>616</v>
      </c>
      <c r="W88" s="683">
        <f t="shared" si="83"/>
        <v>599</v>
      </c>
      <c r="X88" s="704">
        <f>'#3. 생잔율'!P11</f>
        <v>0.99770499999999995</v>
      </c>
      <c r="Y88" s="705">
        <f>'#3. 생잔율'!Q11</f>
        <v>0.99873000000000001</v>
      </c>
      <c r="Z88" s="703">
        <f t="shared" si="72"/>
        <v>4426</v>
      </c>
      <c r="AA88" s="686">
        <f t="shared" si="74"/>
        <v>2318</v>
      </c>
      <c r="AB88" s="687">
        <f t="shared" si="75"/>
        <v>2108</v>
      </c>
    </row>
    <row r="89" spans="1:28" s="667" customFormat="1" ht="22.5" customHeight="1">
      <c r="A89" s="673" t="str">
        <f t="shared" si="73"/>
        <v>35~39</v>
      </c>
      <c r="B89" s="683">
        <f t="shared" si="67"/>
        <v>4114</v>
      </c>
      <c r="C89" s="683">
        <f t="shared" si="68"/>
        <v>2278</v>
      </c>
      <c r="D89" s="683">
        <f t="shared" si="69"/>
        <v>1836</v>
      </c>
      <c r="E89" s="684">
        <f t="shared" si="70"/>
        <v>0.55000000000000004</v>
      </c>
      <c r="F89" s="684">
        <f t="shared" si="71"/>
        <v>0.45</v>
      </c>
      <c r="G89" s="689">
        <f>'#1. 장래인구 성비'!$J$29</f>
        <v>0.5073891625615764</v>
      </c>
      <c r="H89" s="689">
        <f>'#1. 장래인구 성비'!$K$29</f>
        <v>0.49261083743842365</v>
      </c>
      <c r="I89" s="690">
        <f>'#2. 모의 연령별 출산율'!E12</f>
        <v>68.7</v>
      </c>
      <c r="J89" s="685">
        <f t="shared" si="76"/>
        <v>34.86</v>
      </c>
      <c r="K89" s="685">
        <f t="shared" si="76"/>
        <v>33.840000000000003</v>
      </c>
      <c r="L89" s="686">
        <f t="shared" si="77"/>
        <v>631</v>
      </c>
      <c r="M89" s="686">
        <f t="shared" si="78"/>
        <v>320</v>
      </c>
      <c r="N89" s="686">
        <f t="shared" si="79"/>
        <v>311</v>
      </c>
      <c r="O89" s="685"/>
      <c r="P89" s="685"/>
      <c r="Q89" s="685"/>
      <c r="R89" s="686">
        <f t="shared" si="80"/>
        <v>2</v>
      </c>
      <c r="S89" s="686">
        <f t="shared" si="81"/>
        <v>1</v>
      </c>
      <c r="T89" s="686">
        <f t="shared" si="81"/>
        <v>1</v>
      </c>
      <c r="U89" s="686">
        <f t="shared" si="82"/>
        <v>629</v>
      </c>
      <c r="V89" s="683">
        <f t="shared" si="83"/>
        <v>319</v>
      </c>
      <c r="W89" s="683">
        <f t="shared" si="83"/>
        <v>310</v>
      </c>
      <c r="X89" s="704">
        <f>'#3. 생잔율'!P12</f>
        <v>0.99675499999999995</v>
      </c>
      <c r="Y89" s="705">
        <f>'#3. 생잔율'!Q12</f>
        <v>0.99822999999999995</v>
      </c>
      <c r="Z89" s="703">
        <f t="shared" si="72"/>
        <v>4762</v>
      </c>
      <c r="AA89" s="686">
        <f t="shared" si="74"/>
        <v>2598</v>
      </c>
      <c r="AB89" s="687">
        <f t="shared" si="75"/>
        <v>2164</v>
      </c>
    </row>
    <row r="90" spans="1:28" s="667" customFormat="1" ht="22.5" customHeight="1">
      <c r="A90" s="673" t="str">
        <f t="shared" si="73"/>
        <v>40~44</v>
      </c>
      <c r="B90" s="683">
        <f t="shared" si="67"/>
        <v>4113</v>
      </c>
      <c r="C90" s="683">
        <f t="shared" si="68"/>
        <v>2184</v>
      </c>
      <c r="D90" s="683">
        <f t="shared" si="69"/>
        <v>1929</v>
      </c>
      <c r="E90" s="684">
        <f t="shared" si="70"/>
        <v>0.53</v>
      </c>
      <c r="F90" s="684">
        <f t="shared" si="71"/>
        <v>0.47</v>
      </c>
      <c r="G90" s="689">
        <f>'#1. 장래인구 성비'!$J$29</f>
        <v>0.5073891625615764</v>
      </c>
      <c r="H90" s="689">
        <f>'#1. 장래인구 성비'!$K$29</f>
        <v>0.49261083743842365</v>
      </c>
      <c r="I90" s="690">
        <f>'#2. 모의 연령별 출산율'!E13</f>
        <v>17.859999999999996</v>
      </c>
      <c r="J90" s="685">
        <f t="shared" si="76"/>
        <v>9.06</v>
      </c>
      <c r="K90" s="685">
        <f t="shared" si="76"/>
        <v>8.8000000000000007</v>
      </c>
      <c r="L90" s="686">
        <f t="shared" si="77"/>
        <v>172</v>
      </c>
      <c r="M90" s="686">
        <f t="shared" si="78"/>
        <v>87</v>
      </c>
      <c r="N90" s="686">
        <f t="shared" si="79"/>
        <v>85</v>
      </c>
      <c r="O90" s="685"/>
      <c r="P90" s="685"/>
      <c r="Q90" s="685"/>
      <c r="R90" s="686">
        <f t="shared" si="80"/>
        <v>0</v>
      </c>
      <c r="S90" s="686">
        <f t="shared" si="81"/>
        <v>0</v>
      </c>
      <c r="T90" s="686">
        <f t="shared" si="81"/>
        <v>0</v>
      </c>
      <c r="U90" s="686">
        <f t="shared" si="82"/>
        <v>172</v>
      </c>
      <c r="V90" s="683">
        <f t="shared" si="83"/>
        <v>87</v>
      </c>
      <c r="W90" s="683">
        <f t="shared" si="83"/>
        <v>85</v>
      </c>
      <c r="X90" s="704">
        <f>'#3. 생잔율'!P13</f>
        <v>0.99448499999999995</v>
      </c>
      <c r="Y90" s="705">
        <f>'#3. 생잔율'!Q13</f>
        <v>0.99743000000000004</v>
      </c>
      <c r="Z90" s="703">
        <f t="shared" si="72"/>
        <v>4104</v>
      </c>
      <c r="AA90" s="686">
        <f t="shared" si="74"/>
        <v>2271</v>
      </c>
      <c r="AB90" s="687">
        <f t="shared" si="75"/>
        <v>1833</v>
      </c>
    </row>
    <row r="91" spans="1:28" s="667" customFormat="1" ht="22.5" customHeight="1">
      <c r="A91" s="673" t="str">
        <f t="shared" si="73"/>
        <v>45~49</v>
      </c>
      <c r="B91" s="683">
        <f t="shared" si="67"/>
        <v>4802</v>
      </c>
      <c r="C91" s="683">
        <f t="shared" si="68"/>
        <v>2457</v>
      </c>
      <c r="D91" s="683">
        <f t="shared" si="69"/>
        <v>2345</v>
      </c>
      <c r="E91" s="684">
        <f t="shared" si="70"/>
        <v>0.51</v>
      </c>
      <c r="F91" s="684">
        <f t="shared" si="71"/>
        <v>0.49</v>
      </c>
      <c r="G91" s="689">
        <f>'#1. 장래인구 성비'!$J$29</f>
        <v>0.5073891625615764</v>
      </c>
      <c r="H91" s="689">
        <f>'#1. 장래인구 성비'!$K$29</f>
        <v>0.49261083743842365</v>
      </c>
      <c r="I91" s="690">
        <f>'#2. 모의 연령별 출산율'!E14</f>
        <v>2.9800000000000004</v>
      </c>
      <c r="J91" s="685">
        <f t="shared" si="76"/>
        <v>1.51</v>
      </c>
      <c r="K91" s="685">
        <f t="shared" si="76"/>
        <v>1.47</v>
      </c>
      <c r="L91" s="686">
        <f t="shared" si="77"/>
        <v>35</v>
      </c>
      <c r="M91" s="686">
        <f t="shared" si="78"/>
        <v>18</v>
      </c>
      <c r="N91" s="686">
        <f t="shared" si="79"/>
        <v>17</v>
      </c>
      <c r="O91" s="685"/>
      <c r="P91" s="685"/>
      <c r="Q91" s="685"/>
      <c r="R91" s="686">
        <f t="shared" si="80"/>
        <v>0</v>
      </c>
      <c r="S91" s="686">
        <f t="shared" si="81"/>
        <v>0</v>
      </c>
      <c r="T91" s="686">
        <f t="shared" si="81"/>
        <v>0</v>
      </c>
      <c r="U91" s="686">
        <f t="shared" si="82"/>
        <v>35</v>
      </c>
      <c r="V91" s="683">
        <f t="shared" si="83"/>
        <v>18</v>
      </c>
      <c r="W91" s="683">
        <f t="shared" si="83"/>
        <v>17</v>
      </c>
      <c r="X91" s="704">
        <f>'#3. 생잔율'!P14</f>
        <v>0.99053000000000002</v>
      </c>
      <c r="Y91" s="705">
        <f>'#3. 생잔율'!Q14</f>
        <v>0.99653000000000003</v>
      </c>
      <c r="Z91" s="703">
        <f t="shared" si="72"/>
        <v>4096</v>
      </c>
      <c r="AA91" s="686">
        <f t="shared" si="74"/>
        <v>2172</v>
      </c>
      <c r="AB91" s="687">
        <f t="shared" si="75"/>
        <v>1924</v>
      </c>
    </row>
    <row r="92" spans="1:28" s="667" customFormat="1" ht="22.5" customHeight="1">
      <c r="A92" s="673" t="str">
        <f t="shared" si="73"/>
        <v>50~54</v>
      </c>
      <c r="B92" s="683">
        <f t="shared" si="67"/>
        <v>5719</v>
      </c>
      <c r="C92" s="683">
        <f t="shared" si="68"/>
        <v>2982</v>
      </c>
      <c r="D92" s="683">
        <f t="shared" si="69"/>
        <v>2737</v>
      </c>
      <c r="E92" s="684">
        <f t="shared" si="70"/>
        <v>0.52</v>
      </c>
      <c r="F92" s="684">
        <f t="shared" si="71"/>
        <v>0.48</v>
      </c>
      <c r="G92" s="692"/>
      <c r="H92" s="683"/>
      <c r="I92" s="685"/>
      <c r="J92" s="685"/>
      <c r="K92" s="685"/>
      <c r="L92" s="685"/>
      <c r="M92" s="685"/>
      <c r="N92" s="685"/>
      <c r="O92" s="685"/>
      <c r="P92" s="685"/>
      <c r="Q92" s="685"/>
      <c r="R92" s="685"/>
      <c r="S92" s="685"/>
      <c r="T92" s="685"/>
      <c r="U92" s="685"/>
      <c r="V92" s="685"/>
      <c r="W92" s="685"/>
      <c r="X92" s="704">
        <f>'#3. 생잔율'!P15</f>
        <v>0.98667499999999997</v>
      </c>
      <c r="Y92" s="705">
        <f>'#3. 생잔율'!Q15</f>
        <v>0.99476500000000001</v>
      </c>
      <c r="Z92" s="703">
        <f t="shared" si="72"/>
        <v>4771</v>
      </c>
      <c r="AA92" s="686">
        <f t="shared" si="74"/>
        <v>2434</v>
      </c>
      <c r="AB92" s="687">
        <f t="shared" si="75"/>
        <v>2337</v>
      </c>
    </row>
    <row r="93" spans="1:28" s="667" customFormat="1" ht="22.5" customHeight="1">
      <c r="A93" s="673" t="str">
        <f t="shared" si="73"/>
        <v>55~59</v>
      </c>
      <c r="B93" s="683">
        <f t="shared" si="67"/>
        <v>6135</v>
      </c>
      <c r="C93" s="683">
        <f t="shared" si="68"/>
        <v>3247</v>
      </c>
      <c r="D93" s="683">
        <f t="shared" si="69"/>
        <v>2888</v>
      </c>
      <c r="E93" s="684">
        <f t="shared" si="70"/>
        <v>0.53</v>
      </c>
      <c r="F93" s="684">
        <f t="shared" si="71"/>
        <v>0.47</v>
      </c>
      <c r="G93" s="683"/>
      <c r="H93" s="683"/>
      <c r="I93" s="685"/>
      <c r="J93" s="685"/>
      <c r="K93" s="685"/>
      <c r="L93" s="685"/>
      <c r="M93" s="685"/>
      <c r="N93" s="685"/>
      <c r="O93" s="685"/>
      <c r="P93" s="685"/>
      <c r="Q93" s="685"/>
      <c r="R93" s="685"/>
      <c r="S93" s="685"/>
      <c r="T93" s="685"/>
      <c r="U93" s="685"/>
      <c r="V93" s="685"/>
      <c r="W93" s="685"/>
      <c r="X93" s="704">
        <f>'#3. 생잔율'!P16</f>
        <v>0.98002500000000003</v>
      </c>
      <c r="Y93" s="705">
        <f>'#3. 생잔율'!Q16</f>
        <v>0.99348000000000003</v>
      </c>
      <c r="Z93" s="703">
        <f t="shared" si="72"/>
        <v>5665</v>
      </c>
      <c r="AA93" s="686">
        <f t="shared" si="74"/>
        <v>2942</v>
      </c>
      <c r="AB93" s="687">
        <f t="shared" si="75"/>
        <v>2723</v>
      </c>
    </row>
    <row r="94" spans="1:28" s="667" customFormat="1" ht="22.5" customHeight="1">
      <c r="A94" s="673" t="str">
        <f t="shared" si="73"/>
        <v>60~64</v>
      </c>
      <c r="B94" s="683">
        <f t="shared" si="67"/>
        <v>6335</v>
      </c>
      <c r="C94" s="683">
        <f t="shared" si="68"/>
        <v>3252</v>
      </c>
      <c r="D94" s="683">
        <f t="shared" si="69"/>
        <v>3083</v>
      </c>
      <c r="E94" s="684">
        <f t="shared" si="70"/>
        <v>0.51</v>
      </c>
      <c r="F94" s="684">
        <f t="shared" si="71"/>
        <v>0.49</v>
      </c>
      <c r="G94" s="683"/>
      <c r="H94" s="683"/>
      <c r="I94" s="685"/>
      <c r="J94" s="685"/>
      <c r="K94" s="685"/>
      <c r="L94" s="685"/>
      <c r="M94" s="685"/>
      <c r="N94" s="685"/>
      <c r="O94" s="685"/>
      <c r="P94" s="685"/>
      <c r="Q94" s="685"/>
      <c r="R94" s="685"/>
      <c r="S94" s="685"/>
      <c r="T94" s="685"/>
      <c r="U94" s="685"/>
      <c r="V94" s="685"/>
      <c r="W94" s="685"/>
      <c r="X94" s="704">
        <f>'#3. 생잔율'!P17</f>
        <v>0.97087999999999997</v>
      </c>
      <c r="Y94" s="705">
        <f>'#3. 생잔율'!Q17</f>
        <v>0.99050499999999997</v>
      </c>
      <c r="Z94" s="703">
        <f t="shared" si="72"/>
        <v>6051</v>
      </c>
      <c r="AA94" s="686">
        <f t="shared" si="74"/>
        <v>3182</v>
      </c>
      <c r="AB94" s="687">
        <f t="shared" si="75"/>
        <v>2869</v>
      </c>
    </row>
    <row r="95" spans="1:28" s="667" customFormat="1" ht="22.5" customHeight="1">
      <c r="A95" s="673" t="str">
        <f t="shared" si="73"/>
        <v>65~69</v>
      </c>
      <c r="B95" s="683">
        <f t="shared" si="67"/>
        <v>6349</v>
      </c>
      <c r="C95" s="683">
        <f t="shared" si="68"/>
        <v>3144</v>
      </c>
      <c r="D95" s="683">
        <f t="shared" si="69"/>
        <v>3205</v>
      </c>
      <c r="E95" s="684">
        <f t="shared" si="70"/>
        <v>0.5</v>
      </c>
      <c r="F95" s="684">
        <f t="shared" si="71"/>
        <v>0.5</v>
      </c>
      <c r="G95" s="683"/>
      <c r="H95" s="683"/>
      <c r="I95" s="685"/>
      <c r="J95" s="685"/>
      <c r="K95" s="685"/>
      <c r="L95" s="685"/>
      <c r="M95" s="685"/>
      <c r="N95" s="685"/>
      <c r="O95" s="685"/>
      <c r="P95" s="685"/>
      <c r="Q95" s="685"/>
      <c r="R95" s="685"/>
      <c r="S95" s="685"/>
      <c r="T95" s="685"/>
      <c r="U95" s="685"/>
      <c r="V95" s="685"/>
      <c r="W95" s="685"/>
      <c r="X95" s="704">
        <f>'#3. 생잔율'!P18</f>
        <v>0.95743</v>
      </c>
      <c r="Y95" s="705">
        <f>'#3. 생잔율'!Q18</f>
        <v>0.98382999999999998</v>
      </c>
      <c r="Z95" s="703">
        <f t="shared" si="72"/>
        <v>6211</v>
      </c>
      <c r="AA95" s="686">
        <f t="shared" si="74"/>
        <v>3157</v>
      </c>
      <c r="AB95" s="687">
        <f t="shared" si="75"/>
        <v>3054</v>
      </c>
    </row>
    <row r="96" spans="1:28" s="667" customFormat="1" ht="22.5" customHeight="1">
      <c r="A96" s="673" t="str">
        <f t="shared" si="73"/>
        <v>70~74</v>
      </c>
      <c r="B96" s="683">
        <f t="shared" si="67"/>
        <v>5540</v>
      </c>
      <c r="C96" s="683">
        <f t="shared" si="68"/>
        <v>2629</v>
      </c>
      <c r="D96" s="683">
        <f t="shared" si="69"/>
        <v>2911</v>
      </c>
      <c r="E96" s="684">
        <f t="shared" si="70"/>
        <v>0.47</v>
      </c>
      <c r="F96" s="684">
        <f t="shared" si="71"/>
        <v>0.53</v>
      </c>
      <c r="G96" s="683"/>
      <c r="H96" s="683"/>
      <c r="I96" s="685"/>
      <c r="J96" s="685"/>
      <c r="K96" s="685"/>
      <c r="L96" s="685"/>
      <c r="M96" s="685"/>
      <c r="N96" s="685"/>
      <c r="O96" s="685"/>
      <c r="P96" s="685"/>
      <c r="Q96" s="685"/>
      <c r="R96" s="685"/>
      <c r="S96" s="685"/>
      <c r="T96" s="685"/>
      <c r="U96" s="685"/>
      <c r="V96" s="685"/>
      <c r="W96" s="685"/>
      <c r="X96" s="704">
        <f>'#3. 생잔율'!P19</f>
        <v>0.91576499999999994</v>
      </c>
      <c r="Y96" s="705">
        <f>'#3. 생잔율'!Q19</f>
        <v>0.96811000000000003</v>
      </c>
      <c r="Z96" s="703">
        <f t="shared" si="72"/>
        <v>6163</v>
      </c>
      <c r="AA96" s="686">
        <f t="shared" si="74"/>
        <v>3010</v>
      </c>
      <c r="AB96" s="687">
        <f t="shared" si="75"/>
        <v>3153</v>
      </c>
    </row>
    <row r="97" spans="1:28" s="667" customFormat="1" ht="22.5" customHeight="1">
      <c r="A97" s="673" t="str">
        <f t="shared" si="73"/>
        <v>75~79</v>
      </c>
      <c r="B97" s="683">
        <f t="shared" si="67"/>
        <v>4475</v>
      </c>
      <c r="C97" s="683">
        <f t="shared" si="68"/>
        <v>2015</v>
      </c>
      <c r="D97" s="683">
        <f t="shared" si="69"/>
        <v>2460</v>
      </c>
      <c r="E97" s="684">
        <f t="shared" si="70"/>
        <v>0.45</v>
      </c>
      <c r="F97" s="684">
        <f t="shared" si="71"/>
        <v>0.55000000000000004</v>
      </c>
      <c r="G97" s="683"/>
      <c r="H97" s="683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704">
        <f>'#3. 생잔율'!P20</f>
        <v>0.84155000000000002</v>
      </c>
      <c r="Y97" s="705">
        <f>'#3. 생잔율'!Q20</f>
        <v>0.93693499999999996</v>
      </c>
      <c r="Z97" s="703">
        <f t="shared" si="72"/>
        <v>5226</v>
      </c>
      <c r="AA97" s="686">
        <f t="shared" si="74"/>
        <v>2408</v>
      </c>
      <c r="AB97" s="687">
        <f t="shared" si="75"/>
        <v>2818</v>
      </c>
    </row>
    <row r="98" spans="1:28" s="667" customFormat="1" ht="22.5" customHeight="1">
      <c r="A98" s="673" t="str">
        <f t="shared" si="73"/>
        <v>80~84</v>
      </c>
      <c r="B98" s="683">
        <f t="shared" si="67"/>
        <v>3536</v>
      </c>
      <c r="C98" s="683">
        <f t="shared" si="68"/>
        <v>1382</v>
      </c>
      <c r="D98" s="683">
        <f t="shared" si="69"/>
        <v>2154</v>
      </c>
      <c r="E98" s="684">
        <f t="shared" si="70"/>
        <v>0.39</v>
      </c>
      <c r="F98" s="684">
        <f t="shared" si="71"/>
        <v>0.61</v>
      </c>
      <c r="G98" s="683"/>
      <c r="H98" s="683"/>
      <c r="I98" s="685"/>
      <c r="J98" s="685"/>
      <c r="K98" s="685"/>
      <c r="L98" s="685"/>
      <c r="M98" s="685"/>
      <c r="N98" s="685"/>
      <c r="O98" s="685"/>
      <c r="P98" s="685"/>
      <c r="Q98" s="685"/>
      <c r="R98" s="685"/>
      <c r="S98" s="685"/>
      <c r="T98" s="685"/>
      <c r="U98" s="685"/>
      <c r="V98" s="685"/>
      <c r="W98" s="685"/>
      <c r="X98" s="704">
        <f>'#3. 생잔율'!P21</f>
        <v>0.71355499999999994</v>
      </c>
      <c r="Y98" s="705">
        <f>'#3. 생잔율'!Q21</f>
        <v>0.87839999999999996</v>
      </c>
      <c r="Z98" s="703">
        <f t="shared" si="72"/>
        <v>4001</v>
      </c>
      <c r="AA98" s="686">
        <f t="shared" si="74"/>
        <v>1696</v>
      </c>
      <c r="AB98" s="687">
        <f t="shared" si="75"/>
        <v>2305</v>
      </c>
    </row>
    <row r="99" spans="1:28" s="667" customFormat="1" ht="22.5" customHeight="1">
      <c r="A99" s="673" t="str">
        <f t="shared" si="73"/>
        <v>85~89</v>
      </c>
      <c r="B99" s="683">
        <f t="shared" si="67"/>
        <v>2699</v>
      </c>
      <c r="C99" s="683">
        <f t="shared" si="68"/>
        <v>822</v>
      </c>
      <c r="D99" s="683">
        <f t="shared" si="69"/>
        <v>1877</v>
      </c>
      <c r="E99" s="684">
        <f t="shared" si="70"/>
        <v>0.3</v>
      </c>
      <c r="F99" s="684">
        <f t="shared" si="71"/>
        <v>0.7</v>
      </c>
      <c r="G99" s="683"/>
      <c r="H99" s="683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704">
        <f>'#3. 생잔율'!P22</f>
        <v>0.52303999999999995</v>
      </c>
      <c r="Y99" s="705">
        <f>'#3. 생잔율'!Q22</f>
        <v>0.77429499999999996</v>
      </c>
      <c r="Z99" s="703">
        <f t="shared" si="72"/>
        <v>2878</v>
      </c>
      <c r="AA99" s="686">
        <f t="shared" si="74"/>
        <v>986</v>
      </c>
      <c r="AB99" s="687">
        <f t="shared" si="75"/>
        <v>1892</v>
      </c>
    </row>
    <row r="100" spans="1:28" s="667" customFormat="1" ht="22.5" customHeight="1">
      <c r="A100" s="673" t="str">
        <f t="shared" si="73"/>
        <v>90~94</v>
      </c>
      <c r="B100" s="683">
        <f t="shared" ref="B100:B102" si="84">SUM(C100:D100)</f>
        <v>1547</v>
      </c>
      <c r="C100" s="683">
        <f t="shared" ref="C100:D100" si="85">AA75</f>
        <v>324</v>
      </c>
      <c r="D100" s="683">
        <f t="shared" si="85"/>
        <v>1223</v>
      </c>
      <c r="E100" s="684">
        <f t="shared" ref="E100:E102" si="86">ROUND(C100/$B100,2)</f>
        <v>0.21</v>
      </c>
      <c r="F100" s="684">
        <f t="shared" ref="F100:F102" si="87">ROUND(D100/$B100,2)</f>
        <v>0.79</v>
      </c>
      <c r="G100" s="694"/>
      <c r="H100" s="694"/>
      <c r="I100" s="695"/>
      <c r="J100" s="695"/>
      <c r="K100" s="695"/>
      <c r="L100" s="695"/>
      <c r="M100" s="695"/>
      <c r="N100" s="695"/>
      <c r="O100" s="695"/>
      <c r="P100" s="695"/>
      <c r="Q100" s="695"/>
      <c r="R100" s="695"/>
      <c r="S100" s="695"/>
      <c r="T100" s="695"/>
      <c r="U100" s="695"/>
      <c r="V100" s="695"/>
      <c r="W100" s="695"/>
      <c r="X100" s="704">
        <f>'#3. 생잔율'!P23</f>
        <v>0.29923999999999995</v>
      </c>
      <c r="Y100" s="705">
        <f>'#3. 생잔율'!Q23</f>
        <v>0.60899499999999995</v>
      </c>
      <c r="Z100" s="703">
        <f t="shared" ref="Z100:Z103" si="88">SUM(AA100:AB100)</f>
        <v>1883</v>
      </c>
      <c r="AA100" s="686">
        <f t="shared" ref="AA100:AA102" si="89">ROUND(C99*X99,0)</f>
        <v>430</v>
      </c>
      <c r="AB100" s="687">
        <f t="shared" ref="AB100:AB102" si="90">ROUND(D99*Y99,0)</f>
        <v>1453</v>
      </c>
    </row>
    <row r="101" spans="1:28" s="667" customFormat="1" ht="22.5" customHeight="1">
      <c r="A101" s="673" t="str">
        <f t="shared" si="73"/>
        <v>95~99</v>
      </c>
      <c r="B101" s="683">
        <f t="shared" si="84"/>
        <v>495</v>
      </c>
      <c r="C101" s="683">
        <f t="shared" ref="C101:D101" si="91">AA76</f>
        <v>53</v>
      </c>
      <c r="D101" s="683">
        <f t="shared" si="91"/>
        <v>442</v>
      </c>
      <c r="E101" s="684">
        <f t="shared" si="86"/>
        <v>0.11</v>
      </c>
      <c r="F101" s="684">
        <f t="shared" si="87"/>
        <v>0.89</v>
      </c>
      <c r="G101" s="694"/>
      <c r="H101" s="694"/>
      <c r="I101" s="695"/>
      <c r="J101" s="695"/>
      <c r="K101" s="695"/>
      <c r="L101" s="695"/>
      <c r="M101" s="695"/>
      <c r="N101" s="695"/>
      <c r="O101" s="695"/>
      <c r="P101" s="695"/>
      <c r="Q101" s="695"/>
      <c r="R101" s="695"/>
      <c r="S101" s="695"/>
      <c r="T101" s="695"/>
      <c r="U101" s="695"/>
      <c r="V101" s="695"/>
      <c r="W101" s="695"/>
      <c r="X101" s="704">
        <f>'#3. 생잔율'!P24</f>
        <v>0.11651999999999996</v>
      </c>
      <c r="Y101" s="705">
        <f>'#3. 생잔율'!Q24</f>
        <v>0.39250499999999999</v>
      </c>
      <c r="Z101" s="703">
        <f t="shared" si="88"/>
        <v>842</v>
      </c>
      <c r="AA101" s="686">
        <f t="shared" si="89"/>
        <v>97</v>
      </c>
      <c r="AB101" s="687">
        <f t="shared" si="90"/>
        <v>745</v>
      </c>
    </row>
    <row r="102" spans="1:28" s="667" customFormat="1" ht="22.5" customHeight="1">
      <c r="A102" s="673" t="str">
        <f t="shared" si="73"/>
        <v>100+</v>
      </c>
      <c r="B102" s="683">
        <f t="shared" si="84"/>
        <v>82</v>
      </c>
      <c r="C102" s="683">
        <f t="shared" ref="C102:D102" si="92">AA77</f>
        <v>3</v>
      </c>
      <c r="D102" s="683">
        <f t="shared" si="92"/>
        <v>79</v>
      </c>
      <c r="E102" s="684">
        <f t="shared" si="86"/>
        <v>0.04</v>
      </c>
      <c r="F102" s="684">
        <f t="shared" si="87"/>
        <v>0.96</v>
      </c>
      <c r="G102" s="694"/>
      <c r="H102" s="694"/>
      <c r="I102" s="695"/>
      <c r="J102" s="695"/>
      <c r="K102" s="695"/>
      <c r="L102" s="695"/>
      <c r="M102" s="695"/>
      <c r="N102" s="695"/>
      <c r="O102" s="695"/>
      <c r="P102" s="695"/>
      <c r="Q102" s="695"/>
      <c r="R102" s="695"/>
      <c r="S102" s="695"/>
      <c r="T102" s="695"/>
      <c r="U102" s="695"/>
      <c r="V102" s="695"/>
      <c r="W102" s="695"/>
      <c r="X102" s="704">
        <f>'#3. 생잔율'!P25</f>
        <v>0</v>
      </c>
      <c r="Y102" s="705">
        <f>'#3. 생잔율'!Q25</f>
        <v>0</v>
      </c>
      <c r="Z102" s="703">
        <f t="shared" si="88"/>
        <v>179</v>
      </c>
      <c r="AA102" s="686">
        <f t="shared" si="89"/>
        <v>6</v>
      </c>
      <c r="AB102" s="687">
        <f t="shared" si="90"/>
        <v>173</v>
      </c>
    </row>
    <row r="103" spans="1:28" s="667" customFormat="1" ht="22.5" customHeight="1">
      <c r="A103" s="696" t="s">
        <v>50</v>
      </c>
      <c r="B103" s="697">
        <f>SUM(B82:B102)</f>
        <v>82585</v>
      </c>
      <c r="C103" s="698">
        <f>SUM(C82:C102)</f>
        <v>40662</v>
      </c>
      <c r="D103" s="698">
        <f>SUM(D82:D102)</f>
        <v>41923</v>
      </c>
      <c r="E103" s="699"/>
      <c r="F103" s="699"/>
      <c r="G103" s="699"/>
      <c r="H103" s="699"/>
      <c r="I103" s="699"/>
      <c r="J103" s="699"/>
      <c r="K103" s="699"/>
      <c r="L103" s="698">
        <f>SUM(L85:L99)</f>
        <v>2872</v>
      </c>
      <c r="M103" s="699"/>
      <c r="N103" s="699"/>
      <c r="O103" s="699"/>
      <c r="P103" s="699"/>
      <c r="Q103" s="699"/>
      <c r="R103" s="698">
        <f t="shared" ref="R103:W103" si="93">SUM(R85:R99)</f>
        <v>7</v>
      </c>
      <c r="S103" s="698">
        <f t="shared" si="93"/>
        <v>4</v>
      </c>
      <c r="T103" s="698">
        <f t="shared" si="93"/>
        <v>3</v>
      </c>
      <c r="U103" s="698">
        <f t="shared" si="93"/>
        <v>2865</v>
      </c>
      <c r="V103" s="698">
        <f t="shared" si="93"/>
        <v>1453</v>
      </c>
      <c r="W103" s="698">
        <f t="shared" si="93"/>
        <v>1412</v>
      </c>
      <c r="X103" s="699"/>
      <c r="Y103" s="700"/>
      <c r="Z103" s="701">
        <f t="shared" si="88"/>
        <v>81557</v>
      </c>
      <c r="AA103" s="698">
        <f>SUM(AA82:AA102)</f>
        <v>40119</v>
      </c>
      <c r="AB103" s="698">
        <f>SUM(AB82:AB102)</f>
        <v>41438</v>
      </c>
    </row>
    <row r="104" spans="1:28" ht="15" customHeight="1"/>
    <row r="105" spans="1:28" ht="15" customHeight="1"/>
  </sheetData>
  <mergeCells count="44">
    <mergeCell ref="U80:W80"/>
    <mergeCell ref="X80:Y80"/>
    <mergeCell ref="Z80:AB80"/>
    <mergeCell ref="U55:W55"/>
    <mergeCell ref="X55:Y55"/>
    <mergeCell ref="E80:F80"/>
    <mergeCell ref="G80:H80"/>
    <mergeCell ref="I80:K80"/>
    <mergeCell ref="L80:N80"/>
    <mergeCell ref="R80:T80"/>
    <mergeCell ref="Z5:AB5"/>
    <mergeCell ref="I5:K5"/>
    <mergeCell ref="L5:N5"/>
    <mergeCell ref="O5:Q5"/>
    <mergeCell ref="R5:T5"/>
    <mergeCell ref="U5:W5"/>
    <mergeCell ref="X5:Y5"/>
    <mergeCell ref="Z30:AB30"/>
    <mergeCell ref="U30:W30"/>
    <mergeCell ref="X30:Y30"/>
    <mergeCell ref="R30:T30"/>
    <mergeCell ref="I55:K55"/>
    <mergeCell ref="L55:N55"/>
    <mergeCell ref="O55:Q55"/>
    <mergeCell ref="R55:T55"/>
    <mergeCell ref="L30:N30"/>
    <mergeCell ref="O30:Q30"/>
    <mergeCell ref="Z55:AB55"/>
    <mergeCell ref="G5:H5"/>
    <mergeCell ref="E30:F30"/>
    <mergeCell ref="O80:Q80"/>
    <mergeCell ref="A55:A56"/>
    <mergeCell ref="B55:D55"/>
    <mergeCell ref="E55:F55"/>
    <mergeCell ref="G55:H55"/>
    <mergeCell ref="I30:K30"/>
    <mergeCell ref="A30:A31"/>
    <mergeCell ref="B30:D30"/>
    <mergeCell ref="A5:A6"/>
    <mergeCell ref="B5:D5"/>
    <mergeCell ref="E5:F5"/>
    <mergeCell ref="G30:H30"/>
    <mergeCell ref="A80:A81"/>
    <mergeCell ref="B80:D80"/>
  </mergeCells>
  <phoneticPr fontId="10" type="noConversion"/>
  <conditionalFormatting sqref="X7:Y27 X32:Y52 X57:Y77 X82:Y102">
    <cfRule type="expression" dxfId="8" priority="1" stopIfTrue="1">
      <formula>#REF!="사망확률(남자)"</formula>
    </cfRule>
    <cfRule type="expression" dxfId="7" priority="2" stopIfTrue="1">
      <formula>#REF!="사망확률(여자)"</formula>
    </cfRule>
    <cfRule type="expression" dxfId="6" priority="3" stopIfTrue="1">
      <formula>#REF!="생잔율(여자)"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8" scale="56" orientation="landscape" r:id="rId1"/>
  <headerFooter alignWithMargins="0"/>
  <rowBreaks count="1" manualBreakCount="1">
    <brk id="54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3"/>
  </sheetPr>
  <dimension ref="A1:AB105"/>
  <sheetViews>
    <sheetView view="pageBreakPreview" zoomScale="85" zoomScaleNormal="70" zoomScaleSheetLayoutView="85" workbookViewId="0">
      <pane xSplit="1" ySplit="1" topLeftCell="B7" activePane="bottomRight" state="frozen"/>
      <selection activeCell="L36" sqref="L36"/>
      <selection pane="topRight" activeCell="L36" sqref="L36"/>
      <selection pane="bottomLeft" activeCell="L36" sqref="L36"/>
      <selection pane="bottomRight" activeCell="AL38" sqref="AL38"/>
    </sheetView>
  </sheetViews>
  <sheetFormatPr defaultRowHeight="18" customHeight="1"/>
  <cols>
    <col min="1" max="28" width="10.77734375" style="665" customWidth="1"/>
    <col min="29" max="53" width="5.77734375" style="665" customWidth="1"/>
    <col min="54" max="16384" width="8.88671875" style="665"/>
  </cols>
  <sheetData>
    <row r="1" spans="1:28" ht="39.950000000000003" customHeight="1">
      <c r="A1" s="664" t="s">
        <v>975</v>
      </c>
    </row>
    <row r="2" spans="1:28" s="667" customFormat="1" ht="22.5" customHeight="1">
      <c r="A2" s="666" t="s">
        <v>86</v>
      </c>
      <c r="B2" s="667" t="s">
        <v>1064</v>
      </c>
    </row>
    <row r="3" spans="1:28" s="667" customFormat="1" ht="22.5" customHeight="1">
      <c r="A3" s="666"/>
      <c r="B3" s="667" t="s">
        <v>85</v>
      </c>
    </row>
    <row r="4" spans="1:28" s="667" customFormat="1" ht="22.5" customHeight="1"/>
    <row r="5" spans="1:28" s="667" customFormat="1" ht="22.5" customHeight="1">
      <c r="A5" s="997" t="s">
        <v>10</v>
      </c>
      <c r="B5" s="999">
        <v>2015</v>
      </c>
      <c r="C5" s="999"/>
      <c r="D5" s="999"/>
      <c r="E5" s="996" t="s">
        <v>74</v>
      </c>
      <c r="F5" s="996"/>
      <c r="G5" s="996" t="s">
        <v>717</v>
      </c>
      <c r="H5" s="996"/>
      <c r="I5" s="1000" t="s">
        <v>718</v>
      </c>
      <c r="J5" s="1000"/>
      <c r="K5" s="1000"/>
      <c r="L5" s="1005">
        <v>5</v>
      </c>
      <c r="M5" s="1005"/>
      <c r="N5" s="1005"/>
      <c r="O5" s="996" t="s">
        <v>719</v>
      </c>
      <c r="P5" s="996"/>
      <c r="Q5" s="996"/>
      <c r="R5" s="996" t="s">
        <v>71</v>
      </c>
      <c r="S5" s="996"/>
      <c r="T5" s="996"/>
      <c r="U5" s="996" t="s">
        <v>70</v>
      </c>
      <c r="V5" s="996"/>
      <c r="W5" s="996"/>
      <c r="X5" s="996" t="s">
        <v>720</v>
      </c>
      <c r="Y5" s="1004"/>
      <c r="Z5" s="1001">
        <f>B5+L5</f>
        <v>2020</v>
      </c>
      <c r="AA5" s="1002"/>
      <c r="AB5" s="1003"/>
    </row>
    <row r="6" spans="1:28" s="672" customFormat="1" ht="22.5" customHeight="1">
      <c r="A6" s="998"/>
      <c r="B6" s="668" t="s">
        <v>19</v>
      </c>
      <c r="C6" s="668" t="s">
        <v>76</v>
      </c>
      <c r="D6" s="668" t="s">
        <v>75</v>
      </c>
      <c r="E6" s="668" t="s">
        <v>76</v>
      </c>
      <c r="F6" s="668" t="s">
        <v>75</v>
      </c>
      <c r="G6" s="668" t="s">
        <v>76</v>
      </c>
      <c r="H6" s="668" t="s">
        <v>75</v>
      </c>
      <c r="I6" s="668" t="s">
        <v>19</v>
      </c>
      <c r="J6" s="668" t="s">
        <v>76</v>
      </c>
      <c r="K6" s="668" t="s">
        <v>75</v>
      </c>
      <c r="L6" s="668" t="s">
        <v>19</v>
      </c>
      <c r="M6" s="668" t="s">
        <v>76</v>
      </c>
      <c r="N6" s="668" t="s">
        <v>75</v>
      </c>
      <c r="O6" s="668" t="s">
        <v>19</v>
      </c>
      <c r="P6" s="668" t="s">
        <v>76</v>
      </c>
      <c r="Q6" s="668" t="s">
        <v>75</v>
      </c>
      <c r="R6" s="668" t="s">
        <v>19</v>
      </c>
      <c r="S6" s="668" t="s">
        <v>76</v>
      </c>
      <c r="T6" s="668" t="s">
        <v>75</v>
      </c>
      <c r="U6" s="668" t="s">
        <v>19</v>
      </c>
      <c r="V6" s="668" t="s">
        <v>76</v>
      </c>
      <c r="W6" s="668" t="s">
        <v>75</v>
      </c>
      <c r="X6" s="668" t="s">
        <v>76</v>
      </c>
      <c r="Y6" s="669" t="s">
        <v>75</v>
      </c>
      <c r="Z6" s="670" t="s">
        <v>19</v>
      </c>
      <c r="AA6" s="668" t="s">
        <v>76</v>
      </c>
      <c r="AB6" s="671" t="s">
        <v>75</v>
      </c>
    </row>
    <row r="7" spans="1:28" s="667" customFormat="1" ht="22.5" customHeight="1">
      <c r="A7" s="673" t="s">
        <v>68</v>
      </c>
      <c r="B7" s="674">
        <f t="shared" ref="B7:B27" si="0">SUM(C7:D7)</f>
        <v>97179</v>
      </c>
      <c r="C7" s="674">
        <f>'충남(''15) 5세 계급별 인구(내포포함)'!C4</f>
        <v>49975</v>
      </c>
      <c r="D7" s="674">
        <f>'충남(''15) 5세 계급별 인구(내포포함)'!D4</f>
        <v>47204</v>
      </c>
      <c r="E7" s="675">
        <f t="shared" ref="E7:F24" si="1">ROUND(C7/$B7,2)</f>
        <v>0.51</v>
      </c>
      <c r="F7" s="675">
        <f t="shared" si="1"/>
        <v>0.49</v>
      </c>
      <c r="G7" s="674"/>
      <c r="H7" s="674"/>
      <c r="I7" s="676"/>
      <c r="J7" s="676"/>
      <c r="K7" s="676"/>
      <c r="L7" s="676"/>
      <c r="M7" s="676"/>
      <c r="N7" s="676"/>
      <c r="O7" s="676">
        <f>AVERAGE(P7:Q7)</f>
        <v>3.5574999999999999E-3</v>
      </c>
      <c r="P7" s="676">
        <f>'#3. 생잔율'!B4</f>
        <v>3.8349999999999999E-3</v>
      </c>
      <c r="Q7" s="676">
        <f>'#3. 생잔율'!C4</f>
        <v>3.2799999999999999E-3</v>
      </c>
      <c r="R7" s="676"/>
      <c r="S7" s="676"/>
      <c r="T7" s="676"/>
      <c r="U7" s="676"/>
      <c r="V7" s="676"/>
      <c r="W7" s="676"/>
      <c r="X7" s="677">
        <f>'#3. 생잔율'!D5</f>
        <v>0.99953000000000003</v>
      </c>
      <c r="Y7" s="678">
        <f>'#3. 생잔율'!E5</f>
        <v>0.99916000000000005</v>
      </c>
      <c r="Z7" s="679">
        <f t="shared" ref="Z7:Z28" si="2">SUM(AA7:AB7)</f>
        <v>139657</v>
      </c>
      <c r="AA7" s="680">
        <f>ROUND(V28,0)+ROUND(C7*3/5*X7,0)</f>
        <v>71454</v>
      </c>
      <c r="AB7" s="681">
        <f>ROUND(W28,0)+ROUND(D7*3/5*Y7,0)</f>
        <v>68203</v>
      </c>
    </row>
    <row r="8" spans="1:28" s="667" customFormat="1" ht="22.5" customHeight="1">
      <c r="A8" s="682" t="s">
        <v>67</v>
      </c>
      <c r="B8" s="683">
        <f t="shared" si="0"/>
        <v>100057</v>
      </c>
      <c r="C8" s="674">
        <f>'충남(''15) 5세 계급별 인구(내포포함)'!C5</f>
        <v>51819</v>
      </c>
      <c r="D8" s="674">
        <f>'충남(''15) 5세 계급별 인구(내포포함)'!D5</f>
        <v>48238</v>
      </c>
      <c r="E8" s="684">
        <f t="shared" si="1"/>
        <v>0.52</v>
      </c>
      <c r="F8" s="684">
        <f t="shared" si="1"/>
        <v>0.48</v>
      </c>
      <c r="G8" s="683"/>
      <c r="H8" s="683"/>
      <c r="I8" s="685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77">
        <f>'#3. 생잔율'!D6</f>
        <v>0.99955499999999997</v>
      </c>
      <c r="Y8" s="678">
        <f>'#3. 생잔율'!E6</f>
        <v>0.99974499999999999</v>
      </c>
      <c r="Z8" s="679">
        <f t="shared" si="2"/>
        <v>98859</v>
      </c>
      <c r="AA8" s="686">
        <f>ROUND(C7*2/5*X7+C8*3/5*X8,0)</f>
        <v>51058</v>
      </c>
      <c r="AB8" s="687">
        <f>ROUND(D7*2/5*Y7+D8*3/5*Y8,0)</f>
        <v>47801</v>
      </c>
    </row>
    <row r="9" spans="1:28" s="667" customFormat="1" ht="22.5" customHeight="1">
      <c r="A9" s="682" t="s">
        <v>66</v>
      </c>
      <c r="B9" s="683">
        <f t="shared" si="0"/>
        <v>100964</v>
      </c>
      <c r="C9" s="674">
        <f>'충남(''15) 5세 계급별 인구(내포포함)'!C6</f>
        <v>52339</v>
      </c>
      <c r="D9" s="674">
        <f>'충남(''15) 5세 계급별 인구(내포포함)'!D6</f>
        <v>48625</v>
      </c>
      <c r="E9" s="684">
        <f t="shared" si="1"/>
        <v>0.52</v>
      </c>
      <c r="F9" s="684">
        <f t="shared" si="1"/>
        <v>0.48</v>
      </c>
      <c r="G9" s="683"/>
      <c r="H9" s="683"/>
      <c r="I9" s="685"/>
      <c r="J9" s="685"/>
      <c r="K9" s="685"/>
      <c r="L9" s="685"/>
      <c r="M9" s="685"/>
      <c r="N9" s="685"/>
      <c r="O9" s="685"/>
      <c r="P9" s="685"/>
      <c r="Q9" s="688"/>
      <c r="R9" s="685"/>
      <c r="S9" s="685"/>
      <c r="T9" s="685"/>
      <c r="U9" s="685"/>
      <c r="V9" s="685"/>
      <c r="W9" s="685"/>
      <c r="X9" s="677">
        <f>'#3. 생잔율'!D7</f>
        <v>0.99934000000000001</v>
      </c>
      <c r="Y9" s="678">
        <f>'#3. 생잔율'!E7</f>
        <v>0.99982000000000004</v>
      </c>
      <c r="Z9" s="679">
        <f t="shared" si="2"/>
        <v>100561</v>
      </c>
      <c r="AA9" s="686">
        <f t="shared" ref="AA9:AB27" si="3">ROUND(C8*2/5*X8+C9*3/5*X9,0)</f>
        <v>52101</v>
      </c>
      <c r="AB9" s="687">
        <f t="shared" si="3"/>
        <v>48460</v>
      </c>
    </row>
    <row r="10" spans="1:28" s="667" customFormat="1" ht="22.5" customHeight="1">
      <c r="A10" s="682" t="s">
        <v>65</v>
      </c>
      <c r="B10" s="683">
        <f t="shared" si="0"/>
        <v>128250</v>
      </c>
      <c r="C10" s="674">
        <f>'충남(''15) 5세 계급별 인구(내포포함)'!C7</f>
        <v>67039</v>
      </c>
      <c r="D10" s="674">
        <f>'충남(''15) 5세 계급별 인구(내포포함)'!D7</f>
        <v>61211</v>
      </c>
      <c r="E10" s="684">
        <f t="shared" si="1"/>
        <v>0.52</v>
      </c>
      <c r="F10" s="684">
        <f t="shared" si="1"/>
        <v>0.48</v>
      </c>
      <c r="G10" s="689">
        <f>'#1. 장래인구 성비'!$D$29</f>
        <v>0.50985197529653947</v>
      </c>
      <c r="H10" s="689">
        <f>'#1. 장래인구 성비'!$E$29</f>
        <v>0.49014802470346047</v>
      </c>
      <c r="I10" s="690">
        <f>'#2. 모의 연령별 출산율'!B8</f>
        <v>1.5799999999999998</v>
      </c>
      <c r="J10" s="685">
        <f t="shared" ref="J10:K16" si="4">ROUND(G10*$I10,2)</f>
        <v>0.81</v>
      </c>
      <c r="K10" s="685">
        <f t="shared" si="4"/>
        <v>0.77</v>
      </c>
      <c r="L10" s="686">
        <f t="shared" ref="L10:L16" si="5">SUM(M10:N10)</f>
        <v>484</v>
      </c>
      <c r="M10" s="686">
        <f t="shared" ref="M10:M16" si="6">ROUND(J10*L$5*$D10/1000,0)</f>
        <v>248</v>
      </c>
      <c r="N10" s="686">
        <f t="shared" ref="N10:N16" si="7">ROUND(K10*L$5*$D10/1000,0)</f>
        <v>236</v>
      </c>
      <c r="O10" s="685"/>
      <c r="P10" s="685"/>
      <c r="Q10" s="685"/>
      <c r="R10" s="686">
        <f t="shared" ref="R10:R16" si="8">SUM(S10:T10)</f>
        <v>2</v>
      </c>
      <c r="S10" s="691">
        <f t="shared" ref="S10:T16" si="9">ROUND(M10*P$7,0)</f>
        <v>1</v>
      </c>
      <c r="T10" s="686">
        <f t="shared" si="9"/>
        <v>1</v>
      </c>
      <c r="U10" s="686">
        <f t="shared" ref="U10:U16" si="10">SUM(V10:W10)</f>
        <v>482</v>
      </c>
      <c r="V10" s="683">
        <f t="shared" ref="V10:W16" si="11">M10-S10</f>
        <v>247</v>
      </c>
      <c r="W10" s="683">
        <f t="shared" si="11"/>
        <v>235</v>
      </c>
      <c r="X10" s="677">
        <f>'#3. 생잔율'!D8</f>
        <v>0.99802000000000002</v>
      </c>
      <c r="Y10" s="678">
        <f>'#3. 생잔율'!E8</f>
        <v>0.99890000000000001</v>
      </c>
      <c r="Z10" s="679">
        <f t="shared" si="2"/>
        <v>117199</v>
      </c>
      <c r="AA10" s="686">
        <f t="shared" si="3"/>
        <v>61066</v>
      </c>
      <c r="AB10" s="687">
        <f t="shared" si="3"/>
        <v>56133</v>
      </c>
    </row>
    <row r="11" spans="1:28" s="667" customFormat="1" ht="22.5" customHeight="1">
      <c r="A11" s="682" t="s">
        <v>64</v>
      </c>
      <c r="B11" s="683">
        <f t="shared" si="0"/>
        <v>128585</v>
      </c>
      <c r="C11" s="674">
        <f>'충남(''15) 5세 계급별 인구(내포포함)'!C8</f>
        <v>68828</v>
      </c>
      <c r="D11" s="674">
        <f>'충남(''15) 5세 계급별 인구(내포포함)'!D8</f>
        <v>59757</v>
      </c>
      <c r="E11" s="684">
        <f t="shared" si="1"/>
        <v>0.54</v>
      </c>
      <c r="F11" s="684">
        <f t="shared" si="1"/>
        <v>0.46</v>
      </c>
      <c r="G11" s="689">
        <f>'#1. 장래인구 성비'!$D$29</f>
        <v>0.50985197529653947</v>
      </c>
      <c r="H11" s="689">
        <f>'#1. 장래인구 성비'!$E$29</f>
        <v>0.49014802470346047</v>
      </c>
      <c r="I11" s="690">
        <f>'#2. 모의 연령별 출산율'!B9</f>
        <v>14.9</v>
      </c>
      <c r="J11" s="685">
        <f t="shared" si="4"/>
        <v>7.6</v>
      </c>
      <c r="K11" s="685">
        <f t="shared" si="4"/>
        <v>7.3</v>
      </c>
      <c r="L11" s="686">
        <f t="shared" si="5"/>
        <v>4452</v>
      </c>
      <c r="M11" s="686">
        <f t="shared" si="6"/>
        <v>2271</v>
      </c>
      <c r="N11" s="686">
        <f t="shared" si="7"/>
        <v>2181</v>
      </c>
      <c r="O11" s="685"/>
      <c r="P11" s="685"/>
      <c r="Q11" s="685"/>
      <c r="R11" s="686">
        <f t="shared" si="8"/>
        <v>16</v>
      </c>
      <c r="S11" s="686">
        <f t="shared" si="9"/>
        <v>9</v>
      </c>
      <c r="T11" s="686">
        <f t="shared" si="9"/>
        <v>7</v>
      </c>
      <c r="U11" s="686">
        <f t="shared" si="10"/>
        <v>4436</v>
      </c>
      <c r="V11" s="683">
        <f t="shared" si="11"/>
        <v>2262</v>
      </c>
      <c r="W11" s="683">
        <f t="shared" si="11"/>
        <v>2174</v>
      </c>
      <c r="X11" s="677">
        <f>'#3. 생잔율'!D9</f>
        <v>0.99770499999999995</v>
      </c>
      <c r="Y11" s="678">
        <f>'#3. 생잔율'!E9</f>
        <v>0.998695</v>
      </c>
      <c r="Z11" s="679">
        <f t="shared" si="2"/>
        <v>128230</v>
      </c>
      <c r="AA11" s="686">
        <f t="shared" si="3"/>
        <v>67965</v>
      </c>
      <c r="AB11" s="687">
        <f t="shared" si="3"/>
        <v>60265</v>
      </c>
    </row>
    <row r="12" spans="1:28" s="667" customFormat="1" ht="22.5" customHeight="1">
      <c r="A12" s="682" t="s">
        <v>63</v>
      </c>
      <c r="B12" s="683">
        <f t="shared" si="0"/>
        <v>115648</v>
      </c>
      <c r="C12" s="674">
        <f>'충남(''15) 5세 계급별 인구(내포포함)'!C9</f>
        <v>62603</v>
      </c>
      <c r="D12" s="674">
        <f>'충남(''15) 5세 계급별 인구(내포포함)'!D9</f>
        <v>53045</v>
      </c>
      <c r="E12" s="684">
        <f t="shared" si="1"/>
        <v>0.54</v>
      </c>
      <c r="F12" s="684">
        <f t="shared" si="1"/>
        <v>0.46</v>
      </c>
      <c r="G12" s="689">
        <f>'#1. 장래인구 성비'!$D$29</f>
        <v>0.50985197529653947</v>
      </c>
      <c r="H12" s="689">
        <f>'#1. 장래인구 성비'!$E$29</f>
        <v>0.49014802470346047</v>
      </c>
      <c r="I12" s="690">
        <f>'#2. 모의 연령별 출산율'!B10</f>
        <v>69.420000000000016</v>
      </c>
      <c r="J12" s="685">
        <f t="shared" si="4"/>
        <v>35.39</v>
      </c>
      <c r="K12" s="685">
        <f t="shared" si="4"/>
        <v>34.03</v>
      </c>
      <c r="L12" s="686">
        <f t="shared" si="5"/>
        <v>18412</v>
      </c>
      <c r="M12" s="686">
        <f t="shared" si="6"/>
        <v>9386</v>
      </c>
      <c r="N12" s="686">
        <f t="shared" si="7"/>
        <v>9026</v>
      </c>
      <c r="O12" s="685"/>
      <c r="P12" s="685"/>
      <c r="Q12" s="685"/>
      <c r="R12" s="686">
        <f t="shared" si="8"/>
        <v>66</v>
      </c>
      <c r="S12" s="686">
        <f t="shared" si="9"/>
        <v>36</v>
      </c>
      <c r="T12" s="686">
        <f t="shared" si="9"/>
        <v>30</v>
      </c>
      <c r="U12" s="686">
        <f t="shared" si="10"/>
        <v>18346</v>
      </c>
      <c r="V12" s="683">
        <f t="shared" si="11"/>
        <v>9350</v>
      </c>
      <c r="W12" s="683">
        <f t="shared" si="11"/>
        <v>8996</v>
      </c>
      <c r="X12" s="677">
        <f>'#3. 생잔율'!D10</f>
        <v>0.99668000000000001</v>
      </c>
      <c r="Y12" s="678">
        <f>'#3. 생잔율'!E10</f>
        <v>0.99822500000000003</v>
      </c>
      <c r="Z12" s="679">
        <f t="shared" si="2"/>
        <v>120547</v>
      </c>
      <c r="AA12" s="686">
        <f t="shared" si="3"/>
        <v>64905</v>
      </c>
      <c r="AB12" s="687">
        <f t="shared" si="3"/>
        <v>55642</v>
      </c>
    </row>
    <row r="13" spans="1:28" s="667" customFormat="1" ht="22.5" customHeight="1">
      <c r="A13" s="682" t="s">
        <v>62</v>
      </c>
      <c r="B13" s="683">
        <f t="shared" si="0"/>
        <v>144176</v>
      </c>
      <c r="C13" s="674">
        <f>'충남(''15) 5세 계급별 인구(내포포함)'!C10</f>
        <v>77299</v>
      </c>
      <c r="D13" s="674">
        <f>'충남(''15) 5세 계급별 인구(내포포함)'!D10</f>
        <v>66877</v>
      </c>
      <c r="E13" s="684">
        <f t="shared" si="1"/>
        <v>0.54</v>
      </c>
      <c r="F13" s="684">
        <f t="shared" si="1"/>
        <v>0.46</v>
      </c>
      <c r="G13" s="689">
        <f>'#1. 장래인구 성비'!$D$29</f>
        <v>0.50985197529653947</v>
      </c>
      <c r="H13" s="689">
        <f>'#1. 장래인구 성비'!$E$29</f>
        <v>0.49014802470346047</v>
      </c>
      <c r="I13" s="690">
        <f>'#2. 모의 연령별 출산율'!B11</f>
        <v>115.92</v>
      </c>
      <c r="J13" s="685">
        <f t="shared" si="4"/>
        <v>59.1</v>
      </c>
      <c r="K13" s="685">
        <f t="shared" si="4"/>
        <v>56.82</v>
      </c>
      <c r="L13" s="686">
        <f t="shared" si="5"/>
        <v>38762</v>
      </c>
      <c r="M13" s="686">
        <f t="shared" si="6"/>
        <v>19762</v>
      </c>
      <c r="N13" s="686">
        <f t="shared" si="7"/>
        <v>19000</v>
      </c>
      <c r="O13" s="685"/>
      <c r="P13" s="685"/>
      <c r="Q13" s="685"/>
      <c r="R13" s="686">
        <f t="shared" si="8"/>
        <v>138</v>
      </c>
      <c r="S13" s="686">
        <f t="shared" si="9"/>
        <v>76</v>
      </c>
      <c r="T13" s="686">
        <f t="shared" si="9"/>
        <v>62</v>
      </c>
      <c r="U13" s="686">
        <f t="shared" si="10"/>
        <v>38624</v>
      </c>
      <c r="V13" s="683">
        <f t="shared" si="11"/>
        <v>19686</v>
      </c>
      <c r="W13" s="683">
        <f t="shared" si="11"/>
        <v>18938</v>
      </c>
      <c r="X13" s="677">
        <f>'#3. 생잔율'!D11</f>
        <v>0.99580999999999997</v>
      </c>
      <c r="Y13" s="678">
        <f>'#3. 생잔율'!E11</f>
        <v>0.99765499999999996</v>
      </c>
      <c r="Z13" s="679">
        <f t="shared" si="2"/>
        <v>132355</v>
      </c>
      <c r="AA13" s="686">
        <f t="shared" si="3"/>
        <v>71143</v>
      </c>
      <c r="AB13" s="687">
        <f t="shared" si="3"/>
        <v>61212</v>
      </c>
    </row>
    <row r="14" spans="1:28" s="667" customFormat="1" ht="22.5" customHeight="1">
      <c r="A14" s="682" t="s">
        <v>61</v>
      </c>
      <c r="B14" s="683">
        <f t="shared" si="0"/>
        <v>152733</v>
      </c>
      <c r="C14" s="674">
        <f>'충남(''15) 5세 계급별 인구(내포포함)'!C11</f>
        <v>81312</v>
      </c>
      <c r="D14" s="674">
        <f>'충남(''15) 5세 계급별 인구(내포포함)'!D11</f>
        <v>71421</v>
      </c>
      <c r="E14" s="684">
        <f t="shared" si="1"/>
        <v>0.53</v>
      </c>
      <c r="F14" s="684">
        <f t="shared" si="1"/>
        <v>0.47</v>
      </c>
      <c r="G14" s="689">
        <f>'#1. 장래인구 성비'!$D$29</f>
        <v>0.50985197529653947</v>
      </c>
      <c r="H14" s="689">
        <f>'#1. 장래인구 성비'!$E$29</f>
        <v>0.49014802470346047</v>
      </c>
      <c r="I14" s="690">
        <f>'#2. 모의 연령별 출산율'!B12</f>
        <v>46.8</v>
      </c>
      <c r="J14" s="685">
        <f t="shared" si="4"/>
        <v>23.86</v>
      </c>
      <c r="K14" s="685">
        <f t="shared" si="4"/>
        <v>22.94</v>
      </c>
      <c r="L14" s="686">
        <f t="shared" si="5"/>
        <v>16713</v>
      </c>
      <c r="M14" s="686">
        <f t="shared" si="6"/>
        <v>8521</v>
      </c>
      <c r="N14" s="686">
        <f t="shared" si="7"/>
        <v>8192</v>
      </c>
      <c r="O14" s="685"/>
      <c r="P14" s="685"/>
      <c r="Q14" s="685"/>
      <c r="R14" s="686">
        <f t="shared" si="8"/>
        <v>60</v>
      </c>
      <c r="S14" s="686">
        <f t="shared" si="9"/>
        <v>33</v>
      </c>
      <c r="T14" s="686">
        <f t="shared" si="9"/>
        <v>27</v>
      </c>
      <c r="U14" s="686">
        <f t="shared" si="10"/>
        <v>16653</v>
      </c>
      <c r="V14" s="683">
        <f t="shared" si="11"/>
        <v>8488</v>
      </c>
      <c r="W14" s="683">
        <f t="shared" si="11"/>
        <v>8165</v>
      </c>
      <c r="X14" s="677">
        <f>'#3. 생잔율'!D12</f>
        <v>0.99433499999999997</v>
      </c>
      <c r="Y14" s="678">
        <f>'#3. 생잔율'!E12</f>
        <v>0.99687999999999999</v>
      </c>
      <c r="Z14" s="679">
        <f t="shared" si="2"/>
        <v>148708</v>
      </c>
      <c r="AA14" s="686">
        <f t="shared" si="3"/>
        <v>79301</v>
      </c>
      <c r="AB14" s="687">
        <f t="shared" si="3"/>
        <v>69407</v>
      </c>
    </row>
    <row r="15" spans="1:28" s="667" customFormat="1" ht="22.5" customHeight="1">
      <c r="A15" s="682" t="s">
        <v>60</v>
      </c>
      <c r="B15" s="683">
        <f t="shared" si="0"/>
        <v>166754</v>
      </c>
      <c r="C15" s="674">
        <f>'충남(''15) 5세 계급별 인구(내포포함)'!C12</f>
        <v>88723</v>
      </c>
      <c r="D15" s="674">
        <f>'충남(''15) 5세 계급별 인구(내포포함)'!D12</f>
        <v>78031</v>
      </c>
      <c r="E15" s="684">
        <f t="shared" si="1"/>
        <v>0.53</v>
      </c>
      <c r="F15" s="684">
        <f t="shared" si="1"/>
        <v>0.47</v>
      </c>
      <c r="G15" s="689">
        <f>'#1. 장래인구 성비'!$D$29</f>
        <v>0.50985197529653947</v>
      </c>
      <c r="H15" s="689">
        <f>'#1. 장래인구 성비'!$E$29</f>
        <v>0.49014802470346047</v>
      </c>
      <c r="I15" s="690">
        <f>'#2. 모의 연령별 출산율'!B13</f>
        <v>7.0000000000000009</v>
      </c>
      <c r="J15" s="685">
        <f t="shared" si="4"/>
        <v>3.57</v>
      </c>
      <c r="K15" s="685">
        <f t="shared" si="4"/>
        <v>3.43</v>
      </c>
      <c r="L15" s="686">
        <f t="shared" si="5"/>
        <v>2731</v>
      </c>
      <c r="M15" s="686">
        <f t="shared" si="6"/>
        <v>1393</v>
      </c>
      <c r="N15" s="686">
        <f t="shared" si="7"/>
        <v>1338</v>
      </c>
      <c r="O15" s="685"/>
      <c r="P15" s="685"/>
      <c r="Q15" s="685"/>
      <c r="R15" s="686">
        <f t="shared" si="8"/>
        <v>9</v>
      </c>
      <c r="S15" s="686">
        <f t="shared" si="9"/>
        <v>5</v>
      </c>
      <c r="T15" s="686">
        <f t="shared" si="9"/>
        <v>4</v>
      </c>
      <c r="U15" s="686">
        <f t="shared" si="10"/>
        <v>2722</v>
      </c>
      <c r="V15" s="683">
        <f t="shared" si="11"/>
        <v>1388</v>
      </c>
      <c r="W15" s="683">
        <f t="shared" si="11"/>
        <v>1334</v>
      </c>
      <c r="X15" s="677">
        <f>'#3. 생잔율'!D13</f>
        <v>0.99065499999999995</v>
      </c>
      <c r="Y15" s="678">
        <f>'#3. 생잔율'!E13</f>
        <v>0.99560499999999996</v>
      </c>
      <c r="Z15" s="679">
        <f t="shared" si="2"/>
        <v>160169</v>
      </c>
      <c r="AA15" s="686">
        <f t="shared" si="3"/>
        <v>85077</v>
      </c>
      <c r="AB15" s="687">
        <f t="shared" si="3"/>
        <v>75092</v>
      </c>
    </row>
    <row r="16" spans="1:28" s="667" customFormat="1" ht="22.5" customHeight="1">
      <c r="A16" s="682" t="s">
        <v>59</v>
      </c>
      <c r="B16" s="683">
        <f t="shared" si="0"/>
        <v>166354</v>
      </c>
      <c r="C16" s="674">
        <f>'충남(''15) 5세 계급별 인구(내포포함)'!C13</f>
        <v>88745</v>
      </c>
      <c r="D16" s="674">
        <f>'충남(''15) 5세 계급별 인구(내포포함)'!D13</f>
        <v>77609</v>
      </c>
      <c r="E16" s="684">
        <f t="shared" si="1"/>
        <v>0.53</v>
      </c>
      <c r="F16" s="684">
        <f t="shared" si="1"/>
        <v>0.47</v>
      </c>
      <c r="G16" s="689">
        <f>'#1. 장래인구 성비'!$D$29</f>
        <v>0.50985197529653947</v>
      </c>
      <c r="H16" s="689">
        <f>'#1. 장래인구 성비'!$E$29</f>
        <v>0.49014802470346047</v>
      </c>
      <c r="I16" s="690">
        <f>'#2. 모의 연령별 출산율'!B14</f>
        <v>0.32</v>
      </c>
      <c r="J16" s="685">
        <f t="shared" si="4"/>
        <v>0.16</v>
      </c>
      <c r="K16" s="685">
        <f t="shared" si="4"/>
        <v>0.16</v>
      </c>
      <c r="L16" s="686">
        <f t="shared" si="5"/>
        <v>124</v>
      </c>
      <c r="M16" s="686">
        <f t="shared" si="6"/>
        <v>62</v>
      </c>
      <c r="N16" s="686">
        <f t="shared" si="7"/>
        <v>62</v>
      </c>
      <c r="O16" s="685"/>
      <c r="P16" s="685"/>
      <c r="Q16" s="685"/>
      <c r="R16" s="686">
        <f t="shared" si="8"/>
        <v>0</v>
      </c>
      <c r="S16" s="686">
        <f t="shared" si="9"/>
        <v>0</v>
      </c>
      <c r="T16" s="686">
        <f t="shared" si="9"/>
        <v>0</v>
      </c>
      <c r="U16" s="686">
        <f t="shared" si="10"/>
        <v>124</v>
      </c>
      <c r="V16" s="683">
        <f t="shared" si="11"/>
        <v>62</v>
      </c>
      <c r="W16" s="683">
        <f t="shared" si="11"/>
        <v>62</v>
      </c>
      <c r="X16" s="677">
        <f>'#3. 생잔율'!D14</f>
        <v>0.98433999999999999</v>
      </c>
      <c r="Y16" s="678">
        <f>'#3. 생잔율'!E14</f>
        <v>0.99421000000000004</v>
      </c>
      <c r="Z16" s="679">
        <f t="shared" si="2"/>
        <v>164942</v>
      </c>
      <c r="AA16" s="686">
        <f t="shared" si="3"/>
        <v>87571</v>
      </c>
      <c r="AB16" s="687">
        <f t="shared" si="3"/>
        <v>77371</v>
      </c>
    </row>
    <row r="17" spans="1:28" s="667" customFormat="1" ht="22.5" customHeight="1">
      <c r="A17" s="682" t="s">
        <v>58</v>
      </c>
      <c r="B17" s="683">
        <f t="shared" si="0"/>
        <v>163567</v>
      </c>
      <c r="C17" s="674">
        <f>'충남(''15) 5세 계급별 인구(내포포함)'!C14</f>
        <v>86421</v>
      </c>
      <c r="D17" s="674">
        <f>'충남(''15) 5세 계급별 인구(내포포함)'!D14</f>
        <v>77146</v>
      </c>
      <c r="E17" s="684">
        <f t="shared" si="1"/>
        <v>0.53</v>
      </c>
      <c r="F17" s="684">
        <f t="shared" si="1"/>
        <v>0.47</v>
      </c>
      <c r="G17" s="692"/>
      <c r="H17" s="683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5"/>
      <c r="V17" s="685"/>
      <c r="W17" s="685"/>
      <c r="X17" s="677">
        <f>'#3. 생잔율'!D15</f>
        <v>0.97801000000000005</v>
      </c>
      <c r="Y17" s="678">
        <f>'#3. 생잔율'!E15</f>
        <v>0.99126999999999998</v>
      </c>
      <c r="Z17" s="679">
        <f t="shared" si="2"/>
        <v>162401</v>
      </c>
      <c r="AA17" s="686">
        <f t="shared" si="3"/>
        <v>85654</v>
      </c>
      <c r="AB17" s="687">
        <f t="shared" si="3"/>
        <v>76747</v>
      </c>
    </row>
    <row r="18" spans="1:28" s="667" customFormat="1" ht="22.5" customHeight="1">
      <c r="A18" s="682" t="s">
        <v>57</v>
      </c>
      <c r="B18" s="683">
        <f t="shared" si="0"/>
        <v>155290</v>
      </c>
      <c r="C18" s="674">
        <f>'충남(''15) 5세 계급별 인구(내포포함)'!C15</f>
        <v>79290</v>
      </c>
      <c r="D18" s="674">
        <f>'충남(''15) 5세 계급별 인구(내포포함)'!D15</f>
        <v>76000</v>
      </c>
      <c r="E18" s="684">
        <f t="shared" si="1"/>
        <v>0.51</v>
      </c>
      <c r="F18" s="684">
        <f t="shared" si="1"/>
        <v>0.49</v>
      </c>
      <c r="G18" s="683"/>
      <c r="H18" s="683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685"/>
      <c r="X18" s="677">
        <f>'#3. 생잔율'!D16</f>
        <v>0.96704000000000001</v>
      </c>
      <c r="Y18" s="678">
        <f>'#3. 생잔율'!E16</f>
        <v>0.98912</v>
      </c>
      <c r="Z18" s="679">
        <f t="shared" si="2"/>
        <v>155507</v>
      </c>
      <c r="AA18" s="686">
        <f t="shared" si="3"/>
        <v>79814</v>
      </c>
      <c r="AB18" s="687">
        <f t="shared" si="3"/>
        <v>75693</v>
      </c>
    </row>
    <row r="19" spans="1:28" s="667" customFormat="1" ht="22.5" customHeight="1">
      <c r="A19" s="682" t="s">
        <v>56</v>
      </c>
      <c r="B19" s="683">
        <f t="shared" si="0"/>
        <v>116878</v>
      </c>
      <c r="C19" s="674">
        <f>'충남(''15) 5세 계급별 인구(내포포함)'!C16</f>
        <v>57939</v>
      </c>
      <c r="D19" s="674">
        <f>'충남(''15) 5세 계급별 인구(내포포함)'!D16</f>
        <v>58939</v>
      </c>
      <c r="E19" s="684">
        <f t="shared" si="1"/>
        <v>0.5</v>
      </c>
      <c r="F19" s="684">
        <f t="shared" si="1"/>
        <v>0.5</v>
      </c>
      <c r="G19" s="683"/>
      <c r="H19" s="683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685"/>
      <c r="X19" s="677">
        <f>'#3. 생잔율'!D17</f>
        <v>0.95233500000000004</v>
      </c>
      <c r="Y19" s="678">
        <f>'#3. 생잔율'!E17</f>
        <v>0.98426999999999998</v>
      </c>
      <c r="Z19" s="679">
        <f t="shared" si="2"/>
        <v>128653</v>
      </c>
      <c r="AA19" s="686">
        <f t="shared" si="3"/>
        <v>63777</v>
      </c>
      <c r="AB19" s="687">
        <f t="shared" si="3"/>
        <v>64876</v>
      </c>
    </row>
    <row r="20" spans="1:28" s="667" customFormat="1" ht="22.5" customHeight="1">
      <c r="A20" s="682" t="s">
        <v>55</v>
      </c>
      <c r="B20" s="683">
        <f t="shared" si="0"/>
        <v>95903</v>
      </c>
      <c r="C20" s="674">
        <f>'충남(''15) 5세 계급별 인구(내포포함)'!C17</f>
        <v>46839</v>
      </c>
      <c r="D20" s="674">
        <f>'충남(''15) 5세 계급별 인구(내포포함)'!D17</f>
        <v>49064</v>
      </c>
      <c r="E20" s="684">
        <f t="shared" si="1"/>
        <v>0.49</v>
      </c>
      <c r="F20" s="684">
        <f t="shared" si="1"/>
        <v>0.51</v>
      </c>
      <c r="G20" s="683"/>
      <c r="H20" s="683"/>
      <c r="I20" s="685"/>
      <c r="J20" s="685"/>
      <c r="K20" s="685"/>
      <c r="L20" s="685"/>
      <c r="M20" s="685"/>
      <c r="N20" s="685"/>
      <c r="O20" s="685"/>
      <c r="P20" s="685"/>
      <c r="Q20" s="685"/>
      <c r="R20" s="685"/>
      <c r="S20" s="685"/>
      <c r="T20" s="685"/>
      <c r="U20" s="685"/>
      <c r="V20" s="685"/>
      <c r="W20" s="685"/>
      <c r="X20" s="677">
        <f>'#3. 생잔율'!D18</f>
        <v>0.93345</v>
      </c>
      <c r="Y20" s="678">
        <f>'#3. 생잔율'!E18</f>
        <v>0.97440000000000004</v>
      </c>
      <c r="Z20" s="679">
        <f t="shared" si="2"/>
        <v>100194</v>
      </c>
      <c r="AA20" s="686">
        <f t="shared" si="3"/>
        <v>48304</v>
      </c>
      <c r="AB20" s="687">
        <f t="shared" si="3"/>
        <v>51890</v>
      </c>
    </row>
    <row r="21" spans="1:28" s="667" customFormat="1" ht="22.5" customHeight="1">
      <c r="A21" s="682" t="s">
        <v>54</v>
      </c>
      <c r="B21" s="683">
        <f t="shared" si="0"/>
        <v>84428</v>
      </c>
      <c r="C21" s="674">
        <f>'충남(''15) 5세 계급별 인구(내포포함)'!C18</f>
        <v>36879</v>
      </c>
      <c r="D21" s="674">
        <f>'충남(''15) 5세 계급별 인구(내포포함)'!D18</f>
        <v>47549</v>
      </c>
      <c r="E21" s="684">
        <f t="shared" si="1"/>
        <v>0.44</v>
      </c>
      <c r="F21" s="684">
        <f t="shared" si="1"/>
        <v>0.56000000000000005</v>
      </c>
      <c r="G21" s="683"/>
      <c r="H21" s="683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77">
        <f>'#3. 생잔율'!D19</f>
        <v>0.87794499999999998</v>
      </c>
      <c r="Y21" s="678">
        <f>'#3. 생잔율'!E19</f>
        <v>0.95304</v>
      </c>
      <c r="Z21" s="679">
        <f t="shared" si="2"/>
        <v>83228</v>
      </c>
      <c r="AA21" s="686">
        <f t="shared" si="3"/>
        <v>36915</v>
      </c>
      <c r="AB21" s="687">
        <f t="shared" si="3"/>
        <v>46313</v>
      </c>
    </row>
    <row r="22" spans="1:28" s="667" customFormat="1" ht="22.5" customHeight="1">
      <c r="A22" s="682" t="s">
        <v>53</v>
      </c>
      <c r="B22" s="683">
        <f t="shared" si="0"/>
        <v>76011</v>
      </c>
      <c r="C22" s="674">
        <f>'충남(''15) 5세 계급별 인구(내포포함)'!C19</f>
        <v>30680</v>
      </c>
      <c r="D22" s="674">
        <f>'충남(''15) 5세 계급별 인구(내포포함)'!D19</f>
        <v>45331</v>
      </c>
      <c r="E22" s="684">
        <f t="shared" si="1"/>
        <v>0.4</v>
      </c>
      <c r="F22" s="684">
        <f t="shared" si="1"/>
        <v>0.6</v>
      </c>
      <c r="G22" s="683"/>
      <c r="H22" s="683"/>
      <c r="I22" s="685"/>
      <c r="J22" s="685"/>
      <c r="K22" s="685"/>
      <c r="L22" s="685"/>
      <c r="M22" s="685"/>
      <c r="N22" s="685"/>
      <c r="O22" s="685"/>
      <c r="P22" s="685"/>
      <c r="Q22" s="685"/>
      <c r="R22" s="685"/>
      <c r="S22" s="685"/>
      <c r="T22" s="685"/>
      <c r="U22" s="685"/>
      <c r="V22" s="685"/>
      <c r="W22" s="685"/>
      <c r="X22" s="677">
        <f>'#3. 생잔율'!D20</f>
        <v>0.78728500000000001</v>
      </c>
      <c r="Y22" s="678">
        <f>'#3. 생잔율'!E20</f>
        <v>0.91356499999999996</v>
      </c>
      <c r="Z22" s="679">
        <f t="shared" si="2"/>
        <v>70417</v>
      </c>
      <c r="AA22" s="686">
        <f t="shared" si="3"/>
        <v>27443</v>
      </c>
      <c r="AB22" s="687">
        <f t="shared" si="3"/>
        <v>42974</v>
      </c>
    </row>
    <row r="23" spans="1:28" s="667" customFormat="1" ht="22.5" customHeight="1">
      <c r="A23" s="682" t="s">
        <v>52</v>
      </c>
      <c r="B23" s="683">
        <f t="shared" si="0"/>
        <v>52160</v>
      </c>
      <c r="C23" s="674">
        <f>'충남(''15) 5세 계급별 인구(내포포함)'!C20</f>
        <v>18760</v>
      </c>
      <c r="D23" s="674">
        <f>'충남(''15) 5세 계급별 인구(내포포함)'!D20</f>
        <v>33400</v>
      </c>
      <c r="E23" s="684">
        <f t="shared" si="1"/>
        <v>0.36</v>
      </c>
      <c r="F23" s="684">
        <f t="shared" si="1"/>
        <v>0.64</v>
      </c>
      <c r="G23" s="683"/>
      <c r="H23" s="683"/>
      <c r="I23" s="685"/>
      <c r="J23" s="685"/>
      <c r="K23" s="685"/>
      <c r="L23" s="685"/>
      <c r="M23" s="685"/>
      <c r="N23" s="685"/>
      <c r="O23" s="685"/>
      <c r="P23" s="685"/>
      <c r="Q23" s="685"/>
      <c r="R23" s="685"/>
      <c r="S23" s="685"/>
      <c r="T23" s="685"/>
      <c r="U23" s="685"/>
      <c r="V23" s="685"/>
      <c r="W23" s="685"/>
      <c r="X23" s="677">
        <f>'#3. 생잔율'!D21</f>
        <v>0.64532500000000004</v>
      </c>
      <c r="Y23" s="678">
        <f>'#3. 생잔율'!E21</f>
        <v>0.84540999999999999</v>
      </c>
      <c r="Z23" s="679">
        <f t="shared" si="2"/>
        <v>50432</v>
      </c>
      <c r="AA23" s="686">
        <f t="shared" si="3"/>
        <v>16925</v>
      </c>
      <c r="AB23" s="687">
        <f t="shared" si="3"/>
        <v>33507</v>
      </c>
    </row>
    <row r="24" spans="1:28" s="667" customFormat="1" ht="22.5" customHeight="1">
      <c r="A24" s="682" t="s">
        <v>713</v>
      </c>
      <c r="B24" s="683">
        <f t="shared" si="0"/>
        <v>22599</v>
      </c>
      <c r="C24" s="674">
        <f>'충남(''15) 5세 계급별 인구(내포포함)'!C21</f>
        <v>6605</v>
      </c>
      <c r="D24" s="674">
        <f>'충남(''15) 5세 계급별 인구(내포포함)'!D21</f>
        <v>15994</v>
      </c>
      <c r="E24" s="684">
        <f t="shared" si="1"/>
        <v>0.28999999999999998</v>
      </c>
      <c r="F24" s="684">
        <f t="shared" si="1"/>
        <v>0.71</v>
      </c>
      <c r="G24" s="683"/>
      <c r="H24" s="683"/>
      <c r="I24" s="685"/>
      <c r="J24" s="685"/>
      <c r="K24" s="685"/>
      <c r="L24" s="685"/>
      <c r="M24" s="685"/>
      <c r="N24" s="685"/>
      <c r="O24" s="685"/>
      <c r="P24" s="685"/>
      <c r="Q24" s="685"/>
      <c r="R24" s="685"/>
      <c r="S24" s="685"/>
      <c r="T24" s="685"/>
      <c r="U24" s="685"/>
      <c r="V24" s="685"/>
      <c r="W24" s="685"/>
      <c r="X24" s="677">
        <f>'#3. 생잔율'!D22</f>
        <v>0.45433500000000004</v>
      </c>
      <c r="Y24" s="678">
        <f>'#3. 생잔율'!E22</f>
        <v>0.73361999999999994</v>
      </c>
      <c r="Z24" s="679">
        <f t="shared" si="2"/>
        <v>24978</v>
      </c>
      <c r="AA24" s="686">
        <f t="shared" si="3"/>
        <v>6643</v>
      </c>
      <c r="AB24" s="687">
        <f t="shared" si="3"/>
        <v>18335</v>
      </c>
    </row>
    <row r="25" spans="1:28" s="667" customFormat="1" ht="22.5" customHeight="1">
      <c r="A25" s="693" t="s">
        <v>714</v>
      </c>
      <c r="B25" s="683">
        <f t="shared" si="0"/>
        <v>7721</v>
      </c>
      <c r="C25" s="674">
        <f>'충남(''15) 5세 계급별 인구(내포포함)'!C22</f>
        <v>1839</v>
      </c>
      <c r="D25" s="674">
        <f>'충남(''15) 5세 계급별 인구(내포포함)'!D22</f>
        <v>5882</v>
      </c>
      <c r="E25" s="684">
        <f t="shared" ref="E25:F27" si="12">ROUND(C25/$B25,2)</f>
        <v>0.24</v>
      </c>
      <c r="F25" s="684">
        <f t="shared" si="12"/>
        <v>0.76</v>
      </c>
      <c r="G25" s="694"/>
      <c r="H25" s="694"/>
      <c r="I25" s="695"/>
      <c r="J25" s="695"/>
      <c r="K25" s="695"/>
      <c r="L25" s="695"/>
      <c r="M25" s="695"/>
      <c r="N25" s="695"/>
      <c r="O25" s="695"/>
      <c r="P25" s="695"/>
      <c r="Q25" s="695"/>
      <c r="R25" s="695"/>
      <c r="S25" s="695"/>
      <c r="T25" s="695"/>
      <c r="U25" s="695"/>
      <c r="V25" s="695"/>
      <c r="W25" s="695"/>
      <c r="X25" s="677">
        <f>'#3. 생잔율'!D23</f>
        <v>0.25079499999999999</v>
      </c>
      <c r="Y25" s="678">
        <f>'#3. 생잔율'!E23</f>
        <v>0.56887500000000002</v>
      </c>
      <c r="Z25" s="679">
        <f t="shared" si="2"/>
        <v>8178</v>
      </c>
      <c r="AA25" s="686">
        <f t="shared" si="3"/>
        <v>1477</v>
      </c>
      <c r="AB25" s="687">
        <f t="shared" si="3"/>
        <v>6701</v>
      </c>
    </row>
    <row r="26" spans="1:28" s="667" customFormat="1" ht="22.5" customHeight="1">
      <c r="A26" s="693" t="s">
        <v>715</v>
      </c>
      <c r="B26" s="683">
        <f t="shared" si="0"/>
        <v>1712</v>
      </c>
      <c r="C26" s="674">
        <f>'충남(''15) 5세 계급별 인구(내포포함)'!C23</f>
        <v>360</v>
      </c>
      <c r="D26" s="674">
        <f>'충남(''15) 5세 계급별 인구(내포포함)'!D23</f>
        <v>1352</v>
      </c>
      <c r="E26" s="684">
        <f t="shared" si="12"/>
        <v>0.21</v>
      </c>
      <c r="F26" s="684">
        <f t="shared" si="12"/>
        <v>0.79</v>
      </c>
      <c r="G26" s="694"/>
      <c r="H26" s="694"/>
      <c r="I26" s="695"/>
      <c r="J26" s="695"/>
      <c r="K26" s="695"/>
      <c r="L26" s="695"/>
      <c r="M26" s="695"/>
      <c r="N26" s="695"/>
      <c r="O26" s="695"/>
      <c r="P26" s="695"/>
      <c r="Q26" s="695"/>
      <c r="R26" s="695"/>
      <c r="S26" s="695"/>
      <c r="T26" s="695"/>
      <c r="U26" s="695"/>
      <c r="V26" s="695"/>
      <c r="W26" s="695"/>
      <c r="X26" s="677">
        <f>'#3. 생잔율'!D24</f>
        <v>9.7204999999999986E-2</v>
      </c>
      <c r="Y26" s="678">
        <f>'#3. 생잔율'!E24</f>
        <v>0.365815</v>
      </c>
      <c r="Z26" s="679">
        <f t="shared" si="2"/>
        <v>1840</v>
      </c>
      <c r="AA26" s="686">
        <f t="shared" si="3"/>
        <v>205</v>
      </c>
      <c r="AB26" s="687">
        <f t="shared" si="3"/>
        <v>1635</v>
      </c>
    </row>
    <row r="27" spans="1:28" s="667" customFormat="1" ht="22.5" customHeight="1">
      <c r="A27" s="693" t="s">
        <v>716</v>
      </c>
      <c r="B27" s="683">
        <f t="shared" si="0"/>
        <v>680</v>
      </c>
      <c r="C27" s="674">
        <f>'충남(''15) 5세 계급별 인구(내포포함)'!C24</f>
        <v>145</v>
      </c>
      <c r="D27" s="674">
        <f>'충남(''15) 5세 계급별 인구(내포포함)'!D24</f>
        <v>535</v>
      </c>
      <c r="E27" s="684">
        <f t="shared" si="12"/>
        <v>0.21</v>
      </c>
      <c r="F27" s="684">
        <f t="shared" si="12"/>
        <v>0.79</v>
      </c>
      <c r="G27" s="694"/>
      <c r="H27" s="694"/>
      <c r="I27" s="695"/>
      <c r="J27" s="695"/>
      <c r="K27" s="695"/>
      <c r="L27" s="695"/>
      <c r="M27" s="695"/>
      <c r="N27" s="695"/>
      <c r="O27" s="695"/>
      <c r="P27" s="695"/>
      <c r="Q27" s="695"/>
      <c r="R27" s="695"/>
      <c r="S27" s="695"/>
      <c r="T27" s="695"/>
      <c r="U27" s="695"/>
      <c r="V27" s="695"/>
      <c r="W27" s="695"/>
      <c r="X27" s="677">
        <f>'#3. 생잔율'!D25</f>
        <v>0</v>
      </c>
      <c r="Y27" s="678">
        <f>'#3. 생잔율'!E25</f>
        <v>0</v>
      </c>
      <c r="Z27" s="679">
        <f t="shared" si="2"/>
        <v>212</v>
      </c>
      <c r="AA27" s="686">
        <f t="shared" si="3"/>
        <v>14</v>
      </c>
      <c r="AB27" s="687">
        <f t="shared" si="3"/>
        <v>198</v>
      </c>
    </row>
    <row r="28" spans="1:28" s="667" customFormat="1" ht="22.5" customHeight="1">
      <c r="A28" s="696" t="s">
        <v>50</v>
      </c>
      <c r="B28" s="697">
        <f>SUM(B7:B27)</f>
        <v>2077649</v>
      </c>
      <c r="C28" s="706">
        <f>SUM(C7:C27)</f>
        <v>1054439</v>
      </c>
      <c r="D28" s="706">
        <f>SUM(D7:D27)</f>
        <v>1023210</v>
      </c>
      <c r="E28" s="699"/>
      <c r="F28" s="699"/>
      <c r="G28" s="699"/>
      <c r="H28" s="699"/>
      <c r="I28" s="698"/>
      <c r="J28" s="699"/>
      <c r="K28" s="699"/>
      <c r="L28" s="698">
        <f xml:space="preserve"> SUM(L10:L24)</f>
        <v>81678</v>
      </c>
      <c r="M28" s="699"/>
      <c r="N28" s="699"/>
      <c r="O28" s="699"/>
      <c r="P28" s="699"/>
      <c r="Q28" s="699"/>
      <c r="R28" s="698">
        <f t="shared" ref="R28:W28" si="13">SUM(R10:R24)</f>
        <v>291</v>
      </c>
      <c r="S28" s="698">
        <f t="shared" si="13"/>
        <v>160</v>
      </c>
      <c r="T28" s="698">
        <f t="shared" si="13"/>
        <v>131</v>
      </c>
      <c r="U28" s="698">
        <f t="shared" si="13"/>
        <v>81387</v>
      </c>
      <c r="V28" s="698">
        <f t="shared" si="13"/>
        <v>41483</v>
      </c>
      <c r="W28" s="698">
        <f t="shared" si="13"/>
        <v>39904</v>
      </c>
      <c r="X28" s="699"/>
      <c r="Y28" s="700"/>
      <c r="Z28" s="701">
        <f t="shared" si="2"/>
        <v>2097267</v>
      </c>
      <c r="AA28" s="698">
        <f>SUM(AA7:AA27)</f>
        <v>1058812</v>
      </c>
      <c r="AB28" s="698">
        <f>SUM(AB7:AB27)</f>
        <v>1038455</v>
      </c>
    </row>
    <row r="29" spans="1:28" s="667" customFormat="1" ht="22.5" customHeight="1">
      <c r="Z29" s="702"/>
    </row>
    <row r="30" spans="1:28" s="667" customFormat="1" ht="22.5" customHeight="1">
      <c r="A30" s="997" t="s">
        <v>10</v>
      </c>
      <c r="B30" s="999">
        <f>Z5</f>
        <v>2020</v>
      </c>
      <c r="C30" s="999"/>
      <c r="D30" s="999"/>
      <c r="E30" s="996" t="s">
        <v>74</v>
      </c>
      <c r="F30" s="996"/>
      <c r="G30" s="996" t="s">
        <v>84</v>
      </c>
      <c r="H30" s="996"/>
      <c r="I30" s="1000" t="s">
        <v>247</v>
      </c>
      <c r="J30" s="1000"/>
      <c r="K30" s="1000"/>
      <c r="L30" s="1005">
        <v>5</v>
      </c>
      <c r="M30" s="1005"/>
      <c r="N30" s="1005"/>
      <c r="O30" s="996" t="s">
        <v>83</v>
      </c>
      <c r="P30" s="996"/>
      <c r="Q30" s="996"/>
      <c r="R30" s="996" t="s">
        <v>71</v>
      </c>
      <c r="S30" s="996"/>
      <c r="T30" s="996"/>
      <c r="U30" s="996" t="s">
        <v>70</v>
      </c>
      <c r="V30" s="996"/>
      <c r="W30" s="996"/>
      <c r="X30" s="996" t="s">
        <v>82</v>
      </c>
      <c r="Y30" s="1004"/>
      <c r="Z30" s="1001">
        <f>B30+L30</f>
        <v>2025</v>
      </c>
      <c r="AA30" s="1002"/>
      <c r="AB30" s="1003"/>
    </row>
    <row r="31" spans="1:28" s="672" customFormat="1" ht="22.5" customHeight="1">
      <c r="A31" s="998"/>
      <c r="B31" s="668" t="s">
        <v>19</v>
      </c>
      <c r="C31" s="668" t="s">
        <v>76</v>
      </c>
      <c r="D31" s="668" t="s">
        <v>75</v>
      </c>
      <c r="E31" s="668" t="s">
        <v>76</v>
      </c>
      <c r="F31" s="668" t="s">
        <v>75</v>
      </c>
      <c r="G31" s="668" t="s">
        <v>76</v>
      </c>
      <c r="H31" s="668" t="s">
        <v>75</v>
      </c>
      <c r="I31" s="668" t="s">
        <v>19</v>
      </c>
      <c r="J31" s="668" t="s">
        <v>76</v>
      </c>
      <c r="K31" s="668" t="s">
        <v>75</v>
      </c>
      <c r="L31" s="668" t="s">
        <v>19</v>
      </c>
      <c r="M31" s="668" t="s">
        <v>76</v>
      </c>
      <c r="N31" s="668" t="s">
        <v>75</v>
      </c>
      <c r="O31" s="668" t="s">
        <v>19</v>
      </c>
      <c r="P31" s="668" t="s">
        <v>76</v>
      </c>
      <c r="Q31" s="668" t="s">
        <v>75</v>
      </c>
      <c r="R31" s="668" t="s">
        <v>19</v>
      </c>
      <c r="S31" s="668" t="s">
        <v>76</v>
      </c>
      <c r="T31" s="668" t="s">
        <v>75</v>
      </c>
      <c r="U31" s="668" t="s">
        <v>19</v>
      </c>
      <c r="V31" s="668" t="s">
        <v>76</v>
      </c>
      <c r="W31" s="668" t="s">
        <v>75</v>
      </c>
      <c r="X31" s="668" t="s">
        <v>76</v>
      </c>
      <c r="Y31" s="669" t="s">
        <v>75</v>
      </c>
      <c r="Z31" s="670" t="s">
        <v>19</v>
      </c>
      <c r="AA31" s="668" t="s">
        <v>76</v>
      </c>
      <c r="AB31" s="671" t="s">
        <v>75</v>
      </c>
    </row>
    <row r="32" spans="1:28" s="667" customFormat="1" ht="22.5" customHeight="1">
      <c r="A32" s="673" t="str">
        <f>A7</f>
        <v>0~4</v>
      </c>
      <c r="B32" s="674">
        <f t="shared" ref="B32:B52" si="14">SUM(C32:D32)</f>
        <v>139657</v>
      </c>
      <c r="C32" s="674">
        <f t="shared" ref="C32:D49" si="15">AA7</f>
        <v>71454</v>
      </c>
      <c r="D32" s="674">
        <f t="shared" si="15"/>
        <v>68203</v>
      </c>
      <c r="E32" s="675">
        <f t="shared" ref="E32:F52" si="16">ROUND(C32/$B32,2)</f>
        <v>0.51</v>
      </c>
      <c r="F32" s="675">
        <f t="shared" si="16"/>
        <v>0.49</v>
      </c>
      <c r="G32" s="674"/>
      <c r="H32" s="674"/>
      <c r="I32" s="676"/>
      <c r="J32" s="676"/>
      <c r="K32" s="676"/>
      <c r="L32" s="676"/>
      <c r="M32" s="676"/>
      <c r="N32" s="676"/>
      <c r="O32" s="676">
        <f>AVERAGE(P32:Q32)</f>
        <v>3.2675E-3</v>
      </c>
      <c r="P32" s="676">
        <f>'#3. 생잔율'!F4</f>
        <v>3.5399999999999997E-3</v>
      </c>
      <c r="Q32" s="676">
        <f>'#3. 생잔율'!G4</f>
        <v>2.9950000000000003E-3</v>
      </c>
      <c r="R32" s="676"/>
      <c r="S32" s="676"/>
      <c r="T32" s="676"/>
      <c r="U32" s="676"/>
      <c r="V32" s="676"/>
      <c r="W32" s="676"/>
      <c r="X32" s="677">
        <f>'#3. 생잔율'!H5</f>
        <v>0.99966999999999995</v>
      </c>
      <c r="Y32" s="678">
        <f>'#3. 생잔율'!I5</f>
        <v>0.99940499999999999</v>
      </c>
      <c r="Z32" s="679">
        <f t="shared" ref="Z32:Z53" si="17">SUM(AA32:AB32)</f>
        <v>84007</v>
      </c>
      <c r="AA32" s="680">
        <f>ROUND(V53,0)</f>
        <v>42762</v>
      </c>
      <c r="AB32" s="681">
        <f>ROUND(W53,0)</f>
        <v>41245</v>
      </c>
    </row>
    <row r="33" spans="1:28" s="667" customFormat="1" ht="22.5" customHeight="1">
      <c r="A33" s="673" t="str">
        <f t="shared" ref="A33:A52" si="18">A8</f>
        <v>5~9</v>
      </c>
      <c r="B33" s="683">
        <f t="shared" si="14"/>
        <v>98859</v>
      </c>
      <c r="C33" s="683">
        <f t="shared" si="15"/>
        <v>51058</v>
      </c>
      <c r="D33" s="683">
        <f t="shared" si="15"/>
        <v>47801</v>
      </c>
      <c r="E33" s="684">
        <f t="shared" si="16"/>
        <v>0.52</v>
      </c>
      <c r="F33" s="684">
        <f t="shared" si="16"/>
        <v>0.48</v>
      </c>
      <c r="G33" s="683"/>
      <c r="H33" s="683"/>
      <c r="I33" s="685"/>
      <c r="J33" s="685"/>
      <c r="K33" s="685"/>
      <c r="L33" s="685"/>
      <c r="M33" s="685"/>
      <c r="N33" s="685"/>
      <c r="O33" s="685"/>
      <c r="P33" s="685"/>
      <c r="Q33" s="685"/>
      <c r="R33" s="685"/>
      <c r="S33" s="685"/>
      <c r="T33" s="685"/>
      <c r="U33" s="685"/>
      <c r="V33" s="685"/>
      <c r="W33" s="685"/>
      <c r="X33" s="677">
        <f>'#3. 생잔율'!H6</f>
        <v>0.99968500000000005</v>
      </c>
      <c r="Y33" s="678">
        <f>'#3. 생잔율'!I6</f>
        <v>0.99982000000000004</v>
      </c>
      <c r="Z33" s="703">
        <f t="shared" si="17"/>
        <v>139592</v>
      </c>
      <c r="AA33" s="686">
        <f t="shared" ref="AA33:AB48" si="19">ROUND(C32*X32,0)</f>
        <v>71430</v>
      </c>
      <c r="AB33" s="687">
        <f t="shared" si="19"/>
        <v>68162</v>
      </c>
    </row>
    <row r="34" spans="1:28" s="667" customFormat="1" ht="22.5" customHeight="1">
      <c r="A34" s="673" t="str">
        <f t="shared" si="18"/>
        <v>10~14</v>
      </c>
      <c r="B34" s="683">
        <f t="shared" si="14"/>
        <v>100561</v>
      </c>
      <c r="C34" s="683">
        <f t="shared" si="15"/>
        <v>52101</v>
      </c>
      <c r="D34" s="683">
        <f t="shared" si="15"/>
        <v>48460</v>
      </c>
      <c r="E34" s="684">
        <f t="shared" si="16"/>
        <v>0.52</v>
      </c>
      <c r="F34" s="684">
        <f t="shared" si="16"/>
        <v>0.48</v>
      </c>
      <c r="G34" s="683"/>
      <c r="H34" s="683"/>
      <c r="I34" s="685"/>
      <c r="J34" s="685"/>
      <c r="K34" s="685"/>
      <c r="L34" s="685"/>
      <c r="M34" s="685"/>
      <c r="N34" s="685"/>
      <c r="O34" s="685"/>
      <c r="P34" s="685"/>
      <c r="Q34" s="685"/>
      <c r="R34" s="685"/>
      <c r="S34" s="685"/>
      <c r="T34" s="685"/>
      <c r="U34" s="685"/>
      <c r="V34" s="685"/>
      <c r="W34" s="685"/>
      <c r="X34" s="677">
        <f>'#3. 생잔율'!H7</f>
        <v>0.99951500000000004</v>
      </c>
      <c r="Y34" s="678">
        <f>'#3. 생잔율'!I7</f>
        <v>0.99987000000000004</v>
      </c>
      <c r="Z34" s="703">
        <f t="shared" si="17"/>
        <v>98834</v>
      </c>
      <c r="AA34" s="686">
        <f t="shared" si="19"/>
        <v>51042</v>
      </c>
      <c r="AB34" s="687">
        <f t="shared" si="19"/>
        <v>47792</v>
      </c>
    </row>
    <row r="35" spans="1:28" s="667" customFormat="1" ht="22.5" customHeight="1">
      <c r="A35" s="673" t="str">
        <f t="shared" si="18"/>
        <v>15~19</v>
      </c>
      <c r="B35" s="683">
        <f t="shared" si="14"/>
        <v>117199</v>
      </c>
      <c r="C35" s="683">
        <f t="shared" si="15"/>
        <v>61066</v>
      </c>
      <c r="D35" s="683">
        <f t="shared" si="15"/>
        <v>56133</v>
      </c>
      <c r="E35" s="684">
        <f t="shared" si="16"/>
        <v>0.52</v>
      </c>
      <c r="F35" s="684">
        <f t="shared" si="16"/>
        <v>0.48</v>
      </c>
      <c r="G35" s="689">
        <f>'#1. 장래인구 성비'!$F$29</f>
        <v>0.50917836458231081</v>
      </c>
      <c r="H35" s="689">
        <f>'#1. 장래인구 성비'!$G$29</f>
        <v>0.49082163541768919</v>
      </c>
      <c r="I35" s="690">
        <f>'#2. 모의 연령별 출산율'!C8</f>
        <v>1.5799999999999998</v>
      </c>
      <c r="J35" s="685">
        <f t="shared" ref="J35:K41" si="20">ROUND(G35*$I35,2)</f>
        <v>0.8</v>
      </c>
      <c r="K35" s="685">
        <f t="shared" si="20"/>
        <v>0.78</v>
      </c>
      <c r="L35" s="686">
        <f t="shared" ref="L35:L41" si="21">SUM(M35:N35)</f>
        <v>444</v>
      </c>
      <c r="M35" s="686">
        <f t="shared" ref="M35:M41" si="22">ROUND(J35*L$30*$D35/1000,0)</f>
        <v>225</v>
      </c>
      <c r="N35" s="686">
        <f t="shared" ref="N35:N41" si="23">ROUND(K35*L$30*$D35/1000,0)</f>
        <v>219</v>
      </c>
      <c r="O35" s="685"/>
      <c r="P35" s="685"/>
      <c r="Q35" s="685"/>
      <c r="R35" s="686">
        <f t="shared" ref="R35:R41" si="24">SUM(S35:T35)</f>
        <v>2</v>
      </c>
      <c r="S35" s="691">
        <f t="shared" ref="S35:T41" si="25">ROUND(M35*P$32,0)</f>
        <v>1</v>
      </c>
      <c r="T35" s="686">
        <f t="shared" si="25"/>
        <v>1</v>
      </c>
      <c r="U35" s="686">
        <f t="shared" ref="U35:U41" si="26">SUM(V35:W35)</f>
        <v>442</v>
      </c>
      <c r="V35" s="683">
        <f t="shared" ref="V35:W41" si="27">M35-S35</f>
        <v>224</v>
      </c>
      <c r="W35" s="683">
        <f t="shared" si="27"/>
        <v>218</v>
      </c>
      <c r="X35" s="677">
        <f>'#3. 생잔율'!H8</f>
        <v>0.99848499999999996</v>
      </c>
      <c r="Y35" s="678">
        <f>'#3. 생잔율'!I8</f>
        <v>0.99915500000000002</v>
      </c>
      <c r="Z35" s="703">
        <f t="shared" si="17"/>
        <v>100530</v>
      </c>
      <c r="AA35" s="686">
        <f t="shared" si="19"/>
        <v>52076</v>
      </c>
      <c r="AB35" s="687">
        <f t="shared" si="19"/>
        <v>48454</v>
      </c>
    </row>
    <row r="36" spans="1:28" s="667" customFormat="1" ht="22.5" customHeight="1">
      <c r="A36" s="673" t="str">
        <f t="shared" si="18"/>
        <v>20~24</v>
      </c>
      <c r="B36" s="683">
        <f t="shared" si="14"/>
        <v>128230</v>
      </c>
      <c r="C36" s="683">
        <f t="shared" si="15"/>
        <v>67965</v>
      </c>
      <c r="D36" s="683">
        <f t="shared" si="15"/>
        <v>60265</v>
      </c>
      <c r="E36" s="684">
        <f t="shared" si="16"/>
        <v>0.53</v>
      </c>
      <c r="F36" s="684">
        <f t="shared" si="16"/>
        <v>0.47</v>
      </c>
      <c r="G36" s="689">
        <f>'#1. 장래인구 성비'!$F$29</f>
        <v>0.50917836458231081</v>
      </c>
      <c r="H36" s="689">
        <f>'#1. 장래인구 성비'!$G$29</f>
        <v>0.49082163541768919</v>
      </c>
      <c r="I36" s="690">
        <f>'#2. 모의 연령별 출산율'!C9</f>
        <v>14.419999999999998</v>
      </c>
      <c r="J36" s="685">
        <f t="shared" si="20"/>
        <v>7.34</v>
      </c>
      <c r="K36" s="685">
        <f t="shared" si="20"/>
        <v>7.08</v>
      </c>
      <c r="L36" s="686">
        <f t="shared" si="21"/>
        <v>4345</v>
      </c>
      <c r="M36" s="686">
        <f t="shared" si="22"/>
        <v>2212</v>
      </c>
      <c r="N36" s="686">
        <f t="shared" si="23"/>
        <v>2133</v>
      </c>
      <c r="O36" s="685"/>
      <c r="P36" s="685"/>
      <c r="Q36" s="685"/>
      <c r="R36" s="686">
        <f t="shared" si="24"/>
        <v>14</v>
      </c>
      <c r="S36" s="686">
        <f t="shared" si="25"/>
        <v>8</v>
      </c>
      <c r="T36" s="686">
        <f t="shared" si="25"/>
        <v>6</v>
      </c>
      <c r="U36" s="686">
        <f t="shared" si="26"/>
        <v>4331</v>
      </c>
      <c r="V36" s="683">
        <f t="shared" si="27"/>
        <v>2204</v>
      </c>
      <c r="W36" s="683">
        <f t="shared" si="27"/>
        <v>2127</v>
      </c>
      <c r="X36" s="677">
        <f>'#3. 생잔율'!H9</f>
        <v>0.99819999999999998</v>
      </c>
      <c r="Y36" s="678">
        <f>'#3. 생잔율'!I9</f>
        <v>0.99897499999999995</v>
      </c>
      <c r="Z36" s="703">
        <f t="shared" si="17"/>
        <v>117059</v>
      </c>
      <c r="AA36" s="686">
        <f t="shared" si="19"/>
        <v>60973</v>
      </c>
      <c r="AB36" s="687">
        <f t="shared" si="19"/>
        <v>56086</v>
      </c>
    </row>
    <row r="37" spans="1:28" s="667" customFormat="1" ht="22.5" customHeight="1">
      <c r="A37" s="673" t="str">
        <f t="shared" si="18"/>
        <v>25~29</v>
      </c>
      <c r="B37" s="683">
        <f t="shared" si="14"/>
        <v>120547</v>
      </c>
      <c r="C37" s="683">
        <f t="shared" si="15"/>
        <v>64905</v>
      </c>
      <c r="D37" s="683">
        <f t="shared" si="15"/>
        <v>55642</v>
      </c>
      <c r="E37" s="684">
        <f t="shared" si="16"/>
        <v>0.54</v>
      </c>
      <c r="F37" s="684">
        <f t="shared" si="16"/>
        <v>0.46</v>
      </c>
      <c r="G37" s="689">
        <f>'#1. 장래인구 성비'!$F$29</f>
        <v>0.50917836458231081</v>
      </c>
      <c r="H37" s="689">
        <f>'#1. 장래인구 성비'!$G$29</f>
        <v>0.49082163541768919</v>
      </c>
      <c r="I37" s="690">
        <f>'#2. 모의 연령별 출산율'!C10</f>
        <v>64.88000000000001</v>
      </c>
      <c r="J37" s="685">
        <f t="shared" si="20"/>
        <v>33.04</v>
      </c>
      <c r="K37" s="685">
        <f t="shared" si="20"/>
        <v>31.84</v>
      </c>
      <c r="L37" s="686">
        <f t="shared" si="21"/>
        <v>18050</v>
      </c>
      <c r="M37" s="686">
        <f t="shared" si="22"/>
        <v>9192</v>
      </c>
      <c r="N37" s="686">
        <f t="shared" si="23"/>
        <v>8858</v>
      </c>
      <c r="O37" s="685"/>
      <c r="P37" s="685"/>
      <c r="Q37" s="685"/>
      <c r="R37" s="686">
        <f t="shared" si="24"/>
        <v>60</v>
      </c>
      <c r="S37" s="686">
        <f t="shared" si="25"/>
        <v>33</v>
      </c>
      <c r="T37" s="686">
        <f t="shared" si="25"/>
        <v>27</v>
      </c>
      <c r="U37" s="686">
        <f t="shared" si="26"/>
        <v>17990</v>
      </c>
      <c r="V37" s="683">
        <f t="shared" si="27"/>
        <v>9159</v>
      </c>
      <c r="W37" s="683">
        <f t="shared" si="27"/>
        <v>8831</v>
      </c>
      <c r="X37" s="677">
        <f>'#3. 생잔율'!H10</f>
        <v>0.99731999999999998</v>
      </c>
      <c r="Y37" s="678">
        <f>'#3. 생잔율'!I10</f>
        <v>0.99856500000000004</v>
      </c>
      <c r="Z37" s="703">
        <f t="shared" si="17"/>
        <v>128046</v>
      </c>
      <c r="AA37" s="686">
        <f t="shared" si="19"/>
        <v>67843</v>
      </c>
      <c r="AB37" s="687">
        <f t="shared" si="19"/>
        <v>60203</v>
      </c>
    </row>
    <row r="38" spans="1:28" s="667" customFormat="1" ht="22.5" customHeight="1">
      <c r="A38" s="673" t="str">
        <f t="shared" si="18"/>
        <v>30~34</v>
      </c>
      <c r="B38" s="683">
        <f t="shared" si="14"/>
        <v>132355</v>
      </c>
      <c r="C38" s="683">
        <f t="shared" si="15"/>
        <v>71143</v>
      </c>
      <c r="D38" s="683">
        <f t="shared" si="15"/>
        <v>61212</v>
      </c>
      <c r="E38" s="684">
        <f t="shared" si="16"/>
        <v>0.54</v>
      </c>
      <c r="F38" s="684">
        <f t="shared" si="16"/>
        <v>0.46</v>
      </c>
      <c r="G38" s="689">
        <f>'#1. 장래인구 성비'!$F$29</f>
        <v>0.50917836458231081</v>
      </c>
      <c r="H38" s="689">
        <f>'#1. 장래인구 성비'!$G$29</f>
        <v>0.49082163541768919</v>
      </c>
      <c r="I38" s="690">
        <f>'#2. 모의 연령별 출산율'!C11</f>
        <v>115.5</v>
      </c>
      <c r="J38" s="685">
        <f t="shared" si="20"/>
        <v>58.81</v>
      </c>
      <c r="K38" s="685">
        <f t="shared" si="20"/>
        <v>56.69</v>
      </c>
      <c r="L38" s="686">
        <f t="shared" si="21"/>
        <v>35350</v>
      </c>
      <c r="M38" s="686">
        <f t="shared" si="22"/>
        <v>17999</v>
      </c>
      <c r="N38" s="686">
        <f t="shared" si="23"/>
        <v>17351</v>
      </c>
      <c r="O38" s="685"/>
      <c r="P38" s="685"/>
      <c r="Q38" s="685"/>
      <c r="R38" s="686">
        <f t="shared" si="24"/>
        <v>116</v>
      </c>
      <c r="S38" s="686">
        <f t="shared" si="25"/>
        <v>64</v>
      </c>
      <c r="T38" s="686">
        <f t="shared" si="25"/>
        <v>52</v>
      </c>
      <c r="U38" s="686">
        <f t="shared" si="26"/>
        <v>35234</v>
      </c>
      <c r="V38" s="683">
        <f t="shared" si="27"/>
        <v>17935</v>
      </c>
      <c r="W38" s="683">
        <f t="shared" si="27"/>
        <v>17299</v>
      </c>
      <c r="X38" s="677">
        <f>'#3. 생잔율'!H11</f>
        <v>0.99656500000000003</v>
      </c>
      <c r="Y38" s="678">
        <f>'#3. 생잔율'!I11</f>
        <v>0.99807999999999997</v>
      </c>
      <c r="Z38" s="703">
        <f t="shared" si="17"/>
        <v>120293</v>
      </c>
      <c r="AA38" s="686">
        <f t="shared" si="19"/>
        <v>64731</v>
      </c>
      <c r="AB38" s="687">
        <f t="shared" si="19"/>
        <v>55562</v>
      </c>
    </row>
    <row r="39" spans="1:28" s="667" customFormat="1" ht="22.5" customHeight="1">
      <c r="A39" s="673" t="str">
        <f t="shared" si="18"/>
        <v>35~39</v>
      </c>
      <c r="B39" s="683">
        <f t="shared" si="14"/>
        <v>148708</v>
      </c>
      <c r="C39" s="683">
        <f t="shared" si="15"/>
        <v>79301</v>
      </c>
      <c r="D39" s="683">
        <f t="shared" si="15"/>
        <v>69407</v>
      </c>
      <c r="E39" s="684">
        <f t="shared" si="16"/>
        <v>0.53</v>
      </c>
      <c r="F39" s="684">
        <f t="shared" si="16"/>
        <v>0.47</v>
      </c>
      <c r="G39" s="689">
        <f>'#1. 장래인구 성비'!$F$29</f>
        <v>0.50917836458231081</v>
      </c>
      <c r="H39" s="689">
        <f>'#1. 장래인구 성비'!$G$29</f>
        <v>0.49082163541768919</v>
      </c>
      <c r="I39" s="690">
        <f>'#2. 모의 연령별 출산율'!C12</f>
        <v>60.76</v>
      </c>
      <c r="J39" s="685">
        <f t="shared" si="20"/>
        <v>30.94</v>
      </c>
      <c r="K39" s="685">
        <f t="shared" si="20"/>
        <v>29.82</v>
      </c>
      <c r="L39" s="686">
        <f t="shared" si="21"/>
        <v>21086</v>
      </c>
      <c r="M39" s="686">
        <f t="shared" si="22"/>
        <v>10737</v>
      </c>
      <c r="N39" s="686">
        <f t="shared" si="23"/>
        <v>10349</v>
      </c>
      <c r="O39" s="685"/>
      <c r="P39" s="685"/>
      <c r="Q39" s="685"/>
      <c r="R39" s="686">
        <f t="shared" si="24"/>
        <v>69</v>
      </c>
      <c r="S39" s="686">
        <f t="shared" si="25"/>
        <v>38</v>
      </c>
      <c r="T39" s="686">
        <f t="shared" si="25"/>
        <v>31</v>
      </c>
      <c r="U39" s="686">
        <f t="shared" si="26"/>
        <v>21017</v>
      </c>
      <c r="V39" s="683">
        <f t="shared" si="27"/>
        <v>10699</v>
      </c>
      <c r="W39" s="683">
        <f t="shared" si="27"/>
        <v>10318</v>
      </c>
      <c r="X39" s="677">
        <f>'#3. 생잔율'!H12</f>
        <v>0.99529000000000001</v>
      </c>
      <c r="Y39" s="678">
        <f>'#3. 생잔율'!I12</f>
        <v>0.99740499999999999</v>
      </c>
      <c r="Z39" s="703">
        <f t="shared" si="17"/>
        <v>131993</v>
      </c>
      <c r="AA39" s="686">
        <f t="shared" si="19"/>
        <v>70899</v>
      </c>
      <c r="AB39" s="687">
        <f t="shared" si="19"/>
        <v>61094</v>
      </c>
    </row>
    <row r="40" spans="1:28" s="667" customFormat="1" ht="22.5" customHeight="1">
      <c r="A40" s="673" t="str">
        <f t="shared" si="18"/>
        <v>40~44</v>
      </c>
      <c r="B40" s="683">
        <f t="shared" si="14"/>
        <v>160169</v>
      </c>
      <c r="C40" s="683">
        <f t="shared" si="15"/>
        <v>85077</v>
      </c>
      <c r="D40" s="683">
        <f t="shared" si="15"/>
        <v>75092</v>
      </c>
      <c r="E40" s="684">
        <f t="shared" si="16"/>
        <v>0.53</v>
      </c>
      <c r="F40" s="684">
        <f t="shared" si="16"/>
        <v>0.47</v>
      </c>
      <c r="G40" s="689">
        <f>'#1. 장래인구 성비'!$F$29</f>
        <v>0.50917836458231081</v>
      </c>
      <c r="H40" s="689">
        <f>'#1. 장래인구 성비'!$G$29</f>
        <v>0.49082163541768919</v>
      </c>
      <c r="I40" s="690">
        <f>'#2. 모의 연령별 출산율'!C13</f>
        <v>11.86</v>
      </c>
      <c r="J40" s="685">
        <f t="shared" si="20"/>
        <v>6.04</v>
      </c>
      <c r="K40" s="685">
        <f t="shared" si="20"/>
        <v>5.82</v>
      </c>
      <c r="L40" s="686">
        <f t="shared" si="21"/>
        <v>4453</v>
      </c>
      <c r="M40" s="686">
        <f t="shared" si="22"/>
        <v>2268</v>
      </c>
      <c r="N40" s="686">
        <f t="shared" si="23"/>
        <v>2185</v>
      </c>
      <c r="O40" s="685"/>
      <c r="P40" s="685"/>
      <c r="Q40" s="685"/>
      <c r="R40" s="686">
        <f t="shared" si="24"/>
        <v>15</v>
      </c>
      <c r="S40" s="686">
        <f t="shared" si="25"/>
        <v>8</v>
      </c>
      <c r="T40" s="686">
        <f t="shared" si="25"/>
        <v>7</v>
      </c>
      <c r="U40" s="686">
        <f t="shared" si="26"/>
        <v>4438</v>
      </c>
      <c r="V40" s="683">
        <f t="shared" si="27"/>
        <v>2260</v>
      </c>
      <c r="W40" s="683">
        <f t="shared" si="27"/>
        <v>2178</v>
      </c>
      <c r="X40" s="677">
        <f>'#3. 생잔율'!H13</f>
        <v>0.99214999999999998</v>
      </c>
      <c r="Y40" s="678">
        <f>'#3. 생잔율'!I13</f>
        <v>0.99631000000000003</v>
      </c>
      <c r="Z40" s="703">
        <f t="shared" si="17"/>
        <v>148154</v>
      </c>
      <c r="AA40" s="686">
        <f t="shared" si="19"/>
        <v>78927</v>
      </c>
      <c r="AB40" s="687">
        <f t="shared" si="19"/>
        <v>69227</v>
      </c>
    </row>
    <row r="41" spans="1:28" s="667" customFormat="1" ht="22.5" customHeight="1">
      <c r="A41" s="673" t="str">
        <f t="shared" si="18"/>
        <v>45~49</v>
      </c>
      <c r="B41" s="683">
        <f t="shared" si="14"/>
        <v>164942</v>
      </c>
      <c r="C41" s="683">
        <f t="shared" si="15"/>
        <v>87571</v>
      </c>
      <c r="D41" s="683">
        <f t="shared" si="15"/>
        <v>77371</v>
      </c>
      <c r="E41" s="684">
        <f t="shared" si="16"/>
        <v>0.53</v>
      </c>
      <c r="F41" s="684">
        <f t="shared" si="16"/>
        <v>0.47</v>
      </c>
      <c r="G41" s="689">
        <f>'#1. 장래인구 성비'!$F$29</f>
        <v>0.50917836458231081</v>
      </c>
      <c r="H41" s="689">
        <f>'#1. 장래인구 성비'!$G$29</f>
        <v>0.49082163541768919</v>
      </c>
      <c r="I41" s="690">
        <f>'#2. 모의 연령별 출산율'!C14</f>
        <v>1.44</v>
      </c>
      <c r="J41" s="685">
        <f t="shared" si="20"/>
        <v>0.73</v>
      </c>
      <c r="K41" s="685">
        <f t="shared" si="20"/>
        <v>0.71</v>
      </c>
      <c r="L41" s="686">
        <f t="shared" si="21"/>
        <v>557</v>
      </c>
      <c r="M41" s="686">
        <f t="shared" si="22"/>
        <v>282</v>
      </c>
      <c r="N41" s="686">
        <f t="shared" si="23"/>
        <v>275</v>
      </c>
      <c r="O41" s="685"/>
      <c r="P41" s="685"/>
      <c r="Q41" s="685"/>
      <c r="R41" s="686">
        <f t="shared" si="24"/>
        <v>2</v>
      </c>
      <c r="S41" s="686">
        <f t="shared" si="25"/>
        <v>1</v>
      </c>
      <c r="T41" s="686">
        <f t="shared" si="25"/>
        <v>1</v>
      </c>
      <c r="U41" s="686">
        <f t="shared" si="26"/>
        <v>555</v>
      </c>
      <c r="V41" s="683">
        <f t="shared" si="27"/>
        <v>281</v>
      </c>
      <c r="W41" s="683">
        <f t="shared" si="27"/>
        <v>274</v>
      </c>
      <c r="X41" s="677">
        <f>'#3. 생잔율'!H14</f>
        <v>0.98673999999999995</v>
      </c>
      <c r="Y41" s="678">
        <f>'#3. 생잔율'!I14</f>
        <v>0.99509999999999998</v>
      </c>
      <c r="Z41" s="703">
        <f t="shared" si="17"/>
        <v>159224</v>
      </c>
      <c r="AA41" s="686">
        <f t="shared" si="19"/>
        <v>84409</v>
      </c>
      <c r="AB41" s="687">
        <f t="shared" si="19"/>
        <v>74815</v>
      </c>
    </row>
    <row r="42" spans="1:28" s="667" customFormat="1" ht="22.5" customHeight="1">
      <c r="A42" s="673" t="str">
        <f t="shared" si="18"/>
        <v>50~54</v>
      </c>
      <c r="B42" s="683">
        <f t="shared" si="14"/>
        <v>162401</v>
      </c>
      <c r="C42" s="683">
        <f t="shared" si="15"/>
        <v>85654</v>
      </c>
      <c r="D42" s="683">
        <f t="shared" si="15"/>
        <v>76747</v>
      </c>
      <c r="E42" s="684">
        <f t="shared" si="16"/>
        <v>0.53</v>
      </c>
      <c r="F42" s="684">
        <f t="shared" si="16"/>
        <v>0.47</v>
      </c>
      <c r="G42" s="692"/>
      <c r="H42" s="683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77">
        <f>'#3. 생잔율'!H15</f>
        <v>0.98136500000000004</v>
      </c>
      <c r="Y42" s="678">
        <f>'#3. 생잔율'!I15</f>
        <v>0.99260499999999996</v>
      </c>
      <c r="Z42" s="703">
        <f t="shared" si="17"/>
        <v>163402</v>
      </c>
      <c r="AA42" s="686">
        <f t="shared" si="19"/>
        <v>86410</v>
      </c>
      <c r="AB42" s="687">
        <f t="shared" si="19"/>
        <v>76992</v>
      </c>
    </row>
    <row r="43" spans="1:28" s="667" customFormat="1" ht="22.5" customHeight="1">
      <c r="A43" s="673" t="str">
        <f t="shared" si="18"/>
        <v>55~59</v>
      </c>
      <c r="B43" s="683">
        <f t="shared" si="14"/>
        <v>155507</v>
      </c>
      <c r="C43" s="683">
        <f t="shared" si="15"/>
        <v>79814</v>
      </c>
      <c r="D43" s="683">
        <f t="shared" si="15"/>
        <v>75693</v>
      </c>
      <c r="E43" s="684">
        <f t="shared" si="16"/>
        <v>0.51</v>
      </c>
      <c r="F43" s="684">
        <f t="shared" si="16"/>
        <v>0.49</v>
      </c>
      <c r="G43" s="683"/>
      <c r="H43" s="683"/>
      <c r="I43" s="685"/>
      <c r="J43" s="685"/>
      <c r="K43" s="685"/>
      <c r="L43" s="685"/>
      <c r="M43" s="685"/>
      <c r="N43" s="685"/>
      <c r="O43" s="685"/>
      <c r="P43" s="685"/>
      <c r="Q43" s="685"/>
      <c r="R43" s="685"/>
      <c r="S43" s="685"/>
      <c r="T43" s="685"/>
      <c r="U43" s="685"/>
      <c r="V43" s="685"/>
      <c r="W43" s="685"/>
      <c r="X43" s="677">
        <f>'#3. 생잔율'!H16</f>
        <v>0.97206499999999996</v>
      </c>
      <c r="Y43" s="678">
        <f>'#3. 생잔율'!I16</f>
        <v>0.99078999999999995</v>
      </c>
      <c r="Z43" s="703">
        <f t="shared" si="17"/>
        <v>160237</v>
      </c>
      <c r="AA43" s="686">
        <f t="shared" si="19"/>
        <v>84058</v>
      </c>
      <c r="AB43" s="687">
        <f t="shared" si="19"/>
        <v>76179</v>
      </c>
    </row>
    <row r="44" spans="1:28" s="667" customFormat="1" ht="22.5" customHeight="1">
      <c r="A44" s="673" t="str">
        <f t="shared" si="18"/>
        <v>60~64</v>
      </c>
      <c r="B44" s="683">
        <f t="shared" si="14"/>
        <v>128653</v>
      </c>
      <c r="C44" s="683">
        <f t="shared" si="15"/>
        <v>63777</v>
      </c>
      <c r="D44" s="683">
        <f t="shared" si="15"/>
        <v>64876</v>
      </c>
      <c r="E44" s="684">
        <f t="shared" si="16"/>
        <v>0.5</v>
      </c>
      <c r="F44" s="684">
        <f t="shared" si="16"/>
        <v>0.5</v>
      </c>
      <c r="G44" s="683"/>
      <c r="H44" s="683"/>
      <c r="I44" s="685"/>
      <c r="J44" s="685"/>
      <c r="K44" s="685"/>
      <c r="L44" s="685"/>
      <c r="M44" s="685"/>
      <c r="N44" s="685"/>
      <c r="O44" s="685"/>
      <c r="P44" s="685"/>
      <c r="Q44" s="685"/>
      <c r="R44" s="685"/>
      <c r="S44" s="685"/>
      <c r="T44" s="685"/>
      <c r="U44" s="685"/>
      <c r="V44" s="685"/>
      <c r="W44" s="685"/>
      <c r="X44" s="677">
        <f>'#3. 생잔율'!H17</f>
        <v>0.95948999999999995</v>
      </c>
      <c r="Y44" s="678">
        <f>'#3. 생잔율'!I17</f>
        <v>0.98665499999999995</v>
      </c>
      <c r="Z44" s="703">
        <f t="shared" si="17"/>
        <v>152580</v>
      </c>
      <c r="AA44" s="686">
        <f t="shared" si="19"/>
        <v>77584</v>
      </c>
      <c r="AB44" s="687">
        <f t="shared" si="19"/>
        <v>74996</v>
      </c>
    </row>
    <row r="45" spans="1:28" s="667" customFormat="1" ht="22.5" customHeight="1">
      <c r="A45" s="673" t="str">
        <f t="shared" si="18"/>
        <v>65~69</v>
      </c>
      <c r="B45" s="683">
        <f t="shared" si="14"/>
        <v>100194</v>
      </c>
      <c r="C45" s="683">
        <f t="shared" si="15"/>
        <v>48304</v>
      </c>
      <c r="D45" s="683">
        <f t="shared" si="15"/>
        <v>51890</v>
      </c>
      <c r="E45" s="684">
        <f t="shared" si="16"/>
        <v>0.48</v>
      </c>
      <c r="F45" s="684">
        <f t="shared" si="16"/>
        <v>0.52</v>
      </c>
      <c r="G45" s="683"/>
      <c r="H45" s="683"/>
      <c r="I45" s="685"/>
      <c r="J45" s="685"/>
      <c r="K45" s="685"/>
      <c r="L45" s="685"/>
      <c r="M45" s="685"/>
      <c r="N45" s="685"/>
      <c r="O45" s="685"/>
      <c r="P45" s="685"/>
      <c r="Q45" s="685"/>
      <c r="R45" s="685"/>
      <c r="S45" s="685"/>
      <c r="T45" s="685"/>
      <c r="U45" s="685"/>
      <c r="V45" s="685"/>
      <c r="W45" s="685"/>
      <c r="X45" s="677">
        <f>'#3. 생잔율'!H18</f>
        <v>0.94257000000000002</v>
      </c>
      <c r="Y45" s="678">
        <f>'#3. 생잔율'!I18</f>
        <v>0.97794999999999999</v>
      </c>
      <c r="Z45" s="703">
        <f t="shared" si="17"/>
        <v>125203</v>
      </c>
      <c r="AA45" s="686">
        <f t="shared" si="19"/>
        <v>61193</v>
      </c>
      <c r="AB45" s="687">
        <f t="shared" si="19"/>
        <v>64010</v>
      </c>
    </row>
    <row r="46" spans="1:28" s="667" customFormat="1" ht="22.5" customHeight="1">
      <c r="A46" s="673" t="str">
        <f t="shared" si="18"/>
        <v>70~74</v>
      </c>
      <c r="B46" s="683">
        <f t="shared" si="14"/>
        <v>83228</v>
      </c>
      <c r="C46" s="683">
        <f t="shared" si="15"/>
        <v>36915</v>
      </c>
      <c r="D46" s="683">
        <f t="shared" si="15"/>
        <v>46313</v>
      </c>
      <c r="E46" s="684">
        <f t="shared" si="16"/>
        <v>0.44</v>
      </c>
      <c r="F46" s="684">
        <f t="shared" si="16"/>
        <v>0.56000000000000005</v>
      </c>
      <c r="G46" s="683"/>
      <c r="H46" s="683"/>
      <c r="I46" s="685"/>
      <c r="J46" s="685"/>
      <c r="K46" s="685"/>
      <c r="L46" s="685"/>
      <c r="N46" s="685"/>
      <c r="O46" s="685"/>
      <c r="P46" s="685"/>
      <c r="Q46" s="685"/>
      <c r="R46" s="685"/>
      <c r="S46" s="685"/>
      <c r="T46" s="685"/>
      <c r="U46" s="685"/>
      <c r="V46" s="685"/>
      <c r="W46" s="685"/>
      <c r="X46" s="677">
        <f>'#3. 생잔율'!H19</f>
        <v>0.89197000000000004</v>
      </c>
      <c r="Y46" s="678">
        <f>'#3. 생잔율'!I19</f>
        <v>0.95859000000000005</v>
      </c>
      <c r="Z46" s="703">
        <f t="shared" si="17"/>
        <v>96276</v>
      </c>
      <c r="AA46" s="686">
        <f t="shared" si="19"/>
        <v>45530</v>
      </c>
      <c r="AB46" s="687">
        <f t="shared" si="19"/>
        <v>50746</v>
      </c>
    </row>
    <row r="47" spans="1:28" s="667" customFormat="1" ht="22.5" customHeight="1">
      <c r="A47" s="673" t="str">
        <f t="shared" si="18"/>
        <v>75~79</v>
      </c>
      <c r="B47" s="683">
        <f t="shared" si="14"/>
        <v>70417</v>
      </c>
      <c r="C47" s="683">
        <f t="shared" si="15"/>
        <v>27443</v>
      </c>
      <c r="D47" s="683">
        <f t="shared" si="15"/>
        <v>42974</v>
      </c>
      <c r="E47" s="684">
        <f t="shared" si="16"/>
        <v>0.39</v>
      </c>
      <c r="F47" s="684">
        <f t="shared" si="16"/>
        <v>0.61</v>
      </c>
      <c r="G47" s="683"/>
      <c r="H47" s="683"/>
      <c r="I47" s="685"/>
      <c r="J47" s="685"/>
      <c r="K47" s="685"/>
      <c r="L47" s="685"/>
      <c r="M47" s="685"/>
      <c r="N47" s="685"/>
      <c r="O47" s="685"/>
      <c r="P47" s="685"/>
      <c r="Q47" s="685"/>
      <c r="R47" s="685"/>
      <c r="S47" s="685"/>
      <c r="T47" s="685"/>
      <c r="U47" s="685"/>
      <c r="V47" s="685"/>
      <c r="W47" s="685"/>
      <c r="X47" s="677">
        <f>'#3. 생잔율'!H20</f>
        <v>0.80688000000000004</v>
      </c>
      <c r="Y47" s="678">
        <f>'#3. 생잔율'!I20</f>
        <v>0.92196999999999996</v>
      </c>
      <c r="Z47" s="703">
        <f t="shared" si="17"/>
        <v>77322</v>
      </c>
      <c r="AA47" s="686">
        <f t="shared" si="19"/>
        <v>32927</v>
      </c>
      <c r="AB47" s="687">
        <f t="shared" si="19"/>
        <v>44395</v>
      </c>
    </row>
    <row r="48" spans="1:28" s="667" customFormat="1" ht="22.5" customHeight="1">
      <c r="A48" s="673" t="str">
        <f t="shared" si="18"/>
        <v>80~84</v>
      </c>
      <c r="B48" s="683">
        <f t="shared" si="14"/>
        <v>50432</v>
      </c>
      <c r="C48" s="683">
        <f t="shared" si="15"/>
        <v>16925</v>
      </c>
      <c r="D48" s="683">
        <f t="shared" si="15"/>
        <v>33507</v>
      </c>
      <c r="E48" s="684">
        <f t="shared" si="16"/>
        <v>0.34</v>
      </c>
      <c r="F48" s="684">
        <f t="shared" si="16"/>
        <v>0.66</v>
      </c>
      <c r="G48" s="683"/>
      <c r="H48" s="683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77">
        <f>'#3. 생잔율'!H21</f>
        <v>0.66922999999999999</v>
      </c>
      <c r="Y48" s="678">
        <f>'#3. 생잔율'!I21</f>
        <v>0.85697000000000001</v>
      </c>
      <c r="Z48" s="703">
        <f t="shared" si="17"/>
        <v>61764</v>
      </c>
      <c r="AA48" s="686">
        <f t="shared" si="19"/>
        <v>22143</v>
      </c>
      <c r="AB48" s="687">
        <f t="shared" si="19"/>
        <v>39621</v>
      </c>
    </row>
    <row r="49" spans="1:28" s="667" customFormat="1" ht="22.5" customHeight="1">
      <c r="A49" s="673" t="str">
        <f t="shared" si="18"/>
        <v>85~89</v>
      </c>
      <c r="B49" s="683">
        <f t="shared" si="14"/>
        <v>24978</v>
      </c>
      <c r="C49" s="683">
        <f t="shared" si="15"/>
        <v>6643</v>
      </c>
      <c r="D49" s="683">
        <f t="shared" si="15"/>
        <v>18335</v>
      </c>
      <c r="E49" s="684">
        <f t="shared" si="16"/>
        <v>0.27</v>
      </c>
      <c r="F49" s="684">
        <f t="shared" si="16"/>
        <v>0.73</v>
      </c>
      <c r="G49" s="683"/>
      <c r="H49" s="683"/>
      <c r="I49" s="685"/>
      <c r="J49" s="685"/>
      <c r="K49" s="685"/>
      <c r="L49" s="685"/>
      <c r="M49" s="685"/>
      <c r="N49" s="685"/>
      <c r="O49" s="685"/>
      <c r="P49" s="685"/>
      <c r="Q49" s="685"/>
      <c r="R49" s="685"/>
      <c r="S49" s="685"/>
      <c r="T49" s="685"/>
      <c r="U49" s="685"/>
      <c r="V49" s="685"/>
      <c r="W49" s="685"/>
      <c r="X49" s="677">
        <f>'#3. 생잔율'!H22</f>
        <v>0.4776450000000001</v>
      </c>
      <c r="Y49" s="678">
        <f>'#3. 생잔율'!I22</f>
        <v>0.74749500000000002</v>
      </c>
      <c r="Z49" s="703">
        <f t="shared" si="17"/>
        <v>40041</v>
      </c>
      <c r="AA49" s="686">
        <f t="shared" ref="AA49:AB52" si="28">ROUND(C48*X48,0)</f>
        <v>11327</v>
      </c>
      <c r="AB49" s="687">
        <f t="shared" si="28"/>
        <v>28714</v>
      </c>
    </row>
    <row r="50" spans="1:28" s="667" customFormat="1" ht="22.5" customHeight="1">
      <c r="A50" s="673" t="str">
        <f t="shared" si="18"/>
        <v>90~94</v>
      </c>
      <c r="B50" s="683">
        <f t="shared" si="14"/>
        <v>8178</v>
      </c>
      <c r="C50" s="683">
        <f t="shared" ref="C50:D52" si="29">AA25</f>
        <v>1477</v>
      </c>
      <c r="D50" s="683">
        <f t="shared" si="29"/>
        <v>6701</v>
      </c>
      <c r="E50" s="684">
        <f t="shared" si="16"/>
        <v>0.18</v>
      </c>
      <c r="F50" s="684">
        <f t="shared" si="16"/>
        <v>0.82</v>
      </c>
      <c r="G50" s="694"/>
      <c r="H50" s="694"/>
      <c r="I50" s="695"/>
      <c r="J50" s="695"/>
      <c r="K50" s="695"/>
      <c r="L50" s="695"/>
      <c r="M50" s="695"/>
      <c r="N50" s="695"/>
      <c r="O50" s="695"/>
      <c r="P50" s="695"/>
      <c r="Q50" s="695"/>
      <c r="R50" s="695"/>
      <c r="S50" s="695"/>
      <c r="T50" s="695"/>
      <c r="U50" s="695"/>
      <c r="V50" s="695"/>
      <c r="W50" s="695"/>
      <c r="X50" s="677">
        <f>'#3. 생잔율'!H23</f>
        <v>0.26675500000000008</v>
      </c>
      <c r="Y50" s="678">
        <f>'#3. 생잔율'!I23</f>
        <v>0.58220499999999997</v>
      </c>
      <c r="Z50" s="703">
        <f t="shared" si="17"/>
        <v>16878</v>
      </c>
      <c r="AA50" s="686">
        <f t="shared" si="28"/>
        <v>3173</v>
      </c>
      <c r="AB50" s="687">
        <f t="shared" si="28"/>
        <v>13705</v>
      </c>
    </row>
    <row r="51" spans="1:28" s="667" customFormat="1" ht="22.5" customHeight="1">
      <c r="A51" s="673" t="str">
        <f t="shared" si="18"/>
        <v>95~99</v>
      </c>
      <c r="B51" s="683">
        <f t="shared" si="14"/>
        <v>1840</v>
      </c>
      <c r="C51" s="683">
        <f t="shared" si="29"/>
        <v>205</v>
      </c>
      <c r="D51" s="683">
        <f t="shared" si="29"/>
        <v>1635</v>
      </c>
      <c r="E51" s="684">
        <f t="shared" si="16"/>
        <v>0.11</v>
      </c>
      <c r="F51" s="684">
        <f t="shared" si="16"/>
        <v>0.89</v>
      </c>
      <c r="G51" s="694"/>
      <c r="H51" s="694"/>
      <c r="I51" s="695"/>
      <c r="J51" s="695"/>
      <c r="K51" s="695"/>
      <c r="L51" s="695"/>
      <c r="M51" s="695"/>
      <c r="N51" s="695"/>
      <c r="O51" s="695"/>
      <c r="P51" s="695"/>
      <c r="Q51" s="695"/>
      <c r="R51" s="695"/>
      <c r="S51" s="695"/>
      <c r="T51" s="695"/>
      <c r="U51" s="695"/>
      <c r="V51" s="695"/>
      <c r="W51" s="695"/>
      <c r="X51" s="677">
        <f>'#3. 생잔율'!H24</f>
        <v>0.10345499999999996</v>
      </c>
      <c r="Y51" s="678">
        <f>'#3. 생잔율'!I24</f>
        <v>0.37448000000000004</v>
      </c>
      <c r="Z51" s="703">
        <f t="shared" si="17"/>
        <v>4295</v>
      </c>
      <c r="AA51" s="686">
        <f t="shared" si="28"/>
        <v>394</v>
      </c>
      <c r="AB51" s="687">
        <f t="shared" si="28"/>
        <v>3901</v>
      </c>
    </row>
    <row r="52" spans="1:28" s="667" customFormat="1" ht="22.5" customHeight="1">
      <c r="A52" s="673" t="str">
        <f t="shared" si="18"/>
        <v>100+</v>
      </c>
      <c r="B52" s="683">
        <f t="shared" si="14"/>
        <v>212</v>
      </c>
      <c r="C52" s="683">
        <f t="shared" si="29"/>
        <v>14</v>
      </c>
      <c r="D52" s="683">
        <f t="shared" si="29"/>
        <v>198</v>
      </c>
      <c r="E52" s="684">
        <f t="shared" si="16"/>
        <v>7.0000000000000007E-2</v>
      </c>
      <c r="F52" s="684">
        <f t="shared" si="16"/>
        <v>0.93</v>
      </c>
      <c r="G52" s="694"/>
      <c r="H52" s="694"/>
      <c r="I52" s="695"/>
      <c r="J52" s="695"/>
      <c r="K52" s="695"/>
      <c r="L52" s="695"/>
      <c r="M52" s="695"/>
      <c r="N52" s="695"/>
      <c r="O52" s="695"/>
      <c r="P52" s="695"/>
      <c r="Q52" s="695"/>
      <c r="R52" s="695"/>
      <c r="S52" s="695"/>
      <c r="T52" s="695"/>
      <c r="U52" s="695"/>
      <c r="V52" s="695"/>
      <c r="W52" s="695"/>
      <c r="X52" s="677">
        <f>'#3. 생잔율'!H25</f>
        <v>0</v>
      </c>
      <c r="Y52" s="678">
        <f>'#3. 생잔율'!I25</f>
        <v>0</v>
      </c>
      <c r="Z52" s="703">
        <f t="shared" si="17"/>
        <v>633</v>
      </c>
      <c r="AA52" s="686">
        <f t="shared" si="28"/>
        <v>21</v>
      </c>
      <c r="AB52" s="687">
        <f t="shared" si="28"/>
        <v>612</v>
      </c>
    </row>
    <row r="53" spans="1:28" s="667" customFormat="1" ht="22.5" customHeight="1">
      <c r="A53" s="696" t="s">
        <v>50</v>
      </c>
      <c r="B53" s="697">
        <f>SUM(B32:B52)</f>
        <v>2097267</v>
      </c>
      <c r="C53" s="706">
        <f>SUM(C32:C52)</f>
        <v>1058812</v>
      </c>
      <c r="D53" s="706">
        <f>SUM(D32:D52)</f>
        <v>1038455</v>
      </c>
      <c r="E53" s="699"/>
      <c r="F53" s="699"/>
      <c r="G53" s="699"/>
      <c r="H53" s="699"/>
      <c r="I53" s="699"/>
      <c r="J53" s="699"/>
      <c r="K53" s="699"/>
      <c r="L53" s="698">
        <f>SUM(L35:L49)</f>
        <v>84285</v>
      </c>
      <c r="M53" s="699"/>
      <c r="N53" s="699"/>
      <c r="O53" s="699"/>
      <c r="P53" s="699"/>
      <c r="Q53" s="699"/>
      <c r="R53" s="698">
        <f t="shared" ref="R53:W53" si="30">SUM(R35:R49)</f>
        <v>278</v>
      </c>
      <c r="S53" s="698">
        <f t="shared" si="30"/>
        <v>153</v>
      </c>
      <c r="T53" s="698">
        <f t="shared" si="30"/>
        <v>125</v>
      </c>
      <c r="U53" s="698">
        <f t="shared" si="30"/>
        <v>84007</v>
      </c>
      <c r="V53" s="698">
        <f t="shared" si="30"/>
        <v>42762</v>
      </c>
      <c r="W53" s="698">
        <f t="shared" si="30"/>
        <v>41245</v>
      </c>
      <c r="X53" s="699"/>
      <c r="Y53" s="700"/>
      <c r="Z53" s="701">
        <f t="shared" si="17"/>
        <v>2126363</v>
      </c>
      <c r="AA53" s="698">
        <f>SUM(AA32:AA52)</f>
        <v>1069852</v>
      </c>
      <c r="AB53" s="698">
        <f>SUM(AB32:AB52)</f>
        <v>1056511</v>
      </c>
    </row>
    <row r="54" spans="1:28" s="667" customFormat="1" ht="22.5" customHeight="1"/>
    <row r="55" spans="1:28" s="667" customFormat="1" ht="22.5" customHeight="1">
      <c r="A55" s="997" t="s">
        <v>10</v>
      </c>
      <c r="B55" s="999">
        <f>Z30</f>
        <v>2025</v>
      </c>
      <c r="C55" s="999"/>
      <c r="D55" s="999"/>
      <c r="E55" s="996" t="s">
        <v>74</v>
      </c>
      <c r="F55" s="996"/>
      <c r="G55" s="996" t="s">
        <v>80</v>
      </c>
      <c r="H55" s="996"/>
      <c r="I55" s="1000" t="s">
        <v>248</v>
      </c>
      <c r="J55" s="1000"/>
      <c r="K55" s="1000"/>
      <c r="L55" s="1005">
        <v>5</v>
      </c>
      <c r="M55" s="1005"/>
      <c r="N55" s="1005"/>
      <c r="O55" s="996" t="s">
        <v>79</v>
      </c>
      <c r="P55" s="996"/>
      <c r="Q55" s="996"/>
      <c r="R55" s="996" t="s">
        <v>71</v>
      </c>
      <c r="S55" s="996"/>
      <c r="T55" s="996"/>
      <c r="U55" s="996" t="s">
        <v>70</v>
      </c>
      <c r="V55" s="996"/>
      <c r="W55" s="996"/>
      <c r="X55" s="996" t="s">
        <v>78</v>
      </c>
      <c r="Y55" s="1004"/>
      <c r="Z55" s="1001">
        <f>B55+L55</f>
        <v>2030</v>
      </c>
      <c r="AA55" s="1002"/>
      <c r="AB55" s="1003"/>
    </row>
    <row r="56" spans="1:28" s="672" customFormat="1" ht="22.5" customHeight="1">
      <c r="A56" s="998"/>
      <c r="B56" s="668" t="s">
        <v>19</v>
      </c>
      <c r="C56" s="668" t="s">
        <v>76</v>
      </c>
      <c r="D56" s="668" t="s">
        <v>75</v>
      </c>
      <c r="E56" s="668" t="s">
        <v>76</v>
      </c>
      <c r="F56" s="668" t="s">
        <v>75</v>
      </c>
      <c r="G56" s="668" t="s">
        <v>76</v>
      </c>
      <c r="H56" s="668" t="s">
        <v>75</v>
      </c>
      <c r="I56" s="668" t="s">
        <v>19</v>
      </c>
      <c r="J56" s="668" t="s">
        <v>76</v>
      </c>
      <c r="K56" s="668" t="s">
        <v>75</v>
      </c>
      <c r="L56" s="668" t="s">
        <v>19</v>
      </c>
      <c r="M56" s="668" t="s">
        <v>76</v>
      </c>
      <c r="N56" s="668" t="s">
        <v>75</v>
      </c>
      <c r="O56" s="668" t="s">
        <v>19</v>
      </c>
      <c r="P56" s="668" t="s">
        <v>76</v>
      </c>
      <c r="Q56" s="668" t="s">
        <v>75</v>
      </c>
      <c r="R56" s="668" t="s">
        <v>19</v>
      </c>
      <c r="S56" s="668" t="s">
        <v>76</v>
      </c>
      <c r="T56" s="668" t="s">
        <v>75</v>
      </c>
      <c r="U56" s="668" t="s">
        <v>19</v>
      </c>
      <c r="V56" s="668" t="s">
        <v>76</v>
      </c>
      <c r="W56" s="668" t="s">
        <v>75</v>
      </c>
      <c r="X56" s="668" t="s">
        <v>76</v>
      </c>
      <c r="Y56" s="669" t="s">
        <v>75</v>
      </c>
      <c r="Z56" s="670" t="s">
        <v>19</v>
      </c>
      <c r="AA56" s="668" t="s">
        <v>76</v>
      </c>
      <c r="AB56" s="671" t="s">
        <v>75</v>
      </c>
    </row>
    <row r="57" spans="1:28" s="667" customFormat="1" ht="22.5" customHeight="1">
      <c r="A57" s="673" t="str">
        <f>A32</f>
        <v>0~4</v>
      </c>
      <c r="B57" s="674">
        <f t="shared" ref="B57:B77" si="31">SUM(C57:D57)</f>
        <v>84007</v>
      </c>
      <c r="C57" s="674">
        <f t="shared" ref="C57:D74" si="32">AA32</f>
        <v>42762</v>
      </c>
      <c r="D57" s="674">
        <f t="shared" si="32"/>
        <v>41245</v>
      </c>
      <c r="E57" s="675">
        <f t="shared" ref="E57:F74" si="33">ROUND(C57/$B57,2)</f>
        <v>0.51</v>
      </c>
      <c r="F57" s="675">
        <f t="shared" si="33"/>
        <v>0.49</v>
      </c>
      <c r="G57" s="674"/>
      <c r="H57" s="674"/>
      <c r="I57" s="676"/>
      <c r="J57" s="676"/>
      <c r="K57" s="676"/>
      <c r="L57" s="676"/>
      <c r="M57" s="676"/>
      <c r="N57" s="676"/>
      <c r="O57" s="676">
        <f>AVERAGE(P57:Q57)</f>
        <v>3.0025E-3</v>
      </c>
      <c r="P57" s="676">
        <f>'#3. 생잔율'!J4</f>
        <v>3.2699999999999999E-3</v>
      </c>
      <c r="Q57" s="676">
        <f>'#3. 생잔율'!K4</f>
        <v>2.735E-3</v>
      </c>
      <c r="R57" s="676"/>
      <c r="S57" s="676"/>
      <c r="T57" s="676"/>
      <c r="U57" s="676"/>
      <c r="V57" s="676"/>
      <c r="W57" s="676"/>
      <c r="X57" s="677">
        <f>'#3. 생잔율'!L5</f>
        <v>0.99977000000000005</v>
      </c>
      <c r="Y57" s="678">
        <f>'#3. 생잔율'!M5</f>
        <v>0.99958499999999995</v>
      </c>
      <c r="Z57" s="679">
        <f t="shared" ref="Z57:Z78" si="34">SUM(AA57:AB57)</f>
        <v>81225</v>
      </c>
      <c r="AA57" s="680">
        <f>ROUND(V78,0)</f>
        <v>41291</v>
      </c>
      <c r="AB57" s="681">
        <f>ROUND(W78,0)</f>
        <v>39934</v>
      </c>
    </row>
    <row r="58" spans="1:28" s="667" customFormat="1" ht="22.5" customHeight="1">
      <c r="A58" s="673" t="str">
        <f t="shared" ref="A58:A77" si="35">A33</f>
        <v>5~9</v>
      </c>
      <c r="B58" s="683">
        <f t="shared" si="31"/>
        <v>139592</v>
      </c>
      <c r="C58" s="683">
        <f t="shared" si="32"/>
        <v>71430</v>
      </c>
      <c r="D58" s="683">
        <f t="shared" si="32"/>
        <v>68162</v>
      </c>
      <c r="E58" s="684">
        <f t="shared" si="33"/>
        <v>0.51</v>
      </c>
      <c r="F58" s="684">
        <f t="shared" si="33"/>
        <v>0.49</v>
      </c>
      <c r="G58" s="683"/>
      <c r="H58" s="683"/>
      <c r="I58" s="685"/>
      <c r="J58" s="685"/>
      <c r="K58" s="685"/>
      <c r="L58" s="685"/>
      <c r="M58" s="685"/>
      <c r="N58" s="685"/>
      <c r="O58" s="685"/>
      <c r="P58" s="685"/>
      <c r="Q58" s="685"/>
      <c r="R58" s="685"/>
      <c r="S58" s="685"/>
      <c r="T58" s="685"/>
      <c r="U58" s="685"/>
      <c r="V58" s="685"/>
      <c r="W58" s="685"/>
      <c r="X58" s="704">
        <f>'#3. 생잔율'!L6</f>
        <v>0.99978</v>
      </c>
      <c r="Y58" s="705">
        <f>'#3. 생잔율'!M6</f>
        <v>0.99987499999999996</v>
      </c>
      <c r="Z58" s="703">
        <f t="shared" si="34"/>
        <v>83980</v>
      </c>
      <c r="AA58" s="686">
        <f t="shared" ref="AA58:AB73" si="36">ROUND(C57*X57,0)</f>
        <v>42752</v>
      </c>
      <c r="AB58" s="687">
        <f t="shared" si="36"/>
        <v>41228</v>
      </c>
    </row>
    <row r="59" spans="1:28" s="667" customFormat="1" ht="22.5" customHeight="1">
      <c r="A59" s="673" t="str">
        <f t="shared" si="35"/>
        <v>10~14</v>
      </c>
      <c r="B59" s="683">
        <f t="shared" si="31"/>
        <v>98834</v>
      </c>
      <c r="C59" s="683">
        <f t="shared" si="32"/>
        <v>51042</v>
      </c>
      <c r="D59" s="683">
        <f t="shared" si="32"/>
        <v>47792</v>
      </c>
      <c r="E59" s="684">
        <f t="shared" si="33"/>
        <v>0.52</v>
      </c>
      <c r="F59" s="684">
        <f t="shared" si="33"/>
        <v>0.48</v>
      </c>
      <c r="G59" s="683"/>
      <c r="H59" s="683"/>
      <c r="I59" s="685"/>
      <c r="J59" s="685"/>
      <c r="K59" s="685"/>
      <c r="L59" s="685"/>
      <c r="M59" s="685"/>
      <c r="N59" s="685"/>
      <c r="O59" s="685"/>
      <c r="P59" s="685"/>
      <c r="Q59" s="685"/>
      <c r="R59" s="685"/>
      <c r="S59" s="685"/>
      <c r="T59" s="685"/>
      <c r="U59" s="685"/>
      <c r="V59" s="685"/>
      <c r="W59" s="685"/>
      <c r="X59" s="704">
        <f>'#3. 생잔율'!L7</f>
        <v>0.99965000000000004</v>
      </c>
      <c r="Y59" s="705">
        <f>'#3. 생잔율'!M7</f>
        <v>0.99990500000000004</v>
      </c>
      <c r="Z59" s="703">
        <f t="shared" si="34"/>
        <v>139567</v>
      </c>
      <c r="AA59" s="686">
        <f t="shared" si="36"/>
        <v>71414</v>
      </c>
      <c r="AB59" s="687">
        <f t="shared" si="36"/>
        <v>68153</v>
      </c>
    </row>
    <row r="60" spans="1:28" s="667" customFormat="1" ht="22.5" customHeight="1">
      <c r="A60" s="673" t="str">
        <f t="shared" si="35"/>
        <v>15~19</v>
      </c>
      <c r="B60" s="683">
        <f t="shared" si="31"/>
        <v>100530</v>
      </c>
      <c r="C60" s="683">
        <f t="shared" si="32"/>
        <v>52076</v>
      </c>
      <c r="D60" s="683">
        <f t="shared" si="32"/>
        <v>48454</v>
      </c>
      <c r="E60" s="684">
        <f t="shared" si="33"/>
        <v>0.52</v>
      </c>
      <c r="F60" s="684">
        <f t="shared" si="33"/>
        <v>0.48</v>
      </c>
      <c r="G60" s="689">
        <f>'#1. 장래인구 성비'!$H$29</f>
        <v>0.50855120896402595</v>
      </c>
      <c r="H60" s="689">
        <f>'#1. 장래인구 성비'!$I$29</f>
        <v>0.49144879103597405</v>
      </c>
      <c r="I60" s="690">
        <f>'#2. 모의 연령별 출산율'!D8</f>
        <v>1.5799999999999998</v>
      </c>
      <c r="J60" s="685">
        <f t="shared" ref="J60:K66" si="37">ROUND(G60*$I60,2)</f>
        <v>0.8</v>
      </c>
      <c r="K60" s="685">
        <f t="shared" si="37"/>
        <v>0.78</v>
      </c>
      <c r="L60" s="686">
        <f t="shared" ref="L60:L66" si="38">SUM(M60:N60)</f>
        <v>383</v>
      </c>
      <c r="M60" s="686">
        <f t="shared" ref="M60:M66" si="39">ROUND(J60*L$55*$D60/1000,0)</f>
        <v>194</v>
      </c>
      <c r="N60" s="686">
        <f t="shared" ref="N60:N66" si="40">ROUND(K60*L$55*$D60/1000,0)</f>
        <v>189</v>
      </c>
      <c r="O60" s="685"/>
      <c r="P60" s="685"/>
      <c r="Q60" s="685"/>
      <c r="R60" s="686">
        <f t="shared" ref="R60:R66" si="41">SUM(S60:T60)</f>
        <v>2</v>
      </c>
      <c r="S60" s="686">
        <f t="shared" ref="S60:T66" si="42">ROUND(M60*P$57,0)</f>
        <v>1</v>
      </c>
      <c r="T60" s="686">
        <f t="shared" si="42"/>
        <v>1</v>
      </c>
      <c r="U60" s="686">
        <f t="shared" ref="U60:U66" si="43">SUM(V60:W60)</f>
        <v>381</v>
      </c>
      <c r="V60" s="683">
        <f t="shared" ref="V60:W66" si="44">M60-S60</f>
        <v>193</v>
      </c>
      <c r="W60" s="683">
        <f t="shared" si="44"/>
        <v>188</v>
      </c>
      <c r="X60" s="704">
        <f>'#3. 생잔율'!L8</f>
        <v>0.99884499999999998</v>
      </c>
      <c r="Y60" s="705">
        <f>'#3. 생잔율'!M8</f>
        <v>0.99936499999999995</v>
      </c>
      <c r="Z60" s="703">
        <f t="shared" si="34"/>
        <v>98811</v>
      </c>
      <c r="AA60" s="686">
        <f t="shared" si="36"/>
        <v>51024</v>
      </c>
      <c r="AB60" s="687">
        <f t="shared" si="36"/>
        <v>47787</v>
      </c>
    </row>
    <row r="61" spans="1:28" s="667" customFormat="1" ht="22.5" customHeight="1">
      <c r="A61" s="673" t="str">
        <f t="shared" si="35"/>
        <v>20~24</v>
      </c>
      <c r="B61" s="683">
        <f t="shared" si="31"/>
        <v>117059</v>
      </c>
      <c r="C61" s="683">
        <f t="shared" si="32"/>
        <v>60973</v>
      </c>
      <c r="D61" s="683">
        <f t="shared" si="32"/>
        <v>56086</v>
      </c>
      <c r="E61" s="684">
        <f t="shared" si="33"/>
        <v>0.52</v>
      </c>
      <c r="F61" s="684">
        <f t="shared" si="33"/>
        <v>0.48</v>
      </c>
      <c r="G61" s="689">
        <f>'#1. 장래인구 성비'!$H$29</f>
        <v>0.50855120896402595</v>
      </c>
      <c r="H61" s="689">
        <f>'#1. 장래인구 성비'!$I$29</f>
        <v>0.49144879103597405</v>
      </c>
      <c r="I61" s="690">
        <f>'#2. 모의 연령별 출산율'!D9</f>
        <v>14.419999999999998</v>
      </c>
      <c r="J61" s="685">
        <f t="shared" si="37"/>
        <v>7.33</v>
      </c>
      <c r="K61" s="685">
        <f t="shared" si="37"/>
        <v>7.09</v>
      </c>
      <c r="L61" s="686">
        <f t="shared" si="38"/>
        <v>4044</v>
      </c>
      <c r="M61" s="686">
        <f t="shared" si="39"/>
        <v>2056</v>
      </c>
      <c r="N61" s="686">
        <f t="shared" si="40"/>
        <v>1988</v>
      </c>
      <c r="O61" s="685"/>
      <c r="P61" s="685"/>
      <c r="Q61" s="685"/>
      <c r="R61" s="686">
        <f t="shared" si="41"/>
        <v>12</v>
      </c>
      <c r="S61" s="686">
        <f t="shared" si="42"/>
        <v>7</v>
      </c>
      <c r="T61" s="686">
        <f t="shared" si="42"/>
        <v>5</v>
      </c>
      <c r="U61" s="686">
        <f t="shared" si="43"/>
        <v>4032</v>
      </c>
      <c r="V61" s="683">
        <f t="shared" si="44"/>
        <v>2049</v>
      </c>
      <c r="W61" s="683">
        <f t="shared" si="44"/>
        <v>1983</v>
      </c>
      <c r="X61" s="704">
        <f>'#3. 생잔율'!L9</f>
        <v>0.99858999999999998</v>
      </c>
      <c r="Y61" s="705">
        <f>'#3. 생잔율'!M9</f>
        <v>0.99920500000000001</v>
      </c>
      <c r="Z61" s="703">
        <f t="shared" si="34"/>
        <v>100439</v>
      </c>
      <c r="AA61" s="686">
        <f t="shared" si="36"/>
        <v>52016</v>
      </c>
      <c r="AB61" s="687">
        <f t="shared" si="36"/>
        <v>48423</v>
      </c>
    </row>
    <row r="62" spans="1:28" s="667" customFormat="1" ht="22.5" customHeight="1">
      <c r="A62" s="673" t="str">
        <f t="shared" si="35"/>
        <v>25~29</v>
      </c>
      <c r="B62" s="683">
        <f t="shared" si="31"/>
        <v>128046</v>
      </c>
      <c r="C62" s="683">
        <f t="shared" si="32"/>
        <v>67843</v>
      </c>
      <c r="D62" s="683">
        <f t="shared" si="32"/>
        <v>60203</v>
      </c>
      <c r="E62" s="684">
        <f t="shared" si="33"/>
        <v>0.53</v>
      </c>
      <c r="F62" s="684">
        <f t="shared" si="33"/>
        <v>0.47</v>
      </c>
      <c r="G62" s="689">
        <f>'#1. 장래인구 성비'!$H$29</f>
        <v>0.50855120896402595</v>
      </c>
      <c r="H62" s="689">
        <f>'#1. 장래인구 성비'!$I$29</f>
        <v>0.49144879103597405</v>
      </c>
      <c r="I62" s="690">
        <f>'#2. 모의 연령별 출산율'!D10</f>
        <v>63.4</v>
      </c>
      <c r="J62" s="685">
        <f t="shared" si="37"/>
        <v>32.24</v>
      </c>
      <c r="K62" s="685">
        <f t="shared" si="37"/>
        <v>31.16</v>
      </c>
      <c r="L62" s="686">
        <f t="shared" si="38"/>
        <v>19085</v>
      </c>
      <c r="M62" s="686">
        <f t="shared" si="39"/>
        <v>9705</v>
      </c>
      <c r="N62" s="686">
        <f t="shared" si="40"/>
        <v>9380</v>
      </c>
      <c r="O62" s="685"/>
      <c r="P62" s="685"/>
      <c r="Q62" s="685"/>
      <c r="R62" s="686">
        <f t="shared" si="41"/>
        <v>58</v>
      </c>
      <c r="S62" s="686">
        <f t="shared" si="42"/>
        <v>32</v>
      </c>
      <c r="T62" s="686">
        <f t="shared" si="42"/>
        <v>26</v>
      </c>
      <c r="U62" s="686">
        <f t="shared" si="43"/>
        <v>19027</v>
      </c>
      <c r="V62" s="683">
        <f t="shared" si="44"/>
        <v>9673</v>
      </c>
      <c r="W62" s="683">
        <f t="shared" si="44"/>
        <v>9354</v>
      </c>
      <c r="X62" s="704">
        <f>'#3. 생잔율'!L10</f>
        <v>0.99784499999999998</v>
      </c>
      <c r="Y62" s="705">
        <f>'#3. 생잔율'!M10</f>
        <v>0.99885500000000005</v>
      </c>
      <c r="Z62" s="703">
        <f t="shared" si="34"/>
        <v>116928</v>
      </c>
      <c r="AA62" s="686">
        <f t="shared" si="36"/>
        <v>60887</v>
      </c>
      <c r="AB62" s="687">
        <f t="shared" si="36"/>
        <v>56041</v>
      </c>
    </row>
    <row r="63" spans="1:28" s="667" customFormat="1" ht="22.5" customHeight="1">
      <c r="A63" s="673" t="str">
        <f t="shared" si="35"/>
        <v>30~34</v>
      </c>
      <c r="B63" s="683">
        <f t="shared" si="31"/>
        <v>120293</v>
      </c>
      <c r="C63" s="683">
        <f t="shared" si="32"/>
        <v>64731</v>
      </c>
      <c r="D63" s="683">
        <f t="shared" si="32"/>
        <v>55562</v>
      </c>
      <c r="E63" s="684">
        <f t="shared" si="33"/>
        <v>0.54</v>
      </c>
      <c r="F63" s="684">
        <f t="shared" si="33"/>
        <v>0.46</v>
      </c>
      <c r="G63" s="689">
        <f>'#1. 장래인구 성비'!$H$29</f>
        <v>0.50855120896402595</v>
      </c>
      <c r="H63" s="689">
        <f>'#1. 장래인구 성비'!$I$29</f>
        <v>0.49144879103597405</v>
      </c>
      <c r="I63" s="690">
        <f>'#2. 모의 연령별 출산율'!D11</f>
        <v>112.82000000000001</v>
      </c>
      <c r="J63" s="685">
        <f t="shared" si="37"/>
        <v>57.37</v>
      </c>
      <c r="K63" s="685">
        <f t="shared" si="37"/>
        <v>55.45</v>
      </c>
      <c r="L63" s="686">
        <f t="shared" si="38"/>
        <v>31343</v>
      </c>
      <c r="M63" s="686">
        <f t="shared" si="39"/>
        <v>15938</v>
      </c>
      <c r="N63" s="686">
        <f t="shared" si="40"/>
        <v>15405</v>
      </c>
      <c r="O63" s="685"/>
      <c r="P63" s="685"/>
      <c r="Q63" s="685"/>
      <c r="R63" s="686">
        <f t="shared" si="41"/>
        <v>94</v>
      </c>
      <c r="S63" s="686">
        <f t="shared" si="42"/>
        <v>52</v>
      </c>
      <c r="T63" s="686">
        <f t="shared" si="42"/>
        <v>42</v>
      </c>
      <c r="U63" s="686">
        <f t="shared" si="43"/>
        <v>31249</v>
      </c>
      <c r="V63" s="683">
        <f t="shared" si="44"/>
        <v>15886</v>
      </c>
      <c r="W63" s="683">
        <f t="shared" si="44"/>
        <v>15363</v>
      </c>
      <c r="X63" s="704">
        <f>'#3. 생잔율'!L11</f>
        <v>0.99719500000000005</v>
      </c>
      <c r="Y63" s="705">
        <f>'#3. 생잔율'!M11</f>
        <v>0.99844500000000003</v>
      </c>
      <c r="Z63" s="703">
        <f t="shared" si="34"/>
        <v>127831</v>
      </c>
      <c r="AA63" s="686">
        <f t="shared" si="36"/>
        <v>67697</v>
      </c>
      <c r="AB63" s="687">
        <f t="shared" si="36"/>
        <v>60134</v>
      </c>
    </row>
    <row r="64" spans="1:28" s="667" customFormat="1" ht="22.5" customHeight="1">
      <c r="A64" s="673" t="str">
        <f t="shared" si="35"/>
        <v>35~39</v>
      </c>
      <c r="B64" s="683">
        <f t="shared" si="31"/>
        <v>131993</v>
      </c>
      <c r="C64" s="683">
        <f t="shared" si="32"/>
        <v>70899</v>
      </c>
      <c r="D64" s="683">
        <f t="shared" si="32"/>
        <v>61094</v>
      </c>
      <c r="E64" s="684">
        <f t="shared" si="33"/>
        <v>0.54</v>
      </c>
      <c r="F64" s="684">
        <f t="shared" si="33"/>
        <v>0.46</v>
      </c>
      <c r="G64" s="689">
        <f>'#1. 장래인구 성비'!$H$29</f>
        <v>0.50855120896402595</v>
      </c>
      <c r="H64" s="689">
        <f>'#1. 장래인구 성비'!$I$29</f>
        <v>0.49144879103597405</v>
      </c>
      <c r="I64" s="690">
        <f>'#2. 모의 연령별 출산율'!D12</f>
        <v>66.56</v>
      </c>
      <c r="J64" s="685">
        <f t="shared" si="37"/>
        <v>33.85</v>
      </c>
      <c r="K64" s="685">
        <f t="shared" si="37"/>
        <v>32.71</v>
      </c>
      <c r="L64" s="686">
        <f t="shared" si="38"/>
        <v>20332</v>
      </c>
      <c r="M64" s="686">
        <f t="shared" si="39"/>
        <v>10340</v>
      </c>
      <c r="N64" s="686">
        <f t="shared" si="40"/>
        <v>9992</v>
      </c>
      <c r="O64" s="685"/>
      <c r="P64" s="685"/>
      <c r="Q64" s="685"/>
      <c r="R64" s="686">
        <f t="shared" si="41"/>
        <v>61</v>
      </c>
      <c r="S64" s="686">
        <f t="shared" si="42"/>
        <v>34</v>
      </c>
      <c r="T64" s="686">
        <f t="shared" si="42"/>
        <v>27</v>
      </c>
      <c r="U64" s="686">
        <f t="shared" si="43"/>
        <v>20271</v>
      </c>
      <c r="V64" s="683">
        <f t="shared" si="44"/>
        <v>10306</v>
      </c>
      <c r="W64" s="683">
        <f t="shared" si="44"/>
        <v>9965</v>
      </c>
      <c r="X64" s="704">
        <f>'#3. 생잔율'!L12</f>
        <v>0.99609499999999995</v>
      </c>
      <c r="Y64" s="705">
        <f>'#3. 생잔율'!M12</f>
        <v>0.997865</v>
      </c>
      <c r="Z64" s="703">
        <f t="shared" si="34"/>
        <v>120025</v>
      </c>
      <c r="AA64" s="686">
        <f t="shared" si="36"/>
        <v>64549</v>
      </c>
      <c r="AB64" s="687">
        <f t="shared" si="36"/>
        <v>55476</v>
      </c>
    </row>
    <row r="65" spans="1:28" s="667" customFormat="1" ht="22.5" customHeight="1">
      <c r="A65" s="673" t="str">
        <f t="shared" si="35"/>
        <v>40~44</v>
      </c>
      <c r="B65" s="683">
        <f t="shared" si="31"/>
        <v>148154</v>
      </c>
      <c r="C65" s="683">
        <f t="shared" si="32"/>
        <v>78927</v>
      </c>
      <c r="D65" s="683">
        <f t="shared" si="32"/>
        <v>69227</v>
      </c>
      <c r="E65" s="684">
        <f t="shared" si="33"/>
        <v>0.53</v>
      </c>
      <c r="F65" s="684">
        <f t="shared" si="33"/>
        <v>0.47</v>
      </c>
      <c r="G65" s="689">
        <f>'#1. 장래인구 성비'!$H$29</f>
        <v>0.50855120896402595</v>
      </c>
      <c r="H65" s="689">
        <f>'#1. 장래인구 성비'!$I$29</f>
        <v>0.49144879103597405</v>
      </c>
      <c r="I65" s="690">
        <f>'#2. 모의 연령별 출산율'!D13</f>
        <v>15.56</v>
      </c>
      <c r="J65" s="685">
        <f t="shared" si="37"/>
        <v>7.91</v>
      </c>
      <c r="K65" s="685">
        <f t="shared" si="37"/>
        <v>7.65</v>
      </c>
      <c r="L65" s="686">
        <f t="shared" si="38"/>
        <v>5386</v>
      </c>
      <c r="M65" s="686">
        <f t="shared" si="39"/>
        <v>2738</v>
      </c>
      <c r="N65" s="686">
        <f t="shared" si="40"/>
        <v>2648</v>
      </c>
      <c r="O65" s="685"/>
      <c r="P65" s="685"/>
      <c r="Q65" s="685"/>
      <c r="R65" s="686">
        <f t="shared" si="41"/>
        <v>16</v>
      </c>
      <c r="S65" s="686">
        <f t="shared" si="42"/>
        <v>9</v>
      </c>
      <c r="T65" s="686">
        <f t="shared" si="42"/>
        <v>7</v>
      </c>
      <c r="U65" s="686">
        <f t="shared" si="43"/>
        <v>5370</v>
      </c>
      <c r="V65" s="683">
        <f t="shared" si="44"/>
        <v>2729</v>
      </c>
      <c r="W65" s="683">
        <f t="shared" si="44"/>
        <v>2641</v>
      </c>
      <c r="X65" s="704">
        <f>'#3. 생잔율'!L13</f>
        <v>0.993425</v>
      </c>
      <c r="Y65" s="705">
        <f>'#3. 생잔율'!M13</f>
        <v>0.99692999999999998</v>
      </c>
      <c r="Z65" s="703">
        <f t="shared" si="34"/>
        <v>131586</v>
      </c>
      <c r="AA65" s="686">
        <f t="shared" si="36"/>
        <v>70622</v>
      </c>
      <c r="AB65" s="687">
        <f t="shared" si="36"/>
        <v>60964</v>
      </c>
    </row>
    <row r="66" spans="1:28" s="667" customFormat="1" ht="22.5" customHeight="1">
      <c r="A66" s="673" t="str">
        <f t="shared" si="35"/>
        <v>45~49</v>
      </c>
      <c r="B66" s="683">
        <f t="shared" si="31"/>
        <v>159224</v>
      </c>
      <c r="C66" s="683">
        <f t="shared" si="32"/>
        <v>84409</v>
      </c>
      <c r="D66" s="683">
        <f t="shared" si="32"/>
        <v>74815</v>
      </c>
      <c r="E66" s="684">
        <f t="shared" si="33"/>
        <v>0.53</v>
      </c>
      <c r="F66" s="684">
        <f t="shared" si="33"/>
        <v>0.47</v>
      </c>
      <c r="G66" s="689">
        <f>'#1. 장래인구 성비'!$H$29</f>
        <v>0.50855120896402595</v>
      </c>
      <c r="H66" s="689">
        <f>'#1. 장래인구 성비'!$I$29</f>
        <v>0.49144879103597405</v>
      </c>
      <c r="I66" s="690">
        <f>'#2. 모의 연령별 출산율'!D14</f>
        <v>2.4000000000000004</v>
      </c>
      <c r="J66" s="685">
        <f t="shared" si="37"/>
        <v>1.22</v>
      </c>
      <c r="K66" s="685">
        <f t="shared" si="37"/>
        <v>1.18</v>
      </c>
      <c r="L66" s="686">
        <f t="shared" si="38"/>
        <v>897</v>
      </c>
      <c r="M66" s="686">
        <f t="shared" si="39"/>
        <v>456</v>
      </c>
      <c r="N66" s="686">
        <f t="shared" si="40"/>
        <v>441</v>
      </c>
      <c r="O66" s="685"/>
      <c r="P66" s="685"/>
      <c r="Q66" s="685"/>
      <c r="R66" s="686">
        <f t="shared" si="41"/>
        <v>2</v>
      </c>
      <c r="S66" s="686">
        <f t="shared" si="42"/>
        <v>1</v>
      </c>
      <c r="T66" s="686">
        <f t="shared" si="42"/>
        <v>1</v>
      </c>
      <c r="U66" s="686">
        <f t="shared" si="43"/>
        <v>895</v>
      </c>
      <c r="V66" s="683">
        <f t="shared" si="44"/>
        <v>455</v>
      </c>
      <c r="W66" s="683">
        <f t="shared" si="44"/>
        <v>440</v>
      </c>
      <c r="X66" s="704">
        <f>'#3. 생잔율'!L14</f>
        <v>0.98880500000000005</v>
      </c>
      <c r="Y66" s="705">
        <f>'#3. 생잔율'!M14</f>
        <v>0.99589000000000005</v>
      </c>
      <c r="Z66" s="703">
        <f t="shared" si="34"/>
        <v>147422</v>
      </c>
      <c r="AA66" s="686">
        <f t="shared" si="36"/>
        <v>78408</v>
      </c>
      <c r="AB66" s="687">
        <f t="shared" si="36"/>
        <v>69014</v>
      </c>
    </row>
    <row r="67" spans="1:28" s="667" customFormat="1" ht="22.5" customHeight="1">
      <c r="A67" s="673" t="str">
        <f t="shared" si="35"/>
        <v>50~54</v>
      </c>
      <c r="B67" s="683">
        <f t="shared" si="31"/>
        <v>163402</v>
      </c>
      <c r="C67" s="683">
        <f t="shared" si="32"/>
        <v>86410</v>
      </c>
      <c r="D67" s="683">
        <f t="shared" si="32"/>
        <v>76992</v>
      </c>
      <c r="E67" s="684">
        <f t="shared" si="33"/>
        <v>0.53</v>
      </c>
      <c r="F67" s="684">
        <f t="shared" si="33"/>
        <v>0.47</v>
      </c>
      <c r="G67" s="692"/>
      <c r="H67" s="683"/>
      <c r="I67" s="685"/>
      <c r="J67" s="685"/>
      <c r="K67" s="685"/>
      <c r="L67" s="685"/>
      <c r="M67" s="685"/>
      <c r="N67" s="685"/>
      <c r="O67" s="685"/>
      <c r="P67" s="685"/>
      <c r="Q67" s="685"/>
      <c r="R67" s="685"/>
      <c r="S67" s="685"/>
      <c r="T67" s="685"/>
      <c r="U67" s="685"/>
      <c r="V67" s="685"/>
      <c r="W67" s="685"/>
      <c r="X67" s="704">
        <f>'#3. 생잔율'!L15</f>
        <v>0.98425499999999999</v>
      </c>
      <c r="Y67" s="705">
        <f>'#3. 생잔율'!M15</f>
        <v>0.99380000000000002</v>
      </c>
      <c r="Z67" s="703">
        <f t="shared" si="34"/>
        <v>157972</v>
      </c>
      <c r="AA67" s="686">
        <f t="shared" si="36"/>
        <v>83464</v>
      </c>
      <c r="AB67" s="687">
        <f t="shared" si="36"/>
        <v>74508</v>
      </c>
    </row>
    <row r="68" spans="1:28" s="667" customFormat="1" ht="22.5" customHeight="1">
      <c r="A68" s="673" t="str">
        <f t="shared" si="35"/>
        <v>55~59</v>
      </c>
      <c r="B68" s="683">
        <f t="shared" si="31"/>
        <v>160237</v>
      </c>
      <c r="C68" s="683">
        <f t="shared" si="32"/>
        <v>84058</v>
      </c>
      <c r="D68" s="683">
        <f t="shared" si="32"/>
        <v>76179</v>
      </c>
      <c r="E68" s="684">
        <f t="shared" si="33"/>
        <v>0.52</v>
      </c>
      <c r="F68" s="684">
        <f t="shared" si="33"/>
        <v>0.48</v>
      </c>
      <c r="G68" s="683"/>
      <c r="H68" s="683"/>
      <c r="I68" s="685"/>
      <c r="J68" s="685"/>
      <c r="K68" s="685"/>
      <c r="L68" s="685"/>
      <c r="M68" s="685"/>
      <c r="N68" s="685"/>
      <c r="O68" s="685"/>
      <c r="P68" s="685"/>
      <c r="Q68" s="685"/>
      <c r="R68" s="685"/>
      <c r="S68" s="685"/>
      <c r="T68" s="685"/>
      <c r="U68" s="685"/>
      <c r="V68" s="685"/>
      <c r="W68" s="685"/>
      <c r="X68" s="704">
        <f>'#3. 생잔율'!L16</f>
        <v>0.97640000000000005</v>
      </c>
      <c r="Y68" s="705">
        <f>'#3. 생잔율'!M16</f>
        <v>0.99227500000000002</v>
      </c>
      <c r="Z68" s="703">
        <f t="shared" si="34"/>
        <v>161564</v>
      </c>
      <c r="AA68" s="686">
        <f t="shared" si="36"/>
        <v>85049</v>
      </c>
      <c r="AB68" s="687">
        <f t="shared" si="36"/>
        <v>76515</v>
      </c>
    </row>
    <row r="69" spans="1:28" s="667" customFormat="1" ht="22.5" customHeight="1">
      <c r="A69" s="673" t="str">
        <f t="shared" si="35"/>
        <v>60~64</v>
      </c>
      <c r="B69" s="683">
        <f t="shared" si="31"/>
        <v>152580</v>
      </c>
      <c r="C69" s="683">
        <f t="shared" si="32"/>
        <v>77584</v>
      </c>
      <c r="D69" s="683">
        <f t="shared" si="32"/>
        <v>74996</v>
      </c>
      <c r="E69" s="684">
        <f t="shared" si="33"/>
        <v>0.51</v>
      </c>
      <c r="F69" s="684">
        <f t="shared" si="33"/>
        <v>0.49</v>
      </c>
      <c r="G69" s="683"/>
      <c r="H69" s="683"/>
      <c r="I69" s="685"/>
      <c r="J69" s="685"/>
      <c r="K69" s="685"/>
      <c r="L69" s="685"/>
      <c r="M69" s="685"/>
      <c r="N69" s="685"/>
      <c r="O69" s="685"/>
      <c r="P69" s="685"/>
      <c r="Q69" s="685"/>
      <c r="R69" s="685"/>
      <c r="S69" s="685"/>
      <c r="T69" s="685"/>
      <c r="U69" s="685"/>
      <c r="V69" s="685"/>
      <c r="W69" s="685"/>
      <c r="X69" s="704">
        <f>'#3. 생잔율'!L17</f>
        <v>0.96568500000000002</v>
      </c>
      <c r="Y69" s="705">
        <f>'#3. 생잔율'!M17</f>
        <v>0.98878500000000003</v>
      </c>
      <c r="Z69" s="703">
        <f t="shared" si="34"/>
        <v>157665</v>
      </c>
      <c r="AA69" s="686">
        <f t="shared" si="36"/>
        <v>82074</v>
      </c>
      <c r="AB69" s="687">
        <f t="shared" si="36"/>
        <v>75591</v>
      </c>
    </row>
    <row r="70" spans="1:28" s="667" customFormat="1" ht="22.5" customHeight="1">
      <c r="A70" s="673" t="str">
        <f t="shared" si="35"/>
        <v>65~69</v>
      </c>
      <c r="B70" s="683">
        <f t="shared" si="31"/>
        <v>125203</v>
      </c>
      <c r="C70" s="683">
        <f t="shared" si="32"/>
        <v>61193</v>
      </c>
      <c r="D70" s="683">
        <f t="shared" si="32"/>
        <v>64010</v>
      </c>
      <c r="E70" s="684">
        <f t="shared" si="33"/>
        <v>0.49</v>
      </c>
      <c r="F70" s="684">
        <f t="shared" si="33"/>
        <v>0.51</v>
      </c>
      <c r="G70" s="683"/>
      <c r="H70" s="683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704">
        <f>'#3. 생잔율'!L18</f>
        <v>0.95059499999999997</v>
      </c>
      <c r="Y70" s="705">
        <f>'#3. 생잔율'!M18</f>
        <v>0.98117500000000002</v>
      </c>
      <c r="Z70" s="703">
        <f t="shared" si="34"/>
        <v>149077</v>
      </c>
      <c r="AA70" s="686">
        <f t="shared" si="36"/>
        <v>74922</v>
      </c>
      <c r="AB70" s="687">
        <f t="shared" si="36"/>
        <v>74155</v>
      </c>
    </row>
    <row r="71" spans="1:28" s="667" customFormat="1" ht="22.5" customHeight="1">
      <c r="A71" s="673" t="str">
        <f t="shared" si="35"/>
        <v>70~74</v>
      </c>
      <c r="B71" s="683">
        <f t="shared" si="31"/>
        <v>96276</v>
      </c>
      <c r="C71" s="683">
        <f t="shared" si="32"/>
        <v>45530</v>
      </c>
      <c r="D71" s="683">
        <f t="shared" si="32"/>
        <v>50746</v>
      </c>
      <c r="E71" s="684">
        <f t="shared" si="33"/>
        <v>0.47</v>
      </c>
      <c r="F71" s="684">
        <f t="shared" si="33"/>
        <v>0.53</v>
      </c>
      <c r="G71" s="683"/>
      <c r="H71" s="683"/>
      <c r="I71" s="685"/>
      <c r="J71" s="685"/>
      <c r="K71" s="685"/>
      <c r="L71" s="685"/>
      <c r="M71" s="685"/>
      <c r="N71" s="685"/>
      <c r="O71" s="685"/>
      <c r="P71" s="685"/>
      <c r="Q71" s="685"/>
      <c r="R71" s="685"/>
      <c r="S71" s="685"/>
      <c r="T71" s="685"/>
      <c r="U71" s="685"/>
      <c r="V71" s="685"/>
      <c r="W71" s="685"/>
      <c r="X71" s="704">
        <f>'#3. 생잔율'!L19</f>
        <v>0.90466000000000002</v>
      </c>
      <c r="Y71" s="705">
        <f>'#3. 생잔율'!M19</f>
        <v>0.96376499999999998</v>
      </c>
      <c r="Z71" s="703">
        <f t="shared" si="34"/>
        <v>120975</v>
      </c>
      <c r="AA71" s="686">
        <f t="shared" si="36"/>
        <v>58170</v>
      </c>
      <c r="AB71" s="687">
        <f t="shared" si="36"/>
        <v>62805</v>
      </c>
    </row>
    <row r="72" spans="1:28" s="667" customFormat="1" ht="22.5" customHeight="1">
      <c r="A72" s="673" t="str">
        <f t="shared" si="35"/>
        <v>75~79</v>
      </c>
      <c r="B72" s="683">
        <f t="shared" si="31"/>
        <v>77322</v>
      </c>
      <c r="C72" s="683">
        <f t="shared" si="32"/>
        <v>32927</v>
      </c>
      <c r="D72" s="683">
        <f t="shared" si="32"/>
        <v>44395</v>
      </c>
      <c r="E72" s="684">
        <f t="shared" si="33"/>
        <v>0.43</v>
      </c>
      <c r="F72" s="684">
        <f t="shared" si="33"/>
        <v>0.56999999999999995</v>
      </c>
      <c r="G72" s="683"/>
      <c r="H72" s="683"/>
      <c r="I72" s="685"/>
      <c r="J72" s="685"/>
      <c r="K72" s="685"/>
      <c r="L72" s="685"/>
      <c r="M72" s="685"/>
      <c r="N72" s="685"/>
      <c r="O72" s="685"/>
      <c r="P72" s="685"/>
      <c r="Q72" s="685"/>
      <c r="R72" s="685"/>
      <c r="S72" s="685"/>
      <c r="T72" s="685"/>
      <c r="U72" s="685"/>
      <c r="V72" s="685"/>
      <c r="W72" s="685"/>
      <c r="X72" s="704">
        <f>'#3. 생잔율'!L20</f>
        <v>0.82511999999999996</v>
      </c>
      <c r="Y72" s="705">
        <f>'#3. 생잔율'!M20</f>
        <v>0.93001500000000004</v>
      </c>
      <c r="Z72" s="703">
        <f t="shared" si="34"/>
        <v>90096</v>
      </c>
      <c r="AA72" s="686">
        <f t="shared" si="36"/>
        <v>41189</v>
      </c>
      <c r="AB72" s="687">
        <f t="shared" si="36"/>
        <v>48907</v>
      </c>
    </row>
    <row r="73" spans="1:28" s="667" customFormat="1" ht="22.5" customHeight="1">
      <c r="A73" s="673" t="str">
        <f t="shared" si="35"/>
        <v>80~84</v>
      </c>
      <c r="B73" s="683">
        <f t="shared" si="31"/>
        <v>61764</v>
      </c>
      <c r="C73" s="683">
        <f t="shared" si="32"/>
        <v>22143</v>
      </c>
      <c r="D73" s="683">
        <f t="shared" si="32"/>
        <v>39621</v>
      </c>
      <c r="E73" s="684">
        <f t="shared" si="33"/>
        <v>0.36</v>
      </c>
      <c r="F73" s="684">
        <f t="shared" si="33"/>
        <v>0.64</v>
      </c>
      <c r="G73" s="683"/>
      <c r="H73" s="683"/>
      <c r="I73" s="685"/>
      <c r="J73" s="685"/>
      <c r="K73" s="685"/>
      <c r="L73" s="685"/>
      <c r="M73" s="685"/>
      <c r="N73" s="685"/>
      <c r="O73" s="685"/>
      <c r="P73" s="685"/>
      <c r="Q73" s="685"/>
      <c r="R73" s="685"/>
      <c r="S73" s="685"/>
      <c r="T73" s="685"/>
      <c r="U73" s="685"/>
      <c r="V73" s="685"/>
      <c r="W73" s="685"/>
      <c r="X73" s="704">
        <f>'#3. 생잔율'!L21</f>
        <v>0.692195</v>
      </c>
      <c r="Y73" s="705">
        <f>'#3. 생잔율'!M21</f>
        <v>0.86836500000000005</v>
      </c>
      <c r="Z73" s="703">
        <f t="shared" si="34"/>
        <v>68457</v>
      </c>
      <c r="AA73" s="686">
        <f t="shared" si="36"/>
        <v>27169</v>
      </c>
      <c r="AB73" s="687">
        <f t="shared" si="36"/>
        <v>41288</v>
      </c>
    </row>
    <row r="74" spans="1:28" s="667" customFormat="1" ht="22.5" customHeight="1">
      <c r="A74" s="673" t="str">
        <f t="shared" si="35"/>
        <v>85~89</v>
      </c>
      <c r="B74" s="683">
        <f t="shared" si="31"/>
        <v>40041</v>
      </c>
      <c r="C74" s="683">
        <f t="shared" si="32"/>
        <v>11327</v>
      </c>
      <c r="D74" s="683">
        <f t="shared" si="32"/>
        <v>28714</v>
      </c>
      <c r="E74" s="684">
        <f t="shared" si="33"/>
        <v>0.28000000000000003</v>
      </c>
      <c r="F74" s="684">
        <f t="shared" si="33"/>
        <v>0.72</v>
      </c>
      <c r="G74" s="683"/>
      <c r="H74" s="683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704">
        <f>'#3. 생잔율'!L22</f>
        <v>0.50078</v>
      </c>
      <c r="Y74" s="705">
        <f>'#3. 생잔율'!M22</f>
        <v>0.76158999999999999</v>
      </c>
      <c r="Z74" s="703">
        <f t="shared" si="34"/>
        <v>49732</v>
      </c>
      <c r="AA74" s="686">
        <f t="shared" ref="AA74:AB77" si="45">ROUND(C73*X73,0)</f>
        <v>15327</v>
      </c>
      <c r="AB74" s="687">
        <f t="shared" si="45"/>
        <v>34405</v>
      </c>
    </row>
    <row r="75" spans="1:28" s="667" customFormat="1" ht="22.5" customHeight="1">
      <c r="A75" s="673" t="str">
        <f t="shared" si="35"/>
        <v>90~94</v>
      </c>
      <c r="B75" s="683">
        <f t="shared" si="31"/>
        <v>16878</v>
      </c>
      <c r="C75" s="683">
        <f t="shared" ref="C75:D77" si="46">AA50</f>
        <v>3173</v>
      </c>
      <c r="D75" s="683">
        <f t="shared" si="46"/>
        <v>13705</v>
      </c>
      <c r="E75" s="684">
        <f t="shared" ref="E75:F77" si="47">ROUND(C75/$B75,2)</f>
        <v>0.19</v>
      </c>
      <c r="F75" s="684">
        <f t="shared" si="47"/>
        <v>0.81</v>
      </c>
      <c r="G75" s="694"/>
      <c r="H75" s="694"/>
      <c r="I75" s="695"/>
      <c r="J75" s="695"/>
      <c r="K75" s="695"/>
      <c r="L75" s="695"/>
      <c r="M75" s="695"/>
      <c r="N75" s="695"/>
      <c r="O75" s="695"/>
      <c r="P75" s="695"/>
      <c r="Q75" s="695"/>
      <c r="R75" s="695"/>
      <c r="S75" s="695"/>
      <c r="T75" s="695"/>
      <c r="U75" s="695"/>
      <c r="V75" s="695"/>
      <c r="W75" s="695"/>
      <c r="X75" s="704">
        <f>'#3. 생잔율'!L23</f>
        <v>0.28305000000000002</v>
      </c>
      <c r="Y75" s="705">
        <f>'#3. 생잔율'!M23</f>
        <v>0.59616999999999998</v>
      </c>
      <c r="Z75" s="703">
        <f t="shared" si="34"/>
        <v>27540</v>
      </c>
      <c r="AA75" s="686">
        <f t="shared" si="45"/>
        <v>5672</v>
      </c>
      <c r="AB75" s="687">
        <f t="shared" si="45"/>
        <v>21868</v>
      </c>
    </row>
    <row r="76" spans="1:28" s="667" customFormat="1" ht="22.5" customHeight="1">
      <c r="A76" s="673" t="str">
        <f t="shared" si="35"/>
        <v>95~99</v>
      </c>
      <c r="B76" s="683">
        <f t="shared" si="31"/>
        <v>4295</v>
      </c>
      <c r="C76" s="683">
        <f t="shared" si="46"/>
        <v>394</v>
      </c>
      <c r="D76" s="683">
        <f t="shared" si="46"/>
        <v>3901</v>
      </c>
      <c r="E76" s="684">
        <f t="shared" si="47"/>
        <v>0.09</v>
      </c>
      <c r="F76" s="684">
        <f t="shared" si="47"/>
        <v>0.91</v>
      </c>
      <c r="G76" s="694"/>
      <c r="H76" s="694"/>
      <c r="I76" s="695"/>
      <c r="J76" s="695"/>
      <c r="K76" s="695"/>
      <c r="L76" s="695"/>
      <c r="M76" s="695"/>
      <c r="N76" s="695"/>
      <c r="O76" s="695"/>
      <c r="P76" s="695"/>
      <c r="Q76" s="695"/>
      <c r="R76" s="695"/>
      <c r="S76" s="695"/>
      <c r="T76" s="695"/>
      <c r="U76" s="695"/>
      <c r="V76" s="695"/>
      <c r="W76" s="695"/>
      <c r="X76" s="704">
        <f>'#3. 생잔율'!L24</f>
        <v>0.109935</v>
      </c>
      <c r="Y76" s="705">
        <f>'#3. 생잔율'!M24</f>
        <v>0.38384499999999999</v>
      </c>
      <c r="Z76" s="703">
        <f t="shared" si="34"/>
        <v>9069</v>
      </c>
      <c r="AA76" s="686">
        <f t="shared" si="45"/>
        <v>898</v>
      </c>
      <c r="AB76" s="687">
        <f t="shared" si="45"/>
        <v>8171</v>
      </c>
    </row>
    <row r="77" spans="1:28" s="667" customFormat="1" ht="22.5" customHeight="1">
      <c r="A77" s="673" t="str">
        <f t="shared" si="35"/>
        <v>100+</v>
      </c>
      <c r="B77" s="683">
        <f t="shared" si="31"/>
        <v>633</v>
      </c>
      <c r="C77" s="683">
        <f t="shared" si="46"/>
        <v>21</v>
      </c>
      <c r="D77" s="683">
        <f t="shared" si="46"/>
        <v>612</v>
      </c>
      <c r="E77" s="684">
        <f t="shared" si="47"/>
        <v>0.03</v>
      </c>
      <c r="F77" s="684">
        <f t="shared" si="47"/>
        <v>0.97</v>
      </c>
      <c r="G77" s="694"/>
      <c r="H77" s="694"/>
      <c r="I77" s="695"/>
      <c r="J77" s="695"/>
      <c r="K77" s="695"/>
      <c r="L77" s="695"/>
      <c r="M77" s="695"/>
      <c r="N77" s="695"/>
      <c r="O77" s="695"/>
      <c r="P77" s="695"/>
      <c r="Q77" s="695"/>
      <c r="R77" s="695"/>
      <c r="S77" s="695"/>
      <c r="T77" s="695"/>
      <c r="U77" s="695"/>
      <c r="V77" s="695"/>
      <c r="W77" s="695"/>
      <c r="X77" s="704">
        <f>'#3. 생잔율'!L25</f>
        <v>0</v>
      </c>
      <c r="Y77" s="705">
        <f>'#3. 생잔율'!M25</f>
        <v>0</v>
      </c>
      <c r="Z77" s="703">
        <f t="shared" si="34"/>
        <v>1540</v>
      </c>
      <c r="AA77" s="686">
        <f t="shared" si="45"/>
        <v>43</v>
      </c>
      <c r="AB77" s="687">
        <f t="shared" si="45"/>
        <v>1497</v>
      </c>
    </row>
    <row r="78" spans="1:28" s="667" customFormat="1" ht="22.5" customHeight="1">
      <c r="A78" s="696" t="s">
        <v>50</v>
      </c>
      <c r="B78" s="697">
        <f>SUM(B57:B77)</f>
        <v>2126363</v>
      </c>
      <c r="C78" s="706">
        <f>SUM(C57:C77)</f>
        <v>1069852</v>
      </c>
      <c r="D78" s="706">
        <f>SUM(D57:D77)</f>
        <v>1056511</v>
      </c>
      <c r="E78" s="699"/>
      <c r="F78" s="699"/>
      <c r="G78" s="699"/>
      <c r="H78" s="699"/>
      <c r="I78" s="699"/>
      <c r="J78" s="699"/>
      <c r="K78" s="699"/>
      <c r="L78" s="698">
        <f>SUM(L60:L74)</f>
        <v>81470</v>
      </c>
      <c r="M78" s="699"/>
      <c r="N78" s="699"/>
      <c r="O78" s="699"/>
      <c r="P78" s="699"/>
      <c r="Q78" s="699"/>
      <c r="R78" s="698">
        <f t="shared" ref="R78:W78" si="48">SUM(R60:R74)</f>
        <v>245</v>
      </c>
      <c r="S78" s="698">
        <f t="shared" si="48"/>
        <v>136</v>
      </c>
      <c r="T78" s="698">
        <f t="shared" si="48"/>
        <v>109</v>
      </c>
      <c r="U78" s="698">
        <f t="shared" si="48"/>
        <v>81225</v>
      </c>
      <c r="V78" s="698">
        <f t="shared" si="48"/>
        <v>41291</v>
      </c>
      <c r="W78" s="698">
        <f t="shared" si="48"/>
        <v>39934</v>
      </c>
      <c r="X78" s="699"/>
      <c r="Y78" s="700"/>
      <c r="Z78" s="701">
        <f t="shared" si="34"/>
        <v>2141501</v>
      </c>
      <c r="AA78" s="698">
        <f>SUM(AA57:AA77)</f>
        <v>1074637</v>
      </c>
      <c r="AB78" s="698">
        <f>SUM(AB57:AB77)</f>
        <v>1066864</v>
      </c>
    </row>
    <row r="79" spans="1:28" s="667" customFormat="1" ht="22.5" customHeight="1"/>
    <row r="80" spans="1:28" s="667" customFormat="1" ht="22.5" customHeight="1">
      <c r="A80" s="997" t="s">
        <v>10</v>
      </c>
      <c r="B80" s="999">
        <f>Z55</f>
        <v>2030</v>
      </c>
      <c r="C80" s="999"/>
      <c r="D80" s="999"/>
      <c r="E80" s="996" t="s">
        <v>74</v>
      </c>
      <c r="F80" s="996"/>
      <c r="G80" s="996" t="s">
        <v>73</v>
      </c>
      <c r="H80" s="996"/>
      <c r="I80" s="1000" t="s">
        <v>249</v>
      </c>
      <c r="J80" s="1000"/>
      <c r="K80" s="1000"/>
      <c r="L80" s="1005">
        <v>5</v>
      </c>
      <c r="M80" s="1005"/>
      <c r="N80" s="1005"/>
      <c r="O80" s="996" t="s">
        <v>72</v>
      </c>
      <c r="P80" s="996"/>
      <c r="Q80" s="996"/>
      <c r="R80" s="996" t="s">
        <v>71</v>
      </c>
      <c r="S80" s="996"/>
      <c r="T80" s="996"/>
      <c r="U80" s="996" t="s">
        <v>70</v>
      </c>
      <c r="V80" s="996"/>
      <c r="W80" s="996"/>
      <c r="X80" s="996" t="s">
        <v>69</v>
      </c>
      <c r="Y80" s="1004"/>
      <c r="Z80" s="1001">
        <f>B80+L80</f>
        <v>2035</v>
      </c>
      <c r="AA80" s="1002"/>
      <c r="AB80" s="1003"/>
    </row>
    <row r="81" spans="1:28" s="672" customFormat="1" ht="22.5" customHeight="1">
      <c r="A81" s="998"/>
      <c r="B81" s="668" t="s">
        <v>19</v>
      </c>
      <c r="C81" s="668" t="s">
        <v>76</v>
      </c>
      <c r="D81" s="668" t="s">
        <v>75</v>
      </c>
      <c r="E81" s="668" t="s">
        <v>76</v>
      </c>
      <c r="F81" s="668" t="s">
        <v>75</v>
      </c>
      <c r="G81" s="668" t="s">
        <v>76</v>
      </c>
      <c r="H81" s="668" t="s">
        <v>75</v>
      </c>
      <c r="I81" s="668" t="s">
        <v>19</v>
      </c>
      <c r="J81" s="668" t="s">
        <v>76</v>
      </c>
      <c r="K81" s="668" t="s">
        <v>75</v>
      </c>
      <c r="L81" s="668" t="s">
        <v>19</v>
      </c>
      <c r="M81" s="668" t="s">
        <v>76</v>
      </c>
      <c r="N81" s="668" t="s">
        <v>75</v>
      </c>
      <c r="O81" s="668" t="s">
        <v>19</v>
      </c>
      <c r="P81" s="668" t="s">
        <v>76</v>
      </c>
      <c r="Q81" s="668" t="s">
        <v>75</v>
      </c>
      <c r="R81" s="668" t="s">
        <v>19</v>
      </c>
      <c r="S81" s="668" t="s">
        <v>76</v>
      </c>
      <c r="T81" s="668" t="s">
        <v>75</v>
      </c>
      <c r="U81" s="668" t="s">
        <v>19</v>
      </c>
      <c r="V81" s="668" t="s">
        <v>76</v>
      </c>
      <c r="W81" s="668" t="s">
        <v>75</v>
      </c>
      <c r="X81" s="668" t="s">
        <v>76</v>
      </c>
      <c r="Y81" s="669" t="s">
        <v>75</v>
      </c>
      <c r="Z81" s="670" t="s">
        <v>19</v>
      </c>
      <c r="AA81" s="668" t="s">
        <v>76</v>
      </c>
      <c r="AB81" s="671" t="s">
        <v>75</v>
      </c>
    </row>
    <row r="82" spans="1:28" s="667" customFormat="1" ht="22.5" customHeight="1">
      <c r="A82" s="673" t="str">
        <f>A57</f>
        <v>0~4</v>
      </c>
      <c r="B82" s="674">
        <f t="shared" ref="B82:B102" si="49">SUM(C82:D82)</f>
        <v>81225</v>
      </c>
      <c r="C82" s="674">
        <f t="shared" ref="C82:D99" si="50">AA57</f>
        <v>41291</v>
      </c>
      <c r="D82" s="674">
        <f t="shared" si="50"/>
        <v>39934</v>
      </c>
      <c r="E82" s="675">
        <f t="shared" ref="E82:F99" si="51">ROUND(C82/$B82,2)</f>
        <v>0.51</v>
      </c>
      <c r="F82" s="675">
        <f t="shared" si="51"/>
        <v>0.49</v>
      </c>
      <c r="G82" s="674"/>
      <c r="H82" s="674"/>
      <c r="I82" s="676"/>
      <c r="J82" s="676"/>
      <c r="K82" s="676"/>
      <c r="L82" s="676"/>
      <c r="M82" s="676"/>
      <c r="N82" s="676"/>
      <c r="O82" s="676">
        <f>AVERAGE(P82:Q82)</f>
        <v>2.7575E-3</v>
      </c>
      <c r="P82" s="676">
        <f>'#3. 생잔율'!N4</f>
        <v>3.0200000000000001E-3</v>
      </c>
      <c r="Q82" s="676">
        <f>'#3. 생잔율'!O4</f>
        <v>2.4949999999999998E-3</v>
      </c>
      <c r="R82" s="676"/>
      <c r="S82" s="676"/>
      <c r="T82" s="676"/>
      <c r="U82" s="676"/>
      <c r="V82" s="676"/>
      <c r="W82" s="676"/>
      <c r="X82" s="677">
        <f>'#3. 생잔율'!P5</f>
        <v>0.99983500000000003</v>
      </c>
      <c r="Y82" s="678">
        <f>'#3. 생잔율'!Q5</f>
        <v>0.99970499999999995</v>
      </c>
      <c r="Z82" s="679">
        <f t="shared" ref="Z82:Z99" si="52">SUM(AA82:AB82)</f>
        <v>80727</v>
      </c>
      <c r="AA82" s="680">
        <f>ROUND(V103,0)</f>
        <v>40949</v>
      </c>
      <c r="AB82" s="681">
        <f>ROUND(W103,0)</f>
        <v>39778</v>
      </c>
    </row>
    <row r="83" spans="1:28" s="667" customFormat="1" ht="22.5" customHeight="1">
      <c r="A83" s="673" t="str">
        <f t="shared" ref="A83:A102" si="53">A58</f>
        <v>5~9</v>
      </c>
      <c r="B83" s="683">
        <f t="shared" si="49"/>
        <v>83980</v>
      </c>
      <c r="C83" s="683">
        <f t="shared" si="50"/>
        <v>42752</v>
      </c>
      <c r="D83" s="683">
        <f t="shared" si="50"/>
        <v>41228</v>
      </c>
      <c r="E83" s="684">
        <f t="shared" si="51"/>
        <v>0.51</v>
      </c>
      <c r="F83" s="684">
        <f t="shared" si="51"/>
        <v>0.49</v>
      </c>
      <c r="G83" s="683"/>
      <c r="H83" s="683"/>
      <c r="I83" s="685"/>
      <c r="J83" s="685"/>
      <c r="K83" s="685"/>
      <c r="L83" s="685"/>
      <c r="M83" s="685"/>
      <c r="N83" s="685"/>
      <c r="O83" s="685"/>
      <c r="P83" s="685"/>
      <c r="Q83" s="685"/>
      <c r="R83" s="685"/>
      <c r="S83" s="685"/>
      <c r="T83" s="685"/>
      <c r="U83" s="685"/>
      <c r="V83" s="685"/>
      <c r="W83" s="685"/>
      <c r="X83" s="704">
        <f>'#3. 생잔율'!P6</f>
        <v>0.99984499999999998</v>
      </c>
      <c r="Y83" s="705">
        <f>'#3. 생잔율'!Q6</f>
        <v>0.999915</v>
      </c>
      <c r="Z83" s="703">
        <f t="shared" si="52"/>
        <v>81206</v>
      </c>
      <c r="AA83" s="686">
        <f t="shared" ref="AA83:AB99" si="54">ROUND(C82*X82,0)</f>
        <v>41284</v>
      </c>
      <c r="AB83" s="687">
        <f t="shared" si="54"/>
        <v>39922</v>
      </c>
    </row>
    <row r="84" spans="1:28" s="667" customFormat="1" ht="22.5" customHeight="1">
      <c r="A84" s="673" t="str">
        <f t="shared" si="53"/>
        <v>10~14</v>
      </c>
      <c r="B84" s="683">
        <f t="shared" si="49"/>
        <v>139567</v>
      </c>
      <c r="C84" s="683">
        <f t="shared" si="50"/>
        <v>71414</v>
      </c>
      <c r="D84" s="683">
        <f t="shared" si="50"/>
        <v>68153</v>
      </c>
      <c r="E84" s="684">
        <f t="shared" si="51"/>
        <v>0.51</v>
      </c>
      <c r="F84" s="684">
        <f t="shared" si="51"/>
        <v>0.49</v>
      </c>
      <c r="G84" s="683"/>
      <c r="H84" s="683"/>
      <c r="I84" s="685"/>
      <c r="J84" s="685"/>
      <c r="K84" s="685"/>
      <c r="L84" s="685"/>
      <c r="M84" s="685"/>
      <c r="N84" s="685"/>
      <c r="O84" s="685"/>
      <c r="P84" s="685"/>
      <c r="Q84" s="685"/>
      <c r="R84" s="685"/>
      <c r="S84" s="685"/>
      <c r="T84" s="685"/>
      <c r="U84" s="685"/>
      <c r="V84" s="685"/>
      <c r="W84" s="685"/>
      <c r="X84" s="704">
        <f>'#3. 생잔율'!P7</f>
        <v>0.99974499999999999</v>
      </c>
      <c r="Y84" s="705">
        <f>'#3. 생잔율'!Q7</f>
        <v>0.99992999999999999</v>
      </c>
      <c r="Z84" s="703">
        <f t="shared" si="52"/>
        <v>83969</v>
      </c>
      <c r="AA84" s="686">
        <f t="shared" si="54"/>
        <v>42745</v>
      </c>
      <c r="AB84" s="687">
        <f t="shared" si="54"/>
        <v>41224</v>
      </c>
    </row>
    <row r="85" spans="1:28" s="667" customFormat="1" ht="22.5" customHeight="1">
      <c r="A85" s="673" t="str">
        <f t="shared" si="53"/>
        <v>15~19</v>
      </c>
      <c r="B85" s="683">
        <f t="shared" si="49"/>
        <v>98811</v>
      </c>
      <c r="C85" s="683">
        <f t="shared" si="50"/>
        <v>51024</v>
      </c>
      <c r="D85" s="683">
        <f t="shared" si="50"/>
        <v>47787</v>
      </c>
      <c r="E85" s="684">
        <f t="shared" si="51"/>
        <v>0.52</v>
      </c>
      <c r="F85" s="684">
        <f t="shared" si="51"/>
        <v>0.48</v>
      </c>
      <c r="G85" s="689">
        <f>'#1. 장래인구 성비'!$J$29</f>
        <v>0.5073891625615764</v>
      </c>
      <c r="H85" s="689">
        <f>'#1. 장래인구 성비'!$K$29</f>
        <v>0.49261083743842365</v>
      </c>
      <c r="I85" s="690">
        <f>'#2. 모의 연령별 출산율'!E8</f>
        <v>1.5799999999999998</v>
      </c>
      <c r="J85" s="685">
        <f t="shared" ref="J85:K91" si="55">ROUND(G85*$I85,2)</f>
        <v>0.8</v>
      </c>
      <c r="K85" s="685">
        <f t="shared" si="55"/>
        <v>0.78</v>
      </c>
      <c r="L85" s="686">
        <f t="shared" ref="L85:L91" si="56">SUM(M85:N85)</f>
        <v>377</v>
      </c>
      <c r="M85" s="686">
        <f t="shared" ref="M85:M91" si="57">ROUND(J85*L$80*$D85/1000,0)</f>
        <v>191</v>
      </c>
      <c r="N85" s="686">
        <f t="shared" ref="N85:N91" si="58">ROUND(K85*L$80*$D85/1000,0)</f>
        <v>186</v>
      </c>
      <c r="O85" s="685"/>
      <c r="P85" s="685"/>
      <c r="Q85" s="685"/>
      <c r="R85" s="686">
        <f t="shared" ref="R85:R91" si="59">SUM(S85:T85)</f>
        <v>1</v>
      </c>
      <c r="S85" s="686">
        <f t="shared" ref="S85:T91" si="60">ROUND(M85*P$82,0)</f>
        <v>1</v>
      </c>
      <c r="T85" s="686">
        <f t="shared" si="60"/>
        <v>0</v>
      </c>
      <c r="U85" s="686">
        <f t="shared" ref="U85:U91" si="61">SUM(V85:W85)</f>
        <v>376</v>
      </c>
      <c r="V85" s="683">
        <f t="shared" ref="V85:W91" si="62">M85-S85</f>
        <v>190</v>
      </c>
      <c r="W85" s="683">
        <f t="shared" si="62"/>
        <v>186</v>
      </c>
      <c r="X85" s="704">
        <f>'#3. 생잔율'!P8</f>
        <v>0.99911499999999998</v>
      </c>
      <c r="Y85" s="705">
        <f>'#3. 생잔율'!Q8</f>
        <v>0.99951999999999996</v>
      </c>
      <c r="Z85" s="703">
        <f t="shared" si="52"/>
        <v>139544</v>
      </c>
      <c r="AA85" s="686">
        <f t="shared" si="54"/>
        <v>71396</v>
      </c>
      <c r="AB85" s="687">
        <f t="shared" si="54"/>
        <v>68148</v>
      </c>
    </row>
    <row r="86" spans="1:28" s="667" customFormat="1" ht="22.5" customHeight="1">
      <c r="A86" s="673" t="str">
        <f t="shared" si="53"/>
        <v>20~24</v>
      </c>
      <c r="B86" s="683">
        <f t="shared" si="49"/>
        <v>100439</v>
      </c>
      <c r="C86" s="683">
        <f t="shared" si="50"/>
        <v>52016</v>
      </c>
      <c r="D86" s="683">
        <f t="shared" si="50"/>
        <v>48423</v>
      </c>
      <c r="E86" s="684">
        <f t="shared" si="51"/>
        <v>0.52</v>
      </c>
      <c r="F86" s="684">
        <f t="shared" si="51"/>
        <v>0.48</v>
      </c>
      <c r="G86" s="689">
        <f>'#1. 장래인구 성비'!$J$29</f>
        <v>0.5073891625615764</v>
      </c>
      <c r="H86" s="689">
        <f>'#1. 장래인구 성비'!$K$29</f>
        <v>0.49261083743842365</v>
      </c>
      <c r="I86" s="690">
        <f>'#2. 모의 연령별 출산율'!E9</f>
        <v>14.419999999999998</v>
      </c>
      <c r="J86" s="685">
        <f t="shared" si="55"/>
        <v>7.32</v>
      </c>
      <c r="K86" s="685">
        <f t="shared" si="55"/>
        <v>7.1</v>
      </c>
      <c r="L86" s="686">
        <f t="shared" si="56"/>
        <v>3491</v>
      </c>
      <c r="M86" s="686">
        <f t="shared" si="57"/>
        <v>1772</v>
      </c>
      <c r="N86" s="686">
        <f t="shared" si="58"/>
        <v>1719</v>
      </c>
      <c r="O86" s="685"/>
      <c r="P86" s="685"/>
      <c r="Q86" s="685"/>
      <c r="R86" s="686">
        <f t="shared" si="59"/>
        <v>9</v>
      </c>
      <c r="S86" s="686">
        <f t="shared" si="60"/>
        <v>5</v>
      </c>
      <c r="T86" s="686">
        <f t="shared" si="60"/>
        <v>4</v>
      </c>
      <c r="U86" s="686">
        <f t="shared" si="61"/>
        <v>3482</v>
      </c>
      <c r="V86" s="683">
        <f t="shared" si="62"/>
        <v>1767</v>
      </c>
      <c r="W86" s="683">
        <f t="shared" si="62"/>
        <v>1715</v>
      </c>
      <c r="X86" s="704">
        <f>'#3. 생잔율'!P9</f>
        <v>0.99889000000000006</v>
      </c>
      <c r="Y86" s="705">
        <f>'#3. 생잔율'!Q9</f>
        <v>0.99938000000000005</v>
      </c>
      <c r="Z86" s="703">
        <f t="shared" si="52"/>
        <v>98743</v>
      </c>
      <c r="AA86" s="686">
        <f t="shared" si="54"/>
        <v>50979</v>
      </c>
      <c r="AB86" s="687">
        <f t="shared" si="54"/>
        <v>47764</v>
      </c>
    </row>
    <row r="87" spans="1:28" s="667" customFormat="1" ht="22.5" customHeight="1">
      <c r="A87" s="673" t="str">
        <f t="shared" si="53"/>
        <v>25~29</v>
      </c>
      <c r="B87" s="683">
        <f t="shared" si="49"/>
        <v>116928</v>
      </c>
      <c r="C87" s="683">
        <f t="shared" si="50"/>
        <v>60887</v>
      </c>
      <c r="D87" s="683">
        <f t="shared" si="50"/>
        <v>56041</v>
      </c>
      <c r="E87" s="684">
        <f t="shared" si="51"/>
        <v>0.52</v>
      </c>
      <c r="F87" s="684">
        <f t="shared" si="51"/>
        <v>0.48</v>
      </c>
      <c r="G87" s="689">
        <f>'#1. 장래인구 성비'!$J$29</f>
        <v>0.5073891625615764</v>
      </c>
      <c r="H87" s="689">
        <f>'#1. 장래인구 성비'!$K$29</f>
        <v>0.49261083743842365</v>
      </c>
      <c r="I87" s="690">
        <f>'#2. 모의 연령별 출산율'!E10</f>
        <v>63.4</v>
      </c>
      <c r="J87" s="685">
        <f t="shared" si="55"/>
        <v>32.17</v>
      </c>
      <c r="K87" s="685">
        <f t="shared" si="55"/>
        <v>31.23</v>
      </c>
      <c r="L87" s="686">
        <f t="shared" si="56"/>
        <v>17765</v>
      </c>
      <c r="M87" s="686">
        <f t="shared" si="57"/>
        <v>9014</v>
      </c>
      <c r="N87" s="686">
        <f t="shared" si="58"/>
        <v>8751</v>
      </c>
      <c r="O87" s="685"/>
      <c r="P87" s="685"/>
      <c r="Q87" s="685"/>
      <c r="R87" s="686">
        <f t="shared" si="59"/>
        <v>49</v>
      </c>
      <c r="S87" s="686">
        <f t="shared" si="60"/>
        <v>27</v>
      </c>
      <c r="T87" s="686">
        <f t="shared" si="60"/>
        <v>22</v>
      </c>
      <c r="U87" s="686">
        <f t="shared" si="61"/>
        <v>17716</v>
      </c>
      <c r="V87" s="683">
        <f t="shared" si="62"/>
        <v>8987</v>
      </c>
      <c r="W87" s="683">
        <f t="shared" si="62"/>
        <v>8729</v>
      </c>
      <c r="X87" s="704">
        <f>'#3. 생잔율'!P10</f>
        <v>0.99826000000000004</v>
      </c>
      <c r="Y87" s="705">
        <f>'#3. 생잔율'!Q10</f>
        <v>0.99907999999999997</v>
      </c>
      <c r="Z87" s="703">
        <f t="shared" si="52"/>
        <v>100351</v>
      </c>
      <c r="AA87" s="686">
        <f t="shared" si="54"/>
        <v>51958</v>
      </c>
      <c r="AB87" s="687">
        <f t="shared" si="54"/>
        <v>48393</v>
      </c>
    </row>
    <row r="88" spans="1:28" s="667" customFormat="1" ht="22.5" customHeight="1">
      <c r="A88" s="673" t="str">
        <f t="shared" si="53"/>
        <v>30~34</v>
      </c>
      <c r="B88" s="683">
        <f t="shared" si="49"/>
        <v>127831</v>
      </c>
      <c r="C88" s="683">
        <f t="shared" si="50"/>
        <v>67697</v>
      </c>
      <c r="D88" s="683">
        <f t="shared" si="50"/>
        <v>60134</v>
      </c>
      <c r="E88" s="684">
        <f t="shared" si="51"/>
        <v>0.53</v>
      </c>
      <c r="F88" s="684">
        <f t="shared" si="51"/>
        <v>0.47</v>
      </c>
      <c r="G88" s="689">
        <f>'#1. 장래인구 성비'!$J$29</f>
        <v>0.5073891625615764</v>
      </c>
      <c r="H88" s="689">
        <f>'#1. 장래인구 성비'!$K$29</f>
        <v>0.49261083743842365</v>
      </c>
      <c r="I88" s="690">
        <f>'#2. 모의 연령별 출산율'!E11</f>
        <v>112.38000000000001</v>
      </c>
      <c r="J88" s="685">
        <f t="shared" si="55"/>
        <v>57.02</v>
      </c>
      <c r="K88" s="685">
        <f t="shared" si="55"/>
        <v>55.36</v>
      </c>
      <c r="L88" s="686">
        <f t="shared" si="56"/>
        <v>33789</v>
      </c>
      <c r="M88" s="686">
        <f t="shared" si="57"/>
        <v>17144</v>
      </c>
      <c r="N88" s="686">
        <f t="shared" si="58"/>
        <v>16645</v>
      </c>
      <c r="O88" s="685"/>
      <c r="P88" s="685"/>
      <c r="Q88" s="685"/>
      <c r="R88" s="686">
        <f t="shared" si="59"/>
        <v>94</v>
      </c>
      <c r="S88" s="686">
        <f t="shared" si="60"/>
        <v>52</v>
      </c>
      <c r="T88" s="686">
        <f t="shared" si="60"/>
        <v>42</v>
      </c>
      <c r="U88" s="686">
        <f t="shared" si="61"/>
        <v>33695</v>
      </c>
      <c r="V88" s="683">
        <f t="shared" si="62"/>
        <v>17092</v>
      </c>
      <c r="W88" s="683">
        <f t="shared" si="62"/>
        <v>16603</v>
      </c>
      <c r="X88" s="704">
        <f>'#3. 생잔율'!P11</f>
        <v>0.99770499999999995</v>
      </c>
      <c r="Y88" s="705">
        <f>'#3. 생잔율'!Q11</f>
        <v>0.99873000000000001</v>
      </c>
      <c r="Z88" s="703">
        <f t="shared" si="52"/>
        <v>116770</v>
      </c>
      <c r="AA88" s="686">
        <f t="shared" si="54"/>
        <v>60781</v>
      </c>
      <c r="AB88" s="687">
        <f t="shared" si="54"/>
        <v>55989</v>
      </c>
    </row>
    <row r="89" spans="1:28" s="667" customFormat="1" ht="22.5" customHeight="1">
      <c r="A89" s="673" t="str">
        <f t="shared" si="53"/>
        <v>35~39</v>
      </c>
      <c r="B89" s="683">
        <f t="shared" si="49"/>
        <v>120025</v>
      </c>
      <c r="C89" s="683">
        <f t="shared" si="50"/>
        <v>64549</v>
      </c>
      <c r="D89" s="683">
        <f t="shared" si="50"/>
        <v>55476</v>
      </c>
      <c r="E89" s="684">
        <f t="shared" si="51"/>
        <v>0.54</v>
      </c>
      <c r="F89" s="684">
        <f t="shared" si="51"/>
        <v>0.46</v>
      </c>
      <c r="G89" s="689">
        <f>'#1. 장래인구 성비'!$J$29</f>
        <v>0.5073891625615764</v>
      </c>
      <c r="H89" s="689">
        <f>'#1. 장래인구 성비'!$K$29</f>
        <v>0.49261083743842365</v>
      </c>
      <c r="I89" s="690">
        <f>'#2. 모의 연령별 출산율'!E12</f>
        <v>68.7</v>
      </c>
      <c r="J89" s="685">
        <f t="shared" si="55"/>
        <v>34.86</v>
      </c>
      <c r="K89" s="685">
        <f t="shared" si="55"/>
        <v>33.840000000000003</v>
      </c>
      <c r="L89" s="686">
        <f t="shared" si="56"/>
        <v>19056</v>
      </c>
      <c r="M89" s="686">
        <f t="shared" si="57"/>
        <v>9669</v>
      </c>
      <c r="N89" s="686">
        <f t="shared" si="58"/>
        <v>9387</v>
      </c>
      <c r="O89" s="685"/>
      <c r="P89" s="685"/>
      <c r="Q89" s="685"/>
      <c r="R89" s="686">
        <f t="shared" si="59"/>
        <v>52</v>
      </c>
      <c r="S89" s="686">
        <f t="shared" si="60"/>
        <v>29</v>
      </c>
      <c r="T89" s="686">
        <f t="shared" si="60"/>
        <v>23</v>
      </c>
      <c r="U89" s="686">
        <f t="shared" si="61"/>
        <v>19004</v>
      </c>
      <c r="V89" s="683">
        <f t="shared" si="62"/>
        <v>9640</v>
      </c>
      <c r="W89" s="683">
        <f t="shared" si="62"/>
        <v>9364</v>
      </c>
      <c r="X89" s="704">
        <f>'#3. 생잔율'!P12</f>
        <v>0.99675499999999995</v>
      </c>
      <c r="Y89" s="705">
        <f>'#3. 생잔율'!Q12</f>
        <v>0.99822999999999995</v>
      </c>
      <c r="Z89" s="703">
        <f t="shared" si="52"/>
        <v>127600</v>
      </c>
      <c r="AA89" s="686">
        <f t="shared" si="54"/>
        <v>67542</v>
      </c>
      <c r="AB89" s="687">
        <f t="shared" si="54"/>
        <v>60058</v>
      </c>
    </row>
    <row r="90" spans="1:28" s="667" customFormat="1" ht="22.5" customHeight="1">
      <c r="A90" s="673" t="str">
        <f t="shared" si="53"/>
        <v>40~44</v>
      </c>
      <c r="B90" s="683">
        <f t="shared" si="49"/>
        <v>131586</v>
      </c>
      <c r="C90" s="683">
        <f t="shared" si="50"/>
        <v>70622</v>
      </c>
      <c r="D90" s="683">
        <f t="shared" si="50"/>
        <v>60964</v>
      </c>
      <c r="E90" s="684">
        <f t="shared" si="51"/>
        <v>0.54</v>
      </c>
      <c r="F90" s="684">
        <f t="shared" si="51"/>
        <v>0.46</v>
      </c>
      <c r="G90" s="689">
        <f>'#1. 장래인구 성비'!$J$29</f>
        <v>0.5073891625615764</v>
      </c>
      <c r="H90" s="689">
        <f>'#1. 장래인구 성비'!$K$29</f>
        <v>0.49261083743842365</v>
      </c>
      <c r="I90" s="690">
        <f>'#2. 모의 연령별 출산율'!E13</f>
        <v>17.859999999999996</v>
      </c>
      <c r="J90" s="685">
        <f t="shared" si="55"/>
        <v>9.06</v>
      </c>
      <c r="K90" s="685">
        <f t="shared" si="55"/>
        <v>8.8000000000000007</v>
      </c>
      <c r="L90" s="686">
        <f t="shared" si="56"/>
        <v>5444</v>
      </c>
      <c r="M90" s="686">
        <f t="shared" si="57"/>
        <v>2762</v>
      </c>
      <c r="N90" s="686">
        <f t="shared" si="58"/>
        <v>2682</v>
      </c>
      <c r="O90" s="685"/>
      <c r="P90" s="685"/>
      <c r="Q90" s="685"/>
      <c r="R90" s="686">
        <f t="shared" si="59"/>
        <v>15</v>
      </c>
      <c r="S90" s="686">
        <f t="shared" si="60"/>
        <v>8</v>
      </c>
      <c r="T90" s="686">
        <f t="shared" si="60"/>
        <v>7</v>
      </c>
      <c r="U90" s="686">
        <f t="shared" si="61"/>
        <v>5429</v>
      </c>
      <c r="V90" s="683">
        <f t="shared" si="62"/>
        <v>2754</v>
      </c>
      <c r="W90" s="683">
        <f t="shared" si="62"/>
        <v>2675</v>
      </c>
      <c r="X90" s="704">
        <f>'#3. 생잔율'!P13</f>
        <v>0.99448499999999995</v>
      </c>
      <c r="Y90" s="705">
        <f>'#3. 생잔율'!Q13</f>
        <v>0.99743000000000004</v>
      </c>
      <c r="Z90" s="703">
        <f t="shared" si="52"/>
        <v>119718</v>
      </c>
      <c r="AA90" s="686">
        <f t="shared" si="54"/>
        <v>64340</v>
      </c>
      <c r="AB90" s="687">
        <f t="shared" si="54"/>
        <v>55378</v>
      </c>
    </row>
    <row r="91" spans="1:28" s="667" customFormat="1" ht="22.5" customHeight="1">
      <c r="A91" s="673" t="str">
        <f t="shared" si="53"/>
        <v>45~49</v>
      </c>
      <c r="B91" s="683">
        <f t="shared" si="49"/>
        <v>147422</v>
      </c>
      <c r="C91" s="683">
        <f t="shared" si="50"/>
        <v>78408</v>
      </c>
      <c r="D91" s="683">
        <f t="shared" si="50"/>
        <v>69014</v>
      </c>
      <c r="E91" s="684">
        <f t="shared" si="51"/>
        <v>0.53</v>
      </c>
      <c r="F91" s="684">
        <f t="shared" si="51"/>
        <v>0.47</v>
      </c>
      <c r="G91" s="689">
        <f>'#1. 장래인구 성비'!$J$29</f>
        <v>0.5073891625615764</v>
      </c>
      <c r="H91" s="689">
        <f>'#1. 장래인구 성비'!$K$29</f>
        <v>0.49261083743842365</v>
      </c>
      <c r="I91" s="690">
        <f>'#2. 모의 연령별 출산율'!E14</f>
        <v>2.9800000000000004</v>
      </c>
      <c r="J91" s="685">
        <f t="shared" si="55"/>
        <v>1.51</v>
      </c>
      <c r="K91" s="685">
        <f t="shared" si="55"/>
        <v>1.47</v>
      </c>
      <c r="L91" s="686">
        <f t="shared" si="56"/>
        <v>1028</v>
      </c>
      <c r="M91" s="686">
        <f t="shared" si="57"/>
        <v>521</v>
      </c>
      <c r="N91" s="686">
        <f t="shared" si="58"/>
        <v>507</v>
      </c>
      <c r="O91" s="685"/>
      <c r="P91" s="685"/>
      <c r="Q91" s="685"/>
      <c r="R91" s="686">
        <f t="shared" si="59"/>
        <v>3</v>
      </c>
      <c r="S91" s="686">
        <f t="shared" si="60"/>
        <v>2</v>
      </c>
      <c r="T91" s="686">
        <f t="shared" si="60"/>
        <v>1</v>
      </c>
      <c r="U91" s="686">
        <f t="shared" si="61"/>
        <v>1025</v>
      </c>
      <c r="V91" s="683">
        <f t="shared" si="62"/>
        <v>519</v>
      </c>
      <c r="W91" s="683">
        <f t="shared" si="62"/>
        <v>506</v>
      </c>
      <c r="X91" s="704">
        <f>'#3. 생잔율'!P14</f>
        <v>0.99053000000000002</v>
      </c>
      <c r="Y91" s="705">
        <f>'#3. 생잔율'!Q14</f>
        <v>0.99653000000000003</v>
      </c>
      <c r="Z91" s="703">
        <f t="shared" si="52"/>
        <v>131040</v>
      </c>
      <c r="AA91" s="686">
        <f t="shared" si="54"/>
        <v>70233</v>
      </c>
      <c r="AB91" s="687">
        <f t="shared" si="54"/>
        <v>60807</v>
      </c>
    </row>
    <row r="92" spans="1:28" s="667" customFormat="1" ht="22.5" customHeight="1">
      <c r="A92" s="673" t="str">
        <f t="shared" si="53"/>
        <v>50~54</v>
      </c>
      <c r="B92" s="683">
        <f t="shared" si="49"/>
        <v>157972</v>
      </c>
      <c r="C92" s="683">
        <f t="shared" si="50"/>
        <v>83464</v>
      </c>
      <c r="D92" s="683">
        <f t="shared" si="50"/>
        <v>74508</v>
      </c>
      <c r="E92" s="684">
        <f t="shared" si="51"/>
        <v>0.53</v>
      </c>
      <c r="F92" s="684">
        <f t="shared" si="51"/>
        <v>0.47</v>
      </c>
      <c r="G92" s="692"/>
      <c r="H92" s="683"/>
      <c r="I92" s="685"/>
      <c r="J92" s="685"/>
      <c r="K92" s="685"/>
      <c r="L92" s="685"/>
      <c r="M92" s="685"/>
      <c r="N92" s="685"/>
      <c r="O92" s="685"/>
      <c r="P92" s="685"/>
      <c r="Q92" s="685"/>
      <c r="R92" s="685"/>
      <c r="S92" s="685"/>
      <c r="T92" s="685"/>
      <c r="U92" s="685"/>
      <c r="V92" s="685"/>
      <c r="W92" s="685"/>
      <c r="X92" s="704">
        <f>'#3. 생잔율'!P15</f>
        <v>0.98667499999999997</v>
      </c>
      <c r="Y92" s="705">
        <f>'#3. 생잔율'!Q15</f>
        <v>0.99476500000000001</v>
      </c>
      <c r="Z92" s="703">
        <f t="shared" si="52"/>
        <v>146440</v>
      </c>
      <c r="AA92" s="686">
        <f t="shared" si="54"/>
        <v>77665</v>
      </c>
      <c r="AB92" s="687">
        <f t="shared" si="54"/>
        <v>68775</v>
      </c>
    </row>
    <row r="93" spans="1:28" s="667" customFormat="1" ht="22.5" customHeight="1">
      <c r="A93" s="673" t="str">
        <f t="shared" si="53"/>
        <v>55~59</v>
      </c>
      <c r="B93" s="683">
        <f t="shared" si="49"/>
        <v>161564</v>
      </c>
      <c r="C93" s="683">
        <f t="shared" si="50"/>
        <v>85049</v>
      </c>
      <c r="D93" s="683">
        <f t="shared" si="50"/>
        <v>76515</v>
      </c>
      <c r="E93" s="684">
        <f t="shared" si="51"/>
        <v>0.53</v>
      </c>
      <c r="F93" s="684">
        <f t="shared" si="51"/>
        <v>0.47</v>
      </c>
      <c r="G93" s="683"/>
      <c r="H93" s="683"/>
      <c r="I93" s="685"/>
      <c r="J93" s="685"/>
      <c r="K93" s="685"/>
      <c r="L93" s="685"/>
      <c r="M93" s="685"/>
      <c r="N93" s="685"/>
      <c r="O93" s="685"/>
      <c r="P93" s="685"/>
      <c r="Q93" s="685"/>
      <c r="R93" s="685"/>
      <c r="S93" s="685"/>
      <c r="T93" s="685"/>
      <c r="U93" s="685"/>
      <c r="V93" s="685"/>
      <c r="W93" s="685"/>
      <c r="X93" s="704">
        <f>'#3. 생잔율'!P16</f>
        <v>0.98002500000000003</v>
      </c>
      <c r="Y93" s="705">
        <f>'#3. 생잔율'!Q16</f>
        <v>0.99348000000000003</v>
      </c>
      <c r="Z93" s="703">
        <f t="shared" si="52"/>
        <v>156470</v>
      </c>
      <c r="AA93" s="686">
        <f t="shared" si="54"/>
        <v>82352</v>
      </c>
      <c r="AB93" s="687">
        <f t="shared" si="54"/>
        <v>74118</v>
      </c>
    </row>
    <row r="94" spans="1:28" s="667" customFormat="1" ht="22.5" customHeight="1">
      <c r="A94" s="673" t="str">
        <f t="shared" si="53"/>
        <v>60~64</v>
      </c>
      <c r="B94" s="683">
        <f t="shared" si="49"/>
        <v>157665</v>
      </c>
      <c r="C94" s="683">
        <f t="shared" si="50"/>
        <v>82074</v>
      </c>
      <c r="D94" s="683">
        <f t="shared" si="50"/>
        <v>75591</v>
      </c>
      <c r="E94" s="684">
        <f t="shared" si="51"/>
        <v>0.52</v>
      </c>
      <c r="F94" s="684">
        <f t="shared" si="51"/>
        <v>0.48</v>
      </c>
      <c r="G94" s="683"/>
      <c r="H94" s="683"/>
      <c r="I94" s="685"/>
      <c r="J94" s="685"/>
      <c r="K94" s="685"/>
      <c r="L94" s="685"/>
      <c r="M94" s="685"/>
      <c r="N94" s="685"/>
      <c r="O94" s="685"/>
      <c r="P94" s="685"/>
      <c r="Q94" s="685"/>
      <c r="R94" s="685"/>
      <c r="S94" s="685"/>
      <c r="T94" s="685"/>
      <c r="U94" s="685"/>
      <c r="V94" s="685"/>
      <c r="W94" s="685"/>
      <c r="X94" s="704">
        <f>'#3. 생잔율'!P17</f>
        <v>0.97087999999999997</v>
      </c>
      <c r="Y94" s="705">
        <f>'#3. 생잔율'!Q17</f>
        <v>0.99050499999999997</v>
      </c>
      <c r="Z94" s="703">
        <f t="shared" si="52"/>
        <v>159366</v>
      </c>
      <c r="AA94" s="686">
        <f t="shared" si="54"/>
        <v>83350</v>
      </c>
      <c r="AB94" s="687">
        <f t="shared" si="54"/>
        <v>76016</v>
      </c>
    </row>
    <row r="95" spans="1:28" s="667" customFormat="1" ht="22.5" customHeight="1">
      <c r="A95" s="673" t="str">
        <f t="shared" si="53"/>
        <v>65~69</v>
      </c>
      <c r="B95" s="683">
        <f t="shared" si="49"/>
        <v>149077</v>
      </c>
      <c r="C95" s="683">
        <f t="shared" si="50"/>
        <v>74922</v>
      </c>
      <c r="D95" s="683">
        <f t="shared" si="50"/>
        <v>74155</v>
      </c>
      <c r="E95" s="684">
        <f t="shared" si="51"/>
        <v>0.5</v>
      </c>
      <c r="F95" s="684">
        <f t="shared" si="51"/>
        <v>0.5</v>
      </c>
      <c r="G95" s="683"/>
      <c r="H95" s="683"/>
      <c r="I95" s="685"/>
      <c r="J95" s="685"/>
      <c r="K95" s="685"/>
      <c r="L95" s="685"/>
      <c r="M95" s="685"/>
      <c r="N95" s="685"/>
      <c r="O95" s="685"/>
      <c r="P95" s="685"/>
      <c r="Q95" s="685"/>
      <c r="R95" s="685"/>
      <c r="S95" s="685"/>
      <c r="T95" s="685"/>
      <c r="U95" s="685"/>
      <c r="V95" s="685"/>
      <c r="W95" s="685"/>
      <c r="X95" s="704">
        <f>'#3. 생잔율'!P18</f>
        <v>0.95743</v>
      </c>
      <c r="Y95" s="705">
        <f>'#3. 생잔율'!Q18</f>
        <v>0.98382999999999998</v>
      </c>
      <c r="Z95" s="703">
        <f t="shared" si="52"/>
        <v>154557</v>
      </c>
      <c r="AA95" s="686">
        <f t="shared" si="54"/>
        <v>79684</v>
      </c>
      <c r="AB95" s="687">
        <f t="shared" si="54"/>
        <v>74873</v>
      </c>
    </row>
    <row r="96" spans="1:28" s="667" customFormat="1" ht="22.5" customHeight="1">
      <c r="A96" s="673" t="str">
        <f t="shared" si="53"/>
        <v>70~74</v>
      </c>
      <c r="B96" s="683">
        <f t="shared" si="49"/>
        <v>120975</v>
      </c>
      <c r="C96" s="683">
        <f t="shared" si="50"/>
        <v>58170</v>
      </c>
      <c r="D96" s="683">
        <f t="shared" si="50"/>
        <v>62805</v>
      </c>
      <c r="E96" s="684">
        <f t="shared" si="51"/>
        <v>0.48</v>
      </c>
      <c r="F96" s="684">
        <f t="shared" si="51"/>
        <v>0.52</v>
      </c>
      <c r="G96" s="683"/>
      <c r="H96" s="683"/>
      <c r="I96" s="685"/>
      <c r="J96" s="685"/>
      <c r="K96" s="685"/>
      <c r="L96" s="685"/>
      <c r="M96" s="685"/>
      <c r="N96" s="685"/>
      <c r="O96" s="685"/>
      <c r="P96" s="685"/>
      <c r="Q96" s="685"/>
      <c r="R96" s="685"/>
      <c r="S96" s="685"/>
      <c r="T96" s="685"/>
      <c r="U96" s="685"/>
      <c r="V96" s="685"/>
      <c r="W96" s="685"/>
      <c r="X96" s="704">
        <f>'#3. 생잔율'!P19</f>
        <v>0.91576499999999994</v>
      </c>
      <c r="Y96" s="705">
        <f>'#3. 생잔율'!Q19</f>
        <v>0.96811000000000003</v>
      </c>
      <c r="Z96" s="703">
        <f t="shared" si="52"/>
        <v>144689</v>
      </c>
      <c r="AA96" s="686">
        <f t="shared" si="54"/>
        <v>71733</v>
      </c>
      <c r="AB96" s="687">
        <f t="shared" si="54"/>
        <v>72956</v>
      </c>
    </row>
    <row r="97" spans="1:28" s="667" customFormat="1" ht="22.5" customHeight="1">
      <c r="A97" s="673" t="str">
        <f t="shared" si="53"/>
        <v>75~79</v>
      </c>
      <c r="B97" s="683">
        <f t="shared" si="49"/>
        <v>90096</v>
      </c>
      <c r="C97" s="683">
        <f t="shared" si="50"/>
        <v>41189</v>
      </c>
      <c r="D97" s="683">
        <f t="shared" si="50"/>
        <v>48907</v>
      </c>
      <c r="E97" s="684">
        <f t="shared" si="51"/>
        <v>0.46</v>
      </c>
      <c r="F97" s="684">
        <f t="shared" si="51"/>
        <v>0.54</v>
      </c>
      <c r="G97" s="683"/>
      <c r="H97" s="683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704">
        <f>'#3. 생잔율'!P20</f>
        <v>0.84155000000000002</v>
      </c>
      <c r="Y97" s="705">
        <f>'#3. 생잔율'!Q20</f>
        <v>0.93693499999999996</v>
      </c>
      <c r="Z97" s="703">
        <f t="shared" si="52"/>
        <v>114072</v>
      </c>
      <c r="AA97" s="686">
        <f t="shared" si="54"/>
        <v>53270</v>
      </c>
      <c r="AB97" s="687">
        <f t="shared" si="54"/>
        <v>60802</v>
      </c>
    </row>
    <row r="98" spans="1:28" s="667" customFormat="1" ht="22.5" customHeight="1">
      <c r="A98" s="673" t="str">
        <f t="shared" si="53"/>
        <v>80~84</v>
      </c>
      <c r="B98" s="683">
        <f t="shared" si="49"/>
        <v>68457</v>
      </c>
      <c r="C98" s="683">
        <f t="shared" si="50"/>
        <v>27169</v>
      </c>
      <c r="D98" s="683">
        <f t="shared" si="50"/>
        <v>41288</v>
      </c>
      <c r="E98" s="684">
        <f t="shared" si="51"/>
        <v>0.4</v>
      </c>
      <c r="F98" s="684">
        <f t="shared" si="51"/>
        <v>0.6</v>
      </c>
      <c r="G98" s="683"/>
      <c r="H98" s="683"/>
      <c r="I98" s="685"/>
      <c r="J98" s="685"/>
      <c r="K98" s="685"/>
      <c r="L98" s="685"/>
      <c r="M98" s="685"/>
      <c r="N98" s="685"/>
      <c r="O98" s="685"/>
      <c r="P98" s="685"/>
      <c r="Q98" s="685"/>
      <c r="R98" s="685"/>
      <c r="S98" s="685"/>
      <c r="T98" s="685"/>
      <c r="U98" s="685"/>
      <c r="V98" s="685"/>
      <c r="W98" s="685"/>
      <c r="X98" s="704">
        <f>'#3. 생잔율'!P21</f>
        <v>0.71355499999999994</v>
      </c>
      <c r="Y98" s="705">
        <f>'#3. 생잔율'!Q21</f>
        <v>0.87839999999999996</v>
      </c>
      <c r="Z98" s="703">
        <f t="shared" si="52"/>
        <v>80486</v>
      </c>
      <c r="AA98" s="686">
        <f t="shared" si="54"/>
        <v>34663</v>
      </c>
      <c r="AB98" s="687">
        <f t="shared" si="54"/>
        <v>45823</v>
      </c>
    </row>
    <row r="99" spans="1:28" s="667" customFormat="1" ht="22.5" customHeight="1">
      <c r="A99" s="673" t="str">
        <f t="shared" si="53"/>
        <v>85~89</v>
      </c>
      <c r="B99" s="683">
        <f t="shared" si="49"/>
        <v>49732</v>
      </c>
      <c r="C99" s="683">
        <f t="shared" si="50"/>
        <v>15327</v>
      </c>
      <c r="D99" s="683">
        <f t="shared" si="50"/>
        <v>34405</v>
      </c>
      <c r="E99" s="684">
        <f t="shared" si="51"/>
        <v>0.31</v>
      </c>
      <c r="F99" s="684">
        <f t="shared" si="51"/>
        <v>0.69</v>
      </c>
      <c r="G99" s="683"/>
      <c r="H99" s="683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704">
        <f>'#3. 생잔율'!P22</f>
        <v>0.52303999999999995</v>
      </c>
      <c r="Y99" s="705">
        <f>'#3. 생잔율'!Q22</f>
        <v>0.77429499999999996</v>
      </c>
      <c r="Z99" s="703">
        <f t="shared" si="52"/>
        <v>55654</v>
      </c>
      <c r="AA99" s="686">
        <f t="shared" si="54"/>
        <v>19387</v>
      </c>
      <c r="AB99" s="687">
        <f t="shared" si="54"/>
        <v>36267</v>
      </c>
    </row>
    <row r="100" spans="1:28" s="667" customFormat="1" ht="22.5" customHeight="1">
      <c r="A100" s="673" t="str">
        <f t="shared" si="53"/>
        <v>90~94</v>
      </c>
      <c r="B100" s="683">
        <f t="shared" si="49"/>
        <v>27540</v>
      </c>
      <c r="C100" s="683">
        <f t="shared" ref="C100:D102" si="63">AA75</f>
        <v>5672</v>
      </c>
      <c r="D100" s="683">
        <f t="shared" si="63"/>
        <v>21868</v>
      </c>
      <c r="E100" s="684">
        <f t="shared" ref="E100:F102" si="64">ROUND(C100/$B100,2)</f>
        <v>0.21</v>
      </c>
      <c r="F100" s="684">
        <f t="shared" si="64"/>
        <v>0.79</v>
      </c>
      <c r="G100" s="694"/>
      <c r="H100" s="694"/>
      <c r="I100" s="695"/>
      <c r="J100" s="695"/>
      <c r="K100" s="695"/>
      <c r="L100" s="695"/>
      <c r="M100" s="695"/>
      <c r="N100" s="695"/>
      <c r="O100" s="695"/>
      <c r="P100" s="695"/>
      <c r="Q100" s="695"/>
      <c r="R100" s="695"/>
      <c r="S100" s="695"/>
      <c r="T100" s="695"/>
      <c r="U100" s="695"/>
      <c r="V100" s="695"/>
      <c r="W100" s="695"/>
      <c r="X100" s="704">
        <f>'#3. 생잔율'!P23</f>
        <v>0.29923999999999995</v>
      </c>
      <c r="Y100" s="705">
        <f>'#3. 생잔율'!Q23</f>
        <v>0.60899499999999995</v>
      </c>
      <c r="Z100" s="703">
        <f t="shared" ref="Z100:Z103" si="65">SUM(AA100:AB100)</f>
        <v>34657</v>
      </c>
      <c r="AA100" s="686">
        <f t="shared" ref="AA100:AB102" si="66">ROUND(C99*X99,0)</f>
        <v>8017</v>
      </c>
      <c r="AB100" s="687">
        <f t="shared" si="66"/>
        <v>26640</v>
      </c>
    </row>
    <row r="101" spans="1:28" s="667" customFormat="1" ht="22.5" customHeight="1">
      <c r="A101" s="673" t="str">
        <f t="shared" si="53"/>
        <v>95~99</v>
      </c>
      <c r="B101" s="683">
        <f t="shared" si="49"/>
        <v>9069</v>
      </c>
      <c r="C101" s="683">
        <f t="shared" si="63"/>
        <v>898</v>
      </c>
      <c r="D101" s="683">
        <f t="shared" si="63"/>
        <v>8171</v>
      </c>
      <c r="E101" s="684">
        <f t="shared" si="64"/>
        <v>0.1</v>
      </c>
      <c r="F101" s="684">
        <f t="shared" si="64"/>
        <v>0.9</v>
      </c>
      <c r="G101" s="694"/>
      <c r="H101" s="694"/>
      <c r="I101" s="695"/>
      <c r="J101" s="695"/>
      <c r="K101" s="695"/>
      <c r="L101" s="695"/>
      <c r="M101" s="695"/>
      <c r="N101" s="695"/>
      <c r="O101" s="695"/>
      <c r="P101" s="695"/>
      <c r="Q101" s="695"/>
      <c r="R101" s="695"/>
      <c r="S101" s="695"/>
      <c r="T101" s="695"/>
      <c r="U101" s="695"/>
      <c r="V101" s="695"/>
      <c r="W101" s="695"/>
      <c r="X101" s="704">
        <f>'#3. 생잔율'!P24</f>
        <v>0.11651999999999996</v>
      </c>
      <c r="Y101" s="705">
        <f>'#3. 생잔율'!Q24</f>
        <v>0.39250499999999999</v>
      </c>
      <c r="Z101" s="703">
        <f t="shared" si="65"/>
        <v>15015</v>
      </c>
      <c r="AA101" s="686">
        <f t="shared" si="66"/>
        <v>1697</v>
      </c>
      <c r="AB101" s="687">
        <f t="shared" si="66"/>
        <v>13318</v>
      </c>
    </row>
    <row r="102" spans="1:28" s="667" customFormat="1" ht="22.5" customHeight="1">
      <c r="A102" s="673" t="str">
        <f t="shared" si="53"/>
        <v>100+</v>
      </c>
      <c r="B102" s="683">
        <f t="shared" si="49"/>
        <v>1540</v>
      </c>
      <c r="C102" s="683">
        <f t="shared" si="63"/>
        <v>43</v>
      </c>
      <c r="D102" s="683">
        <f t="shared" si="63"/>
        <v>1497</v>
      </c>
      <c r="E102" s="684">
        <f t="shared" si="64"/>
        <v>0.03</v>
      </c>
      <c r="F102" s="684">
        <f t="shared" si="64"/>
        <v>0.97</v>
      </c>
      <c r="G102" s="694"/>
      <c r="H102" s="694"/>
      <c r="I102" s="695"/>
      <c r="J102" s="695"/>
      <c r="K102" s="695"/>
      <c r="L102" s="695"/>
      <c r="M102" s="695"/>
      <c r="N102" s="695"/>
      <c r="O102" s="695"/>
      <c r="P102" s="695"/>
      <c r="Q102" s="695"/>
      <c r="R102" s="695"/>
      <c r="S102" s="695"/>
      <c r="T102" s="695"/>
      <c r="U102" s="695"/>
      <c r="V102" s="695"/>
      <c r="W102" s="695"/>
      <c r="X102" s="704">
        <f>'#3. 생잔율'!P25</f>
        <v>0</v>
      </c>
      <c r="Y102" s="705">
        <f>'#3. 생잔율'!Q25</f>
        <v>0</v>
      </c>
      <c r="Z102" s="703">
        <f t="shared" si="65"/>
        <v>3312</v>
      </c>
      <c r="AA102" s="686">
        <f t="shared" si="66"/>
        <v>105</v>
      </c>
      <c r="AB102" s="687">
        <f t="shared" si="66"/>
        <v>3207</v>
      </c>
    </row>
    <row r="103" spans="1:28" s="667" customFormat="1" ht="22.5" customHeight="1">
      <c r="A103" s="696" t="s">
        <v>50</v>
      </c>
      <c r="B103" s="697">
        <f>SUM(B82:B102)</f>
        <v>2141501</v>
      </c>
      <c r="C103" s="706">
        <f>SUM(C82:C102)</f>
        <v>1074637</v>
      </c>
      <c r="D103" s="706">
        <f>SUM(D82:D102)</f>
        <v>1066864</v>
      </c>
      <c r="E103" s="699"/>
      <c r="F103" s="699"/>
      <c r="G103" s="699"/>
      <c r="H103" s="699"/>
      <c r="I103" s="699"/>
      <c r="J103" s="699"/>
      <c r="K103" s="699"/>
      <c r="L103" s="698">
        <f>SUM(L85:L99)</f>
        <v>80950</v>
      </c>
      <c r="M103" s="699"/>
      <c r="N103" s="699"/>
      <c r="O103" s="699"/>
      <c r="P103" s="699"/>
      <c r="Q103" s="699"/>
      <c r="R103" s="698">
        <f t="shared" ref="R103:W103" si="67">SUM(R85:R99)</f>
        <v>223</v>
      </c>
      <c r="S103" s="698">
        <f t="shared" si="67"/>
        <v>124</v>
      </c>
      <c r="T103" s="698">
        <f t="shared" si="67"/>
        <v>99</v>
      </c>
      <c r="U103" s="698">
        <f t="shared" si="67"/>
        <v>80727</v>
      </c>
      <c r="V103" s="698">
        <f t="shared" si="67"/>
        <v>40949</v>
      </c>
      <c r="W103" s="698">
        <f t="shared" si="67"/>
        <v>39778</v>
      </c>
      <c r="X103" s="699"/>
      <c r="Y103" s="700"/>
      <c r="Z103" s="701">
        <f t="shared" si="65"/>
        <v>2144386</v>
      </c>
      <c r="AA103" s="698">
        <f>SUM(AA82:AA102)</f>
        <v>1074130</v>
      </c>
      <c r="AB103" s="698">
        <f>SUM(AB82:AB102)</f>
        <v>1070256</v>
      </c>
    </row>
    <row r="104" spans="1:28" ht="21.95" customHeight="1"/>
    <row r="105" spans="1:28" ht="21.95" customHeight="1"/>
  </sheetData>
  <mergeCells count="44">
    <mergeCell ref="L80:N80"/>
    <mergeCell ref="O80:Q80"/>
    <mergeCell ref="R80:T80"/>
    <mergeCell ref="U80:W80"/>
    <mergeCell ref="X80:Y80"/>
    <mergeCell ref="Z80:AB80"/>
    <mergeCell ref="O55:Q55"/>
    <mergeCell ref="R55:T55"/>
    <mergeCell ref="U55:W55"/>
    <mergeCell ref="X55:Y55"/>
    <mergeCell ref="Z55:AB55"/>
    <mergeCell ref="A80:A81"/>
    <mergeCell ref="B80:D80"/>
    <mergeCell ref="E80:F80"/>
    <mergeCell ref="G80:H80"/>
    <mergeCell ref="I80:K80"/>
    <mergeCell ref="A55:A56"/>
    <mergeCell ref="B55:D55"/>
    <mergeCell ref="E55:F55"/>
    <mergeCell ref="G55:H55"/>
    <mergeCell ref="I55:K55"/>
    <mergeCell ref="L55:N55"/>
    <mergeCell ref="L30:N30"/>
    <mergeCell ref="O30:Q30"/>
    <mergeCell ref="R30:T30"/>
    <mergeCell ref="U30:W30"/>
    <mergeCell ref="X30:Y30"/>
    <mergeCell ref="Z30:AB30"/>
    <mergeCell ref="O5:Q5"/>
    <mergeCell ref="R5:T5"/>
    <mergeCell ref="U5:W5"/>
    <mergeCell ref="X5:Y5"/>
    <mergeCell ref="Z5:AB5"/>
    <mergeCell ref="A30:A31"/>
    <mergeCell ref="B30:D30"/>
    <mergeCell ref="E30:F30"/>
    <mergeCell ref="G30:H30"/>
    <mergeCell ref="I30:K30"/>
    <mergeCell ref="L5:N5"/>
    <mergeCell ref="A5:A6"/>
    <mergeCell ref="B5:D5"/>
    <mergeCell ref="E5:F5"/>
    <mergeCell ref="G5:H5"/>
    <mergeCell ref="I5:K5"/>
  </mergeCells>
  <phoneticPr fontId="10" type="noConversion"/>
  <conditionalFormatting sqref="X7:Y27 X32:Y52 X57:Y77 X82:Y102">
    <cfRule type="expression" dxfId="5" priority="1" stopIfTrue="1">
      <formula>#REF!="사망확률(남자)"</formula>
    </cfRule>
    <cfRule type="expression" dxfId="4" priority="2" stopIfTrue="1">
      <formula>#REF!="사망확률(여자)"</formula>
    </cfRule>
    <cfRule type="expression" dxfId="3" priority="3" stopIfTrue="1">
      <formula>#REF!="생잔율(여자)"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8" scale="56" orientation="landscape" r:id="rId1"/>
  <headerFooter alignWithMargins="0"/>
  <rowBreaks count="1" manualBreakCount="1">
    <brk id="53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R42"/>
  <sheetViews>
    <sheetView view="pageBreakPreview" zoomScale="40" zoomScaleSheetLayoutView="40" workbookViewId="0">
      <selection activeCell="G52" sqref="G52"/>
    </sheetView>
  </sheetViews>
  <sheetFormatPr defaultRowHeight="13.5"/>
  <cols>
    <col min="1" max="17" width="17.33203125" style="665" customWidth="1"/>
    <col min="18" max="16384" width="8.88671875" style="665"/>
  </cols>
  <sheetData>
    <row r="1" spans="1:18" ht="50.1" customHeight="1">
      <c r="A1" s="1006" t="s">
        <v>1134</v>
      </c>
      <c r="B1" s="1006"/>
      <c r="C1" s="1006"/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1006"/>
      <c r="O1" s="1006"/>
      <c r="P1" s="1006"/>
      <c r="Q1" s="1006"/>
    </row>
    <row r="2" spans="1:18" ht="50.1" customHeight="1">
      <c r="A2" s="1011" t="s">
        <v>188</v>
      </c>
      <c r="B2" s="1011" t="s">
        <v>88</v>
      </c>
      <c r="C2" s="1010" t="s">
        <v>274</v>
      </c>
      <c r="D2" s="1010" t="s">
        <v>274</v>
      </c>
      <c r="E2" s="1010" t="s">
        <v>274</v>
      </c>
      <c r="F2" s="1010" t="s">
        <v>273</v>
      </c>
      <c r="G2" s="1010" t="s">
        <v>273</v>
      </c>
      <c r="H2" s="1010" t="s">
        <v>273</v>
      </c>
      <c r="I2" s="1010" t="s">
        <v>272</v>
      </c>
      <c r="J2" s="1010" t="s">
        <v>272</v>
      </c>
      <c r="K2" s="1010" t="s">
        <v>272</v>
      </c>
      <c r="L2" s="1010" t="s">
        <v>271</v>
      </c>
      <c r="M2" s="1010" t="s">
        <v>271</v>
      </c>
      <c r="N2" s="1010" t="s">
        <v>271</v>
      </c>
      <c r="O2" s="1010" t="s">
        <v>270</v>
      </c>
      <c r="P2" s="1010" t="s">
        <v>270</v>
      </c>
      <c r="Q2" s="1010" t="s">
        <v>270</v>
      </c>
      <c r="R2" s="390"/>
    </row>
    <row r="3" spans="1:18" ht="50.1" customHeight="1">
      <c r="A3" s="1010" t="s">
        <v>188</v>
      </c>
      <c r="B3" s="1010" t="s">
        <v>88</v>
      </c>
      <c r="C3" s="489" t="s">
        <v>723</v>
      </c>
      <c r="D3" s="489" t="s">
        <v>724</v>
      </c>
      <c r="E3" s="489" t="s">
        <v>725</v>
      </c>
      <c r="F3" s="489" t="s">
        <v>723</v>
      </c>
      <c r="G3" s="489" t="s">
        <v>724</v>
      </c>
      <c r="H3" s="489" t="s">
        <v>725</v>
      </c>
      <c r="I3" s="489" t="s">
        <v>723</v>
      </c>
      <c r="J3" s="489" t="s">
        <v>724</v>
      </c>
      <c r="K3" s="489" t="s">
        <v>725</v>
      </c>
      <c r="L3" s="489" t="s">
        <v>723</v>
      </c>
      <c r="M3" s="489" t="s">
        <v>724</v>
      </c>
      <c r="N3" s="489" t="s">
        <v>725</v>
      </c>
      <c r="O3" s="489" t="s">
        <v>723</v>
      </c>
      <c r="P3" s="489" t="s">
        <v>724</v>
      </c>
      <c r="Q3" s="489" t="s">
        <v>725</v>
      </c>
      <c r="R3" s="390"/>
    </row>
    <row r="4" spans="1:18" ht="50.1" customHeight="1">
      <c r="A4" s="1007" t="s">
        <v>95</v>
      </c>
      <c r="B4" s="488" t="s">
        <v>672</v>
      </c>
      <c r="C4" s="482">
        <v>2089470</v>
      </c>
      <c r="D4" s="482">
        <v>1067608</v>
      </c>
      <c r="E4" s="482">
        <v>1021862</v>
      </c>
      <c r="F4" s="482">
        <v>2170972</v>
      </c>
      <c r="G4" s="482">
        <v>1105949</v>
      </c>
      <c r="H4" s="482">
        <v>1065023</v>
      </c>
      <c r="I4" s="482">
        <v>2254010</v>
      </c>
      <c r="J4" s="482">
        <v>1147293</v>
      </c>
      <c r="K4" s="482">
        <v>1106717</v>
      </c>
      <c r="L4" s="482">
        <v>2323886</v>
      </c>
      <c r="M4" s="482">
        <v>1181013</v>
      </c>
      <c r="N4" s="482">
        <v>1142873</v>
      </c>
      <c r="O4" s="482">
        <v>2370653</v>
      </c>
      <c r="P4" s="482">
        <v>1201543</v>
      </c>
      <c r="Q4" s="482">
        <v>1169110</v>
      </c>
      <c r="R4" s="390"/>
    </row>
    <row r="5" spans="1:18" ht="50.1" customHeight="1">
      <c r="A5" s="1008"/>
      <c r="B5" s="488" t="s">
        <v>726</v>
      </c>
      <c r="C5" s="482">
        <v>98800</v>
      </c>
      <c r="D5" s="482">
        <v>51165</v>
      </c>
      <c r="E5" s="482">
        <v>47635</v>
      </c>
      <c r="F5" s="482">
        <v>101565</v>
      </c>
      <c r="G5" s="482">
        <v>52326</v>
      </c>
      <c r="H5" s="482">
        <v>49239</v>
      </c>
      <c r="I5" s="482">
        <v>101848</v>
      </c>
      <c r="J5" s="482">
        <v>52391</v>
      </c>
      <c r="K5" s="482">
        <v>49457</v>
      </c>
      <c r="L5" s="482">
        <v>97382</v>
      </c>
      <c r="M5" s="482">
        <v>50020</v>
      </c>
      <c r="N5" s="482">
        <v>47362</v>
      </c>
      <c r="O5" s="482">
        <v>89218</v>
      </c>
      <c r="P5" s="482">
        <v>45830</v>
      </c>
      <c r="Q5" s="482">
        <v>43388</v>
      </c>
      <c r="R5" s="390"/>
    </row>
    <row r="6" spans="1:18" ht="50.1" customHeight="1">
      <c r="A6" s="1008"/>
      <c r="B6" s="488" t="s">
        <v>727</v>
      </c>
      <c r="C6" s="482">
        <v>98521</v>
      </c>
      <c r="D6" s="482">
        <v>51023</v>
      </c>
      <c r="E6" s="482">
        <v>47498</v>
      </c>
      <c r="F6" s="482">
        <v>100864</v>
      </c>
      <c r="G6" s="482">
        <v>52286</v>
      </c>
      <c r="H6" s="482">
        <v>48578</v>
      </c>
      <c r="I6" s="482">
        <v>103456</v>
      </c>
      <c r="J6" s="482">
        <v>53442</v>
      </c>
      <c r="K6" s="482">
        <v>50014</v>
      </c>
      <c r="L6" s="482">
        <v>103334</v>
      </c>
      <c r="M6" s="482">
        <v>53285</v>
      </c>
      <c r="N6" s="482">
        <v>50049</v>
      </c>
      <c r="O6" s="482">
        <v>98840</v>
      </c>
      <c r="P6" s="482">
        <v>50891</v>
      </c>
      <c r="Q6" s="482">
        <v>47949</v>
      </c>
      <c r="R6" s="390"/>
    </row>
    <row r="7" spans="1:18" ht="50.1" customHeight="1">
      <c r="A7" s="1008"/>
      <c r="B7" s="488" t="s">
        <v>728</v>
      </c>
      <c r="C7" s="482">
        <v>102242</v>
      </c>
      <c r="D7" s="482">
        <v>53071</v>
      </c>
      <c r="E7" s="482">
        <v>49171</v>
      </c>
      <c r="F7" s="482">
        <v>98409</v>
      </c>
      <c r="G7" s="482">
        <v>50869</v>
      </c>
      <c r="H7" s="482">
        <v>47540</v>
      </c>
      <c r="I7" s="482">
        <v>100785</v>
      </c>
      <c r="J7" s="482">
        <v>52096</v>
      </c>
      <c r="K7" s="482">
        <v>48689</v>
      </c>
      <c r="L7" s="482">
        <v>103004</v>
      </c>
      <c r="M7" s="482">
        <v>53100</v>
      </c>
      <c r="N7" s="482">
        <v>49904</v>
      </c>
      <c r="O7" s="482">
        <v>102614</v>
      </c>
      <c r="P7" s="482">
        <v>52787</v>
      </c>
      <c r="Q7" s="482">
        <v>49827</v>
      </c>
      <c r="R7" s="390"/>
    </row>
    <row r="8" spans="1:18" ht="50.1" customHeight="1">
      <c r="A8" s="1008"/>
      <c r="B8" s="488" t="s">
        <v>729</v>
      </c>
      <c r="C8" s="482">
        <v>125446</v>
      </c>
      <c r="D8" s="482">
        <v>65659</v>
      </c>
      <c r="E8" s="482">
        <v>59787</v>
      </c>
      <c r="F8" s="482">
        <v>101563</v>
      </c>
      <c r="G8" s="482">
        <v>52511</v>
      </c>
      <c r="H8" s="482">
        <v>49052</v>
      </c>
      <c r="I8" s="482">
        <v>97636</v>
      </c>
      <c r="J8" s="482">
        <v>50299</v>
      </c>
      <c r="K8" s="482">
        <v>47337</v>
      </c>
      <c r="L8" s="482">
        <v>99774</v>
      </c>
      <c r="M8" s="482">
        <v>51374</v>
      </c>
      <c r="N8" s="482">
        <v>48400</v>
      </c>
      <c r="O8" s="482">
        <v>101690</v>
      </c>
      <c r="P8" s="482">
        <v>52280</v>
      </c>
      <c r="Q8" s="482">
        <v>49410</v>
      </c>
      <c r="R8" s="390"/>
    </row>
    <row r="9" spans="1:18" ht="50.1" customHeight="1">
      <c r="A9" s="1008"/>
      <c r="B9" s="488" t="s">
        <v>730</v>
      </c>
      <c r="C9" s="482">
        <v>138981</v>
      </c>
      <c r="D9" s="482">
        <v>74157</v>
      </c>
      <c r="E9" s="482">
        <v>64824</v>
      </c>
      <c r="F9" s="482">
        <v>125810</v>
      </c>
      <c r="G9" s="482">
        <v>66736</v>
      </c>
      <c r="H9" s="482">
        <v>59074</v>
      </c>
      <c r="I9" s="482">
        <v>100693</v>
      </c>
      <c r="J9" s="482">
        <v>52928</v>
      </c>
      <c r="K9" s="482">
        <v>47765</v>
      </c>
      <c r="L9" s="482">
        <v>96042</v>
      </c>
      <c r="M9" s="482">
        <v>50269</v>
      </c>
      <c r="N9" s="482">
        <v>45773</v>
      </c>
      <c r="O9" s="482">
        <v>97558</v>
      </c>
      <c r="P9" s="482">
        <v>51059</v>
      </c>
      <c r="Q9" s="707">
        <v>46499</v>
      </c>
      <c r="R9" s="390"/>
    </row>
    <row r="10" spans="1:18" ht="50.1" customHeight="1">
      <c r="A10" s="1008"/>
      <c r="B10" s="488" t="s">
        <v>731</v>
      </c>
      <c r="C10" s="482">
        <v>134129</v>
      </c>
      <c r="D10" s="482">
        <v>73602</v>
      </c>
      <c r="E10" s="482">
        <v>60527</v>
      </c>
      <c r="F10" s="482">
        <v>135760</v>
      </c>
      <c r="G10" s="482">
        <v>75898</v>
      </c>
      <c r="H10" s="482">
        <v>59862</v>
      </c>
      <c r="I10" s="482">
        <v>125674</v>
      </c>
      <c r="J10" s="482">
        <v>69185</v>
      </c>
      <c r="K10" s="482">
        <v>56489</v>
      </c>
      <c r="L10" s="482">
        <v>99236</v>
      </c>
      <c r="M10" s="482">
        <v>53959</v>
      </c>
      <c r="N10" s="482">
        <v>45277</v>
      </c>
      <c r="O10" s="482">
        <v>92662</v>
      </c>
      <c r="P10" s="482">
        <v>50028</v>
      </c>
      <c r="Q10" s="482">
        <v>42634</v>
      </c>
      <c r="R10" s="390"/>
    </row>
    <row r="11" spans="1:18" ht="50.1" customHeight="1">
      <c r="A11" s="1008"/>
      <c r="B11" s="488" t="s">
        <v>732</v>
      </c>
      <c r="C11" s="482">
        <v>150760</v>
      </c>
      <c r="D11" s="482">
        <v>84759</v>
      </c>
      <c r="E11" s="482">
        <v>66001</v>
      </c>
      <c r="F11" s="482">
        <v>137040</v>
      </c>
      <c r="G11" s="482">
        <v>74567</v>
      </c>
      <c r="H11" s="482">
        <v>62473</v>
      </c>
      <c r="I11" s="482">
        <v>143648</v>
      </c>
      <c r="J11" s="482">
        <v>80859</v>
      </c>
      <c r="K11" s="482">
        <v>62789</v>
      </c>
      <c r="L11" s="482">
        <v>132568</v>
      </c>
      <c r="M11" s="482">
        <v>73405</v>
      </c>
      <c r="N11" s="482">
        <v>59163</v>
      </c>
      <c r="O11" s="482">
        <v>104043</v>
      </c>
      <c r="P11" s="482">
        <v>56792</v>
      </c>
      <c r="Q11" s="482">
        <v>47251</v>
      </c>
      <c r="R11" s="390"/>
    </row>
    <row r="12" spans="1:18" ht="50.1" customHeight="1">
      <c r="A12" s="1008"/>
      <c r="B12" s="488" t="s">
        <v>733</v>
      </c>
      <c r="C12" s="482">
        <v>151973</v>
      </c>
      <c r="D12" s="482">
        <v>82180</v>
      </c>
      <c r="E12" s="482">
        <v>69793</v>
      </c>
      <c r="F12" s="482">
        <v>155212</v>
      </c>
      <c r="G12" s="482">
        <v>85972</v>
      </c>
      <c r="H12" s="482">
        <v>69240</v>
      </c>
      <c r="I12" s="482">
        <v>139566</v>
      </c>
      <c r="J12" s="482">
        <v>75782</v>
      </c>
      <c r="K12" s="482">
        <v>63784</v>
      </c>
      <c r="L12" s="482">
        <v>148156</v>
      </c>
      <c r="M12" s="482">
        <v>83123</v>
      </c>
      <c r="N12" s="482">
        <v>65033</v>
      </c>
      <c r="O12" s="482">
        <v>135976</v>
      </c>
      <c r="P12" s="482">
        <v>75321</v>
      </c>
      <c r="Q12" s="482">
        <v>60655</v>
      </c>
      <c r="R12" s="390"/>
    </row>
    <row r="13" spans="1:18" ht="49.5" customHeight="1">
      <c r="A13" s="1008"/>
      <c r="B13" s="488" t="s">
        <v>734</v>
      </c>
      <c r="C13" s="482">
        <v>162942</v>
      </c>
      <c r="D13" s="482">
        <v>87508</v>
      </c>
      <c r="E13" s="482">
        <v>75434</v>
      </c>
      <c r="F13" s="482">
        <v>154901</v>
      </c>
      <c r="G13" s="482">
        <v>83500</v>
      </c>
      <c r="H13" s="482">
        <v>71401</v>
      </c>
      <c r="I13" s="482">
        <v>157387</v>
      </c>
      <c r="J13" s="482">
        <v>86661</v>
      </c>
      <c r="K13" s="482">
        <v>70726</v>
      </c>
      <c r="L13" s="482">
        <v>140435</v>
      </c>
      <c r="M13" s="482">
        <v>76354</v>
      </c>
      <c r="N13" s="482">
        <v>64081</v>
      </c>
      <c r="O13" s="482">
        <v>149939</v>
      </c>
      <c r="P13" s="482">
        <v>84035</v>
      </c>
      <c r="Q13" s="482">
        <v>65904</v>
      </c>
      <c r="R13" s="390"/>
    </row>
    <row r="14" spans="1:18" ht="50.1" customHeight="1">
      <c r="A14" s="1008"/>
      <c r="B14" s="488" t="s">
        <v>735</v>
      </c>
      <c r="C14" s="482">
        <v>159667</v>
      </c>
      <c r="D14" s="482">
        <v>85304</v>
      </c>
      <c r="E14" s="482">
        <v>74363</v>
      </c>
      <c r="F14" s="482">
        <v>167167</v>
      </c>
      <c r="G14" s="482">
        <v>89430</v>
      </c>
      <c r="H14" s="482">
        <v>77737</v>
      </c>
      <c r="I14" s="482">
        <v>158098</v>
      </c>
      <c r="J14" s="482">
        <v>84704</v>
      </c>
      <c r="K14" s="482">
        <v>73394</v>
      </c>
      <c r="L14" s="482">
        <v>160100</v>
      </c>
      <c r="M14" s="482">
        <v>87533</v>
      </c>
      <c r="N14" s="482">
        <v>72567</v>
      </c>
      <c r="O14" s="482">
        <v>142223</v>
      </c>
      <c r="P14" s="482">
        <v>77166</v>
      </c>
      <c r="Q14" s="482">
        <v>65057</v>
      </c>
      <c r="R14" s="390"/>
    </row>
    <row r="15" spans="1:18" ht="50.1" customHeight="1">
      <c r="A15" s="1008"/>
      <c r="B15" s="488" t="s">
        <v>736</v>
      </c>
      <c r="C15" s="482">
        <v>161891</v>
      </c>
      <c r="D15" s="482">
        <v>85868</v>
      </c>
      <c r="E15" s="482">
        <v>76023</v>
      </c>
      <c r="F15" s="482">
        <v>165661</v>
      </c>
      <c r="G15" s="482">
        <v>87525</v>
      </c>
      <c r="H15" s="482">
        <v>78136</v>
      </c>
      <c r="I15" s="482">
        <v>173328</v>
      </c>
      <c r="J15" s="482">
        <v>91653</v>
      </c>
      <c r="K15" s="482">
        <v>81675</v>
      </c>
      <c r="L15" s="482">
        <v>162845</v>
      </c>
      <c r="M15" s="482">
        <v>86222</v>
      </c>
      <c r="N15" s="482">
        <v>76623</v>
      </c>
      <c r="O15" s="482">
        <v>164501</v>
      </c>
      <c r="P15" s="482">
        <v>88900</v>
      </c>
      <c r="Q15" s="482">
        <v>75601</v>
      </c>
      <c r="R15" s="390"/>
    </row>
    <row r="16" spans="1:18" ht="50.1" customHeight="1">
      <c r="A16" s="1008"/>
      <c r="B16" s="488" t="s">
        <v>737</v>
      </c>
      <c r="C16" s="482">
        <v>147647</v>
      </c>
      <c r="D16" s="482">
        <v>75771</v>
      </c>
      <c r="E16" s="482">
        <v>71876</v>
      </c>
      <c r="F16" s="482">
        <v>169573</v>
      </c>
      <c r="G16" s="482">
        <v>88558</v>
      </c>
      <c r="H16" s="482">
        <v>81015</v>
      </c>
      <c r="I16" s="482">
        <v>173375</v>
      </c>
      <c r="J16" s="482">
        <v>90234</v>
      </c>
      <c r="K16" s="482">
        <v>83141</v>
      </c>
      <c r="L16" s="482">
        <v>181060</v>
      </c>
      <c r="M16" s="482">
        <v>94384</v>
      </c>
      <c r="N16" s="482">
        <v>86676</v>
      </c>
      <c r="O16" s="482">
        <v>169224</v>
      </c>
      <c r="P16" s="482">
        <v>88401</v>
      </c>
      <c r="Q16" s="482">
        <v>80823</v>
      </c>
      <c r="R16" s="390"/>
    </row>
    <row r="17" spans="1:18" ht="50.1" customHeight="1">
      <c r="A17" s="1008"/>
      <c r="B17" s="488" t="s">
        <v>738</v>
      </c>
      <c r="C17" s="482">
        <v>111556</v>
      </c>
      <c r="D17" s="482">
        <v>55025</v>
      </c>
      <c r="E17" s="482">
        <v>56531</v>
      </c>
      <c r="F17" s="482">
        <v>155840</v>
      </c>
      <c r="G17" s="482">
        <v>79029</v>
      </c>
      <c r="H17" s="482">
        <v>76811</v>
      </c>
      <c r="I17" s="482">
        <v>178959</v>
      </c>
      <c r="J17" s="482">
        <v>92205</v>
      </c>
      <c r="K17" s="482">
        <v>86754</v>
      </c>
      <c r="L17" s="482">
        <v>182679</v>
      </c>
      <c r="M17" s="482">
        <v>93935</v>
      </c>
      <c r="N17" s="482">
        <v>88744</v>
      </c>
      <c r="O17" s="482">
        <v>190564</v>
      </c>
      <c r="P17" s="482">
        <v>98288</v>
      </c>
      <c r="Q17" s="482">
        <v>92276</v>
      </c>
      <c r="R17" s="390"/>
    </row>
    <row r="18" spans="1:18" ht="50.1" customHeight="1">
      <c r="A18" s="1008"/>
      <c r="B18" s="488" t="s">
        <v>739</v>
      </c>
      <c r="C18" s="482">
        <v>92995</v>
      </c>
      <c r="D18" s="482">
        <v>45190</v>
      </c>
      <c r="E18" s="482">
        <v>47805</v>
      </c>
      <c r="F18" s="482">
        <v>114228</v>
      </c>
      <c r="G18" s="482">
        <v>55763</v>
      </c>
      <c r="H18" s="482">
        <v>58465</v>
      </c>
      <c r="I18" s="482">
        <v>161644</v>
      </c>
      <c r="J18" s="482">
        <v>81060</v>
      </c>
      <c r="K18" s="482">
        <v>80584</v>
      </c>
      <c r="L18" s="482">
        <v>185588</v>
      </c>
      <c r="M18" s="482">
        <v>94493</v>
      </c>
      <c r="N18" s="482">
        <v>91095</v>
      </c>
      <c r="O18" s="482">
        <v>189487</v>
      </c>
      <c r="P18" s="482">
        <v>96500</v>
      </c>
      <c r="Q18" s="482">
        <v>92987</v>
      </c>
      <c r="R18" s="390"/>
    </row>
    <row r="19" spans="1:18" ht="50.1" customHeight="1">
      <c r="A19" s="1008"/>
      <c r="B19" s="488" t="s">
        <v>740</v>
      </c>
      <c r="C19" s="482">
        <v>82880</v>
      </c>
      <c r="D19" s="482">
        <v>36063</v>
      </c>
      <c r="E19" s="482">
        <v>46817</v>
      </c>
      <c r="F19" s="482">
        <v>91895</v>
      </c>
      <c r="G19" s="482">
        <v>43101</v>
      </c>
      <c r="H19" s="482">
        <v>48794</v>
      </c>
      <c r="I19" s="482">
        <v>114382</v>
      </c>
      <c r="J19" s="482">
        <v>54158</v>
      </c>
      <c r="K19" s="482">
        <v>60224</v>
      </c>
      <c r="L19" s="482">
        <v>163550</v>
      </c>
      <c r="M19" s="482">
        <v>79665</v>
      </c>
      <c r="N19" s="482">
        <v>83885</v>
      </c>
      <c r="O19" s="482">
        <v>188167</v>
      </c>
      <c r="P19" s="482">
        <v>93149</v>
      </c>
      <c r="Q19" s="482">
        <v>95018</v>
      </c>
      <c r="R19" s="390"/>
    </row>
    <row r="20" spans="1:18" ht="50.1" customHeight="1">
      <c r="A20" s="1008"/>
      <c r="B20" s="488" t="s">
        <v>741</v>
      </c>
      <c r="C20" s="482">
        <v>78344</v>
      </c>
      <c r="D20" s="482">
        <v>31562</v>
      </c>
      <c r="E20" s="482">
        <v>46782</v>
      </c>
      <c r="F20" s="482">
        <v>76992</v>
      </c>
      <c r="G20" s="482">
        <v>31320</v>
      </c>
      <c r="H20" s="482">
        <v>45672</v>
      </c>
      <c r="I20" s="482">
        <v>87602</v>
      </c>
      <c r="J20" s="482">
        <v>38488</v>
      </c>
      <c r="K20" s="482">
        <v>49114</v>
      </c>
      <c r="L20" s="482">
        <v>110646</v>
      </c>
      <c r="M20" s="482">
        <v>49468</v>
      </c>
      <c r="N20" s="482">
        <v>61178</v>
      </c>
      <c r="O20" s="482">
        <v>159881</v>
      </c>
      <c r="P20" s="482">
        <v>73825</v>
      </c>
      <c r="Q20" s="482">
        <v>86056</v>
      </c>
      <c r="R20" s="390"/>
    </row>
    <row r="21" spans="1:18" ht="50.1" customHeight="1">
      <c r="A21" s="1008"/>
      <c r="B21" s="488" t="s">
        <v>742</v>
      </c>
      <c r="C21" s="482">
        <v>55353</v>
      </c>
      <c r="D21" s="482">
        <v>20132</v>
      </c>
      <c r="E21" s="482">
        <v>35221</v>
      </c>
      <c r="F21" s="482">
        <v>63709</v>
      </c>
      <c r="G21" s="482">
        <v>22776</v>
      </c>
      <c r="H21" s="482">
        <v>40933</v>
      </c>
      <c r="I21" s="482">
        <v>65109</v>
      </c>
      <c r="J21" s="482">
        <v>23767</v>
      </c>
      <c r="K21" s="482">
        <v>41342</v>
      </c>
      <c r="L21" s="482">
        <v>76210</v>
      </c>
      <c r="M21" s="482">
        <v>30270</v>
      </c>
      <c r="N21" s="482">
        <v>45940</v>
      </c>
      <c r="O21" s="482">
        <v>98090</v>
      </c>
      <c r="P21" s="482">
        <v>40138</v>
      </c>
      <c r="Q21" s="482">
        <v>57952</v>
      </c>
      <c r="R21" s="390"/>
    </row>
    <row r="22" spans="1:18" ht="50.1" customHeight="1">
      <c r="A22" s="1008"/>
      <c r="B22" s="488" t="s">
        <v>743</v>
      </c>
      <c r="C22" s="482">
        <v>24612</v>
      </c>
      <c r="D22" s="482">
        <v>7209</v>
      </c>
      <c r="E22" s="482">
        <v>17403</v>
      </c>
      <c r="F22" s="482">
        <v>37423</v>
      </c>
      <c r="G22" s="482">
        <v>10810</v>
      </c>
      <c r="H22" s="482">
        <v>26613</v>
      </c>
      <c r="I22" s="482">
        <v>44233</v>
      </c>
      <c r="J22" s="482">
        <v>12842</v>
      </c>
      <c r="K22" s="482">
        <v>31391</v>
      </c>
      <c r="L22" s="482">
        <v>47064</v>
      </c>
      <c r="M22" s="482">
        <v>14216</v>
      </c>
      <c r="N22" s="482">
        <v>32848</v>
      </c>
      <c r="O22" s="482">
        <v>56703</v>
      </c>
      <c r="P22" s="482">
        <v>18964</v>
      </c>
      <c r="Q22" s="482">
        <v>37739</v>
      </c>
      <c r="R22" s="390"/>
    </row>
    <row r="23" spans="1:18" ht="50.1" customHeight="1">
      <c r="A23" s="1008"/>
      <c r="B23" s="488" t="s">
        <v>744</v>
      </c>
      <c r="C23" s="482">
        <v>8765</v>
      </c>
      <c r="D23" s="482">
        <v>2052</v>
      </c>
      <c r="E23" s="482">
        <v>6713</v>
      </c>
      <c r="F23" s="482">
        <v>13325</v>
      </c>
      <c r="G23" s="482">
        <v>2527</v>
      </c>
      <c r="H23" s="482">
        <v>10798</v>
      </c>
      <c r="I23" s="482">
        <v>20297</v>
      </c>
      <c r="J23" s="482">
        <v>3966</v>
      </c>
      <c r="K23" s="482">
        <v>16331</v>
      </c>
      <c r="L23" s="482">
        <v>24648</v>
      </c>
      <c r="M23" s="482">
        <v>5016</v>
      </c>
      <c r="N23" s="482">
        <v>19632</v>
      </c>
      <c r="O23" s="482">
        <v>27098</v>
      </c>
      <c r="P23" s="482">
        <v>5923</v>
      </c>
      <c r="Q23" s="482">
        <v>21175</v>
      </c>
      <c r="R23" s="390"/>
    </row>
    <row r="24" spans="1:18" ht="50.1" customHeight="1">
      <c r="A24" s="1008"/>
      <c r="B24" s="488" t="s">
        <v>745</v>
      </c>
      <c r="C24" s="482">
        <v>1966</v>
      </c>
      <c r="D24" s="482">
        <v>308</v>
      </c>
      <c r="E24" s="482">
        <v>1658</v>
      </c>
      <c r="F24" s="482">
        <v>4035</v>
      </c>
      <c r="G24" s="482">
        <v>445</v>
      </c>
      <c r="H24" s="482">
        <v>3590</v>
      </c>
      <c r="I24" s="482">
        <v>6290</v>
      </c>
      <c r="J24" s="482">
        <v>573</v>
      </c>
      <c r="K24" s="482">
        <v>5717</v>
      </c>
      <c r="L24" s="482">
        <v>9565</v>
      </c>
      <c r="M24" s="482">
        <v>922</v>
      </c>
      <c r="N24" s="482">
        <v>8643</v>
      </c>
      <c r="O24" s="482">
        <v>12175</v>
      </c>
      <c r="P24" s="482">
        <v>1266</v>
      </c>
      <c r="Q24" s="482">
        <v>10909</v>
      </c>
      <c r="R24" s="390"/>
    </row>
    <row r="25" spans="1:18" ht="50.1" customHeight="1">
      <c r="A25" s="1009"/>
      <c r="B25" s="483" t="s">
        <v>746</v>
      </c>
      <c r="C25" s="482">
        <v>246</v>
      </c>
      <c r="D25" s="482">
        <v>34</v>
      </c>
      <c r="E25" s="482">
        <v>212</v>
      </c>
      <c r="F25" s="482">
        <v>509</v>
      </c>
      <c r="G25" s="482">
        <v>29</v>
      </c>
      <c r="H25" s="482">
        <v>480</v>
      </c>
      <c r="I25" s="482">
        <v>964</v>
      </c>
      <c r="J25" s="482">
        <v>42</v>
      </c>
      <c r="K25" s="482">
        <v>922</v>
      </c>
      <c r="L25" s="482">
        <v>1486</v>
      </c>
      <c r="M25" s="482">
        <v>56</v>
      </c>
      <c r="N25" s="482">
        <v>1430</v>
      </c>
      <c r="O25" s="482">
        <v>2208</v>
      </c>
      <c r="P25" s="482">
        <v>90</v>
      </c>
      <c r="Q25" s="482">
        <v>2118</v>
      </c>
      <c r="R25" s="390"/>
    </row>
    <row r="29" spans="1:18">
      <c r="A29" s="708" t="s">
        <v>595</v>
      </c>
      <c r="B29" s="708" t="s">
        <v>747</v>
      </c>
      <c r="C29" s="416"/>
      <c r="D29" s="416"/>
      <c r="E29" s="416"/>
      <c r="F29" s="416"/>
      <c r="G29" s="416"/>
    </row>
    <row r="30" spans="1:18">
      <c r="A30" s="708" t="s">
        <v>597</v>
      </c>
      <c r="B30" s="708" t="s">
        <v>748</v>
      </c>
      <c r="C30" s="416"/>
      <c r="D30" s="416"/>
      <c r="E30" s="416"/>
      <c r="F30" s="416"/>
      <c r="G30" s="416"/>
    </row>
    <row r="31" spans="1:18">
      <c r="A31" s="708" t="s">
        <v>599</v>
      </c>
      <c r="B31" s="708" t="s">
        <v>665</v>
      </c>
      <c r="C31" s="416"/>
      <c r="D31" s="416"/>
      <c r="E31" s="416"/>
      <c r="F31" s="416"/>
      <c r="G31" s="416"/>
    </row>
    <row r="32" spans="1:18">
      <c r="A32" s="708" t="s">
        <v>601</v>
      </c>
      <c r="B32" s="708" t="s">
        <v>602</v>
      </c>
      <c r="C32" s="416"/>
      <c r="D32" s="416"/>
      <c r="E32" s="416"/>
      <c r="F32" s="416"/>
      <c r="G32" s="416"/>
    </row>
    <row r="33" spans="1:7">
      <c r="A33" s="708" t="s">
        <v>603</v>
      </c>
      <c r="B33" s="708" t="s">
        <v>749</v>
      </c>
      <c r="C33" s="416"/>
      <c r="D33" s="416"/>
      <c r="E33" s="416"/>
      <c r="F33" s="416"/>
      <c r="G33" s="416"/>
    </row>
    <row r="34" spans="1:7">
      <c r="A34" s="708" t="s">
        <v>605</v>
      </c>
      <c r="B34" s="708" t="s">
        <v>750</v>
      </c>
      <c r="C34" s="416"/>
      <c r="D34" s="416"/>
      <c r="E34" s="416"/>
      <c r="F34" s="416"/>
      <c r="G34" s="416"/>
    </row>
    <row r="35" spans="1:7">
      <c r="A35" s="708" t="s">
        <v>124</v>
      </c>
      <c r="B35" s="708" t="s">
        <v>607</v>
      </c>
      <c r="C35" s="416"/>
      <c r="D35" s="416"/>
      <c r="E35" s="416"/>
      <c r="F35" s="416"/>
      <c r="G35" s="416"/>
    </row>
    <row r="36" spans="1:7">
      <c r="A36" s="708" t="s">
        <v>704</v>
      </c>
      <c r="B36" s="708" t="s">
        <v>705</v>
      </c>
      <c r="C36" s="416"/>
      <c r="D36" s="416"/>
      <c r="E36" s="416"/>
      <c r="F36" s="416"/>
      <c r="G36" s="416"/>
    </row>
    <row r="37" spans="1:7">
      <c r="A37" s="708" t="s">
        <v>608</v>
      </c>
      <c r="B37" s="708"/>
      <c r="C37" s="416"/>
      <c r="D37" s="416"/>
      <c r="E37" s="416"/>
      <c r="F37" s="416"/>
      <c r="G37" s="416"/>
    </row>
    <row r="38" spans="1:7">
      <c r="A38" s="708" t="s">
        <v>609</v>
      </c>
      <c r="B38" s="708" t="s">
        <v>751</v>
      </c>
      <c r="C38" s="416"/>
      <c r="D38" s="416"/>
      <c r="E38" s="416"/>
      <c r="F38" s="416"/>
      <c r="G38" s="416"/>
    </row>
    <row r="39" spans="1:7">
      <c r="A39" s="708" t="s">
        <v>124</v>
      </c>
      <c r="B39" s="708" t="s">
        <v>752</v>
      </c>
      <c r="C39" s="416"/>
      <c r="D39" s="416"/>
      <c r="E39" s="416"/>
      <c r="F39" s="416"/>
      <c r="G39" s="416"/>
    </row>
    <row r="40" spans="1:7">
      <c r="A40" s="708" t="s">
        <v>124</v>
      </c>
      <c r="B40" s="708" t="s">
        <v>611</v>
      </c>
      <c r="C40" s="416"/>
      <c r="D40" s="416"/>
      <c r="E40" s="416"/>
      <c r="F40" s="416"/>
      <c r="G40" s="416"/>
    </row>
    <row r="41" spans="1:7">
      <c r="A41" s="708" t="s">
        <v>124</v>
      </c>
      <c r="B41" s="708" t="s">
        <v>753</v>
      </c>
      <c r="C41" s="416"/>
      <c r="D41" s="416"/>
      <c r="E41" s="416"/>
      <c r="F41" s="416"/>
      <c r="G41" s="416"/>
    </row>
    <row r="42" spans="1:7">
      <c r="A42" s="416"/>
      <c r="B42" s="416"/>
      <c r="C42" s="416"/>
      <c r="D42" s="416"/>
      <c r="E42" s="416"/>
      <c r="F42" s="416"/>
      <c r="G42" s="416"/>
    </row>
  </sheetData>
  <mergeCells count="9">
    <mergeCell ref="A1:Q1"/>
    <mergeCell ref="A4:A25"/>
    <mergeCell ref="L2:N2"/>
    <mergeCell ref="O2:Q2"/>
    <mergeCell ref="A2:A3"/>
    <mergeCell ref="B2:B3"/>
    <mergeCell ref="C2:E2"/>
    <mergeCell ref="F2:H2"/>
    <mergeCell ref="I2:K2"/>
  </mergeCells>
  <phoneticPr fontId="10" type="noConversion"/>
  <pageMargins left="0.7" right="0.7" top="0.75" bottom="0.75" header="0.3" footer="0.3"/>
  <pageSetup paperSize="9" scale="38" orientation="landscape" r:id="rId1"/>
  <colBreaks count="1" manualBreakCount="1">
    <brk id="17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25</vt:i4>
      </vt:variant>
      <vt:variant>
        <vt:lpstr>이름이 지정된 범위</vt:lpstr>
      </vt:variant>
      <vt:variant>
        <vt:i4>21</vt:i4>
      </vt:variant>
    </vt:vector>
  </HeadingPairs>
  <TitlesOfParts>
    <vt:vector size="46" baseType="lpstr">
      <vt:lpstr>자연적인구보정(최종)</vt:lpstr>
      <vt:lpstr>1.1 가.과거10년 인구</vt:lpstr>
      <vt:lpstr>1.1 나.과거10년 인구(읍면별)</vt:lpstr>
      <vt:lpstr>1.1 다.과거인구추이분석</vt:lpstr>
      <vt:lpstr>1.2.1수학적인구 추정(전체)-10년치</vt:lpstr>
      <vt:lpstr>1.2.2조성법</vt:lpstr>
      <vt:lpstr>생잔모형법(홍성군)</vt:lpstr>
      <vt:lpstr>생잔모형법(충청남도)</vt:lpstr>
      <vt:lpstr>통계청 장래인구 추계</vt:lpstr>
      <vt:lpstr>1.2.1 사회적인구 계획</vt:lpstr>
      <vt:lpstr>외부유입율</vt:lpstr>
      <vt:lpstr>내포외부유입율</vt:lpstr>
      <vt:lpstr>1.3 계획인구(읍면지역)</vt:lpstr>
      <vt:lpstr>계획인구(최종)</vt:lpstr>
      <vt:lpstr>---&gt;출력xxxx</vt:lpstr>
      <vt:lpstr>충남('15) 5세 계급별 인구(내포포함)</vt:lpstr>
      <vt:lpstr>홍성군('15) 5세 계급별 인구(내포제외)</vt:lpstr>
      <vt:lpstr>홍성군('15) 5세 계급별 인구 (내포포함)</vt:lpstr>
      <vt:lpstr>#1. 장래인구 성비</vt:lpstr>
      <vt:lpstr>#2. 모의 연령별 출산율</vt:lpstr>
      <vt:lpstr>#3. 생잔율</vt:lpstr>
      <vt:lpstr>#4. 생명표</vt:lpstr>
      <vt:lpstr>홍성군 인구현황(2015)</vt:lpstr>
      <vt:lpstr>요약보고서 삽도용</vt:lpstr>
      <vt:lpstr>Sheet1</vt:lpstr>
      <vt:lpstr>'#1. 장래인구 성비'!Print_Area</vt:lpstr>
      <vt:lpstr>'#2. 모의 연령별 출산율'!Print_Area</vt:lpstr>
      <vt:lpstr>'#4. 생명표'!Print_Area</vt:lpstr>
      <vt:lpstr>'1.1 가.과거10년 인구'!Print_Area</vt:lpstr>
      <vt:lpstr>'1.1 나.과거10년 인구(읍면별)'!Print_Area</vt:lpstr>
      <vt:lpstr>'1.1 다.과거인구추이분석'!Print_Area</vt:lpstr>
      <vt:lpstr>'1.2.1 사회적인구 계획'!Print_Area</vt:lpstr>
      <vt:lpstr>'1.2.1수학적인구 추정(전체)-10년치'!Print_Area</vt:lpstr>
      <vt:lpstr>'1.2.2조성법'!Print_Area</vt:lpstr>
      <vt:lpstr>'계획인구(최종)'!Print_Area</vt:lpstr>
      <vt:lpstr>내포외부유입율!Print_Area</vt:lpstr>
      <vt:lpstr>외부유입율!Print_Area</vt:lpstr>
      <vt:lpstr>'자연적인구보정(최종)'!Print_Area</vt:lpstr>
      <vt:lpstr>'충남(''15) 5세 계급별 인구(내포포함)'!Print_Area</vt:lpstr>
      <vt:lpstr>'통계청 장래인구 추계'!Print_Area</vt:lpstr>
      <vt:lpstr>'홍성군(''15) 5세 계급별 인구 (내포포함)'!Print_Area</vt:lpstr>
      <vt:lpstr>'홍성군(''15) 5세 계급별 인구(내포제외)'!Print_Area</vt:lpstr>
      <vt:lpstr>'1.1 나.과거10년 인구(읍면별)'!Print_Titles</vt:lpstr>
      <vt:lpstr>'1.2.2조성법'!Print_Titles</vt:lpstr>
      <vt:lpstr>'생잔모형법(충청남도)'!Print_Titles</vt:lpstr>
      <vt:lpstr>'생잔모형법(홍성군)'!Print_Titles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125012</dc:creator>
  <cp:lastModifiedBy>개인</cp:lastModifiedBy>
  <cp:lastPrinted>2017-10-24T07:44:16Z</cp:lastPrinted>
  <dcterms:created xsi:type="dcterms:W3CDTF">2006-07-12T00:31:17Z</dcterms:created>
  <dcterms:modified xsi:type="dcterms:W3CDTF">2017-10-25T07:36:01Z</dcterms:modified>
</cp:coreProperties>
</file>