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1085" yWindow="150" windowWidth="13425" windowHeight="14610" tabRatio="851"/>
  </bookViews>
  <sheets>
    <sheet name="기타용수 총괄" sheetId="97" r:id="rId1"/>
    <sheet name="관광용수량(남당)" sheetId="99" r:id="rId2"/>
    <sheet name="관광용수량(옥암지구 온천)" sheetId="98" r:id="rId3"/>
    <sheet name="대학용수량" sheetId="77" r:id="rId4"/>
    <sheet name="교도소용수량" sheetId="82" r:id="rId5"/>
    <sheet name="출력안함☞" sheetId="95" r:id="rId6"/>
    <sheet name="Sheet1" sheetId="94" r:id="rId7"/>
    <sheet name="관광용수량(1)X" sheetId="85" r:id="rId8"/>
    <sheet name="관광용수량(2)" sheetId="23" r:id="rId9"/>
    <sheet name="관광용수량(3)" sheetId="86" r:id="rId10"/>
    <sheet name="관광용수량(남당)(숙박단위조정)" sheetId="93" r:id="rId11"/>
    <sheet name="관광용수량(남당)결정" sheetId="87" r:id="rId12"/>
    <sheet name="군부대용수량" sheetId="81" r:id="rId13"/>
  </sheets>
  <definedNames>
    <definedName name="_Fill" hidden="1">#REF!</definedName>
    <definedName name="_Regression_Out" hidden="1">#REF!</definedName>
    <definedName name="_Regression_X" hidden="1">#REF!</definedName>
    <definedName name="_Regression_Y" hidden="1">#REF!</definedName>
    <definedName name="_xlnm.Print_Area" localSheetId="7">'관광용수량(1)X'!$A$1:$J$70</definedName>
    <definedName name="_xlnm.Print_Area" localSheetId="8">'관광용수량(2)'!$A$1:$M$23</definedName>
    <definedName name="_xlnm.Print_Area" localSheetId="9">'관광용수량(3)'!$A$1:$S$42</definedName>
    <definedName name="_xlnm.Print_Area" localSheetId="1">'관광용수량(남당)'!$A$1:$J$27</definedName>
    <definedName name="_xlnm.Print_Area" localSheetId="10">'관광용수량(남당)(숙박단위조정)'!$A$1:$S$40</definedName>
    <definedName name="_xlnm.Print_Area" localSheetId="11">'관광용수량(남당)결정'!$A$1:$M$18</definedName>
    <definedName name="_xlnm.Print_Area" localSheetId="2">'관광용수량(옥암지구 온천)'!$A$1:$J$28</definedName>
    <definedName name="_xlnm.Print_Area" localSheetId="4">교도소용수량!$A$1:$H$71</definedName>
    <definedName name="_xlnm.Print_Area" localSheetId="12">군부대용수량!$A$1:$H$65</definedName>
    <definedName name="_xlnm.Print_Area" localSheetId="0">'기타용수 총괄'!$A$1:$H$28</definedName>
    <definedName name="_xlnm.Print_Area" localSheetId="3">대학용수량!$A$1:$N$42</definedName>
    <definedName name="_xlnm.Print_Titles" localSheetId="9">'관광용수량(3)'!$A:$E,'관광용수량(3)'!$5:$7</definedName>
    <definedName name="_xlnm.Print_Titles" localSheetId="10">'관광용수량(남당)(숙박단위조정)'!$A:$E,'관광용수량(남당)(숙박단위조정)'!$3:$5</definedName>
    <definedName name="과거인구">#REF!</definedName>
    <definedName name="광주10년추정">#REF!</definedName>
    <definedName name="광주15년추정">#REF!</definedName>
    <definedName name="광주5년추정">#REF!</definedName>
    <definedName name="산술통계">#REF!</definedName>
  </definedNames>
  <calcPr calcId="144525"/>
</workbook>
</file>

<file path=xl/calcChain.xml><?xml version="1.0" encoding="utf-8"?>
<calcChain xmlns="http://schemas.openxmlformats.org/spreadsheetml/2006/main">
  <c r="Q21" i="99" l="1"/>
  <c r="P21" i="99"/>
  <c r="C9" i="82"/>
  <c r="C8" i="82"/>
  <c r="C42" i="82"/>
  <c r="C41" i="82"/>
  <c r="C40" i="82"/>
  <c r="C39" i="82"/>
  <c r="C38" i="82"/>
  <c r="C37" i="82"/>
  <c r="C36" i="82"/>
  <c r="C35" i="82"/>
  <c r="C34" i="82"/>
  <c r="C33" i="82"/>
  <c r="C32" i="82"/>
  <c r="C31" i="82"/>
  <c r="C30" i="82"/>
  <c r="C29" i="82"/>
  <c r="C28" i="82"/>
  <c r="C27" i="82"/>
  <c r="C26" i="82"/>
  <c r="C25" i="82"/>
  <c r="C24" i="82"/>
  <c r="C23" i="82"/>
  <c r="C22" i="82"/>
  <c r="C21" i="82"/>
  <c r="C20" i="82"/>
  <c r="C19" i="82"/>
  <c r="C18" i="82"/>
  <c r="C17" i="82"/>
  <c r="C16" i="82"/>
  <c r="C15" i="82"/>
  <c r="C14" i="82"/>
  <c r="C13" i="82"/>
  <c r="C12" i="82"/>
  <c r="C11" i="82"/>
  <c r="C7" i="82"/>
  <c r="A42" i="82"/>
  <c r="A41" i="82"/>
  <c r="A40" i="82"/>
  <c r="A39" i="82"/>
  <c r="A38" i="82"/>
  <c r="A37" i="82"/>
  <c r="A36" i="82"/>
  <c r="A35" i="82"/>
  <c r="A34" i="82"/>
  <c r="A33" i="82"/>
  <c r="A32" i="82"/>
  <c r="A31" i="82"/>
  <c r="A30" i="82"/>
  <c r="A29" i="82"/>
  <c r="A28" i="82"/>
  <c r="A27" i="82"/>
  <c r="A26" i="82"/>
  <c r="A25" i="82"/>
  <c r="A24" i="82"/>
  <c r="A23" i="82"/>
  <c r="A22" i="82"/>
  <c r="A21" i="82"/>
  <c r="A20" i="82"/>
  <c r="A19" i="82"/>
  <c r="A18" i="82"/>
  <c r="A17" i="82"/>
  <c r="A16" i="82"/>
  <c r="A15" i="82"/>
  <c r="A14" i="82"/>
  <c r="A13" i="82"/>
  <c r="A12" i="82"/>
  <c r="A11" i="82"/>
  <c r="A10" i="82"/>
  <c r="A9" i="82"/>
  <c r="A8" i="82"/>
  <c r="A7" i="82"/>
  <c r="O20" i="98"/>
  <c r="Q20" i="98" s="1"/>
  <c r="E25" i="98" s="1"/>
  <c r="E23" i="99"/>
  <c r="O21" i="99"/>
  <c r="E24" i="99"/>
  <c r="C23" i="99"/>
  <c r="G23" i="99" s="1"/>
  <c r="J8" i="99"/>
  <c r="C7" i="99"/>
  <c r="C24" i="99" s="1"/>
  <c r="B26" i="98"/>
  <c r="E17" i="77"/>
  <c r="E18" i="77" s="1"/>
  <c r="M33" i="77" s="1"/>
  <c r="H17" i="77"/>
  <c r="I7" i="93"/>
  <c r="C9" i="98"/>
  <c r="C6" i="98"/>
  <c r="C8" i="98" s="1"/>
  <c r="G19" i="85"/>
  <c r="E19" i="85"/>
  <c r="C19" i="85"/>
  <c r="G18" i="85"/>
  <c r="E18" i="85"/>
  <c r="G17" i="85"/>
  <c r="E17" i="85"/>
  <c r="G16" i="85"/>
  <c r="E16" i="85"/>
  <c r="G15" i="85"/>
  <c r="E15" i="85"/>
  <c r="G14" i="85"/>
  <c r="E14" i="85"/>
  <c r="G13" i="85"/>
  <c r="E13" i="85"/>
  <c r="C18" i="85"/>
  <c r="C17" i="85"/>
  <c r="C16" i="85"/>
  <c r="C15" i="85"/>
  <c r="C14" i="85"/>
  <c r="C13" i="85"/>
  <c r="C34" i="81"/>
  <c r="E7" i="93"/>
  <c r="E8" i="93"/>
  <c r="N8" i="93" s="1"/>
  <c r="E9" i="93"/>
  <c r="E10" i="93"/>
  <c r="E11" i="93"/>
  <c r="E12" i="93"/>
  <c r="N12" i="93" s="1"/>
  <c r="E13" i="93"/>
  <c r="D15" i="93"/>
  <c r="I15" i="93"/>
  <c r="D16" i="93"/>
  <c r="K16" i="93" s="1"/>
  <c r="J16" i="93" s="1"/>
  <c r="I16" i="93"/>
  <c r="D17" i="93"/>
  <c r="I17" i="93"/>
  <c r="D18" i="93"/>
  <c r="K18" i="93" s="1"/>
  <c r="I18" i="93"/>
  <c r="D19" i="93"/>
  <c r="I19" i="93"/>
  <c r="D20" i="93"/>
  <c r="I20" i="93"/>
  <c r="D21" i="93"/>
  <c r="N21" i="93" s="1"/>
  <c r="I21" i="93"/>
  <c r="D22" i="93"/>
  <c r="K22" i="93" s="1"/>
  <c r="J22" i="93" s="1"/>
  <c r="I22" i="93"/>
  <c r="D23" i="93"/>
  <c r="I23" i="93"/>
  <c r="D24" i="93"/>
  <c r="K24" i="93" s="1"/>
  <c r="L24" i="93" s="1"/>
  <c r="I24" i="93"/>
  <c r="D25" i="93"/>
  <c r="I25" i="93"/>
  <c r="D26" i="93"/>
  <c r="K26" i="93" s="1"/>
  <c r="I26" i="93"/>
  <c r="D27" i="93"/>
  <c r="K27" i="93" s="1"/>
  <c r="I27" i="93"/>
  <c r="D28" i="93"/>
  <c r="I28" i="93"/>
  <c r="D29" i="93"/>
  <c r="I29" i="93"/>
  <c r="D30" i="93"/>
  <c r="I30" i="93"/>
  <c r="D31" i="93"/>
  <c r="I31" i="93"/>
  <c r="I33" i="93"/>
  <c r="K33" i="93" s="1"/>
  <c r="I34" i="93"/>
  <c r="K34" i="93" s="1"/>
  <c r="J34" i="93" s="1"/>
  <c r="I36" i="93"/>
  <c r="K36" i="93" s="1"/>
  <c r="J36" i="93" s="1"/>
  <c r="J38" i="93" s="1"/>
  <c r="I37" i="93"/>
  <c r="K37" i="93" s="1"/>
  <c r="J37" i="93" s="1"/>
  <c r="I39" i="93"/>
  <c r="K39" i="93" s="1"/>
  <c r="D7" i="93"/>
  <c r="D8" i="93"/>
  <c r="D9" i="93"/>
  <c r="D10" i="93"/>
  <c r="D11" i="93"/>
  <c r="D12" i="93"/>
  <c r="D13" i="93"/>
  <c r="D35" i="93"/>
  <c r="D38" i="93"/>
  <c r="D40" i="93"/>
  <c r="N7" i="93"/>
  <c r="N9" i="93"/>
  <c r="M9" i="93" s="1"/>
  <c r="N10" i="93"/>
  <c r="N11" i="93"/>
  <c r="M11" i="93" s="1"/>
  <c r="N13" i="93"/>
  <c r="M13" i="93"/>
  <c r="N16" i="93"/>
  <c r="M16" i="93" s="1"/>
  <c r="P16" i="93" s="1"/>
  <c r="N17" i="93"/>
  <c r="N18" i="93"/>
  <c r="M18" i="93" s="1"/>
  <c r="N19" i="93"/>
  <c r="O19" i="93" s="1"/>
  <c r="N22" i="93"/>
  <c r="M22" i="93" s="1"/>
  <c r="N24" i="93"/>
  <c r="N26" i="93"/>
  <c r="M26" i="93" s="1"/>
  <c r="P26" i="93" s="1"/>
  <c r="N27" i="93"/>
  <c r="N29" i="93"/>
  <c r="N30" i="93"/>
  <c r="O30" i="93" s="1"/>
  <c r="Q30" i="93" s="1"/>
  <c r="N33" i="93"/>
  <c r="O33" i="93"/>
  <c r="M33" i="93"/>
  <c r="N34" i="93"/>
  <c r="M34" i="93" s="1"/>
  <c r="N36" i="93"/>
  <c r="N37" i="93"/>
  <c r="N39" i="93"/>
  <c r="M39" i="93" s="1"/>
  <c r="O9" i="93"/>
  <c r="R9" i="93" s="1"/>
  <c r="O13" i="93"/>
  <c r="O16" i="93"/>
  <c r="O26" i="93"/>
  <c r="Q26" i="93"/>
  <c r="O34" i="93"/>
  <c r="Q34" i="93" s="1"/>
  <c r="Q9" i="93"/>
  <c r="R16" i="93"/>
  <c r="R26" i="93"/>
  <c r="E9" i="86"/>
  <c r="K9" i="86" s="1"/>
  <c r="I9" i="86"/>
  <c r="E10" i="86"/>
  <c r="I10" i="86"/>
  <c r="E11" i="86"/>
  <c r="K11" i="86" s="1"/>
  <c r="I11" i="86"/>
  <c r="E12" i="86"/>
  <c r="I12" i="86"/>
  <c r="E13" i="86"/>
  <c r="K13" i="86" s="1"/>
  <c r="I13" i="86"/>
  <c r="E14" i="86"/>
  <c r="I14" i="86"/>
  <c r="E15" i="86"/>
  <c r="I15" i="86"/>
  <c r="D17" i="86"/>
  <c r="I17" i="86"/>
  <c r="D18" i="86"/>
  <c r="I18" i="86"/>
  <c r="D19" i="86"/>
  <c r="I19" i="86"/>
  <c r="D20" i="86"/>
  <c r="I20" i="86"/>
  <c r="D21" i="86"/>
  <c r="N21" i="86" s="1"/>
  <c r="I21" i="86"/>
  <c r="D22" i="86"/>
  <c r="I22" i="86"/>
  <c r="D23" i="86"/>
  <c r="I23" i="86"/>
  <c r="D24" i="86"/>
  <c r="K24" i="86" s="1"/>
  <c r="I24" i="86"/>
  <c r="D25" i="86"/>
  <c r="I25" i="86"/>
  <c r="D26" i="86"/>
  <c r="K26" i="86" s="1"/>
  <c r="J26" i="86" s="1"/>
  <c r="I26" i="86"/>
  <c r="D27" i="86"/>
  <c r="I27" i="86"/>
  <c r="D28" i="86"/>
  <c r="I28" i="86"/>
  <c r="D29" i="86"/>
  <c r="I29" i="86"/>
  <c r="D30" i="86"/>
  <c r="I30" i="86"/>
  <c r="D31" i="86"/>
  <c r="I31" i="86"/>
  <c r="D32" i="86"/>
  <c r="K32" i="86" s="1"/>
  <c r="I32" i="86"/>
  <c r="D33" i="86"/>
  <c r="N33" i="86" s="1"/>
  <c r="I33" i="86"/>
  <c r="K33" i="86" s="1"/>
  <c r="I35" i="86"/>
  <c r="K35" i="86" s="1"/>
  <c r="J35" i="86" s="1"/>
  <c r="I36" i="86"/>
  <c r="K36" i="86" s="1"/>
  <c r="I38" i="86"/>
  <c r="K38" i="86" s="1"/>
  <c r="I39" i="86"/>
  <c r="K39" i="86" s="1"/>
  <c r="I41" i="86"/>
  <c r="K41" i="86" s="1"/>
  <c r="G31" i="77"/>
  <c r="G34" i="77" s="1"/>
  <c r="G32" i="77"/>
  <c r="G35" i="77" s="1"/>
  <c r="J31" i="77"/>
  <c r="J34" i="77" s="1"/>
  <c r="J37" i="77" s="1"/>
  <c r="J32" i="77"/>
  <c r="J35" i="77"/>
  <c r="J38" i="77" s="1"/>
  <c r="C33" i="81"/>
  <c r="C36" i="81"/>
  <c r="C46" i="81" s="1"/>
  <c r="C47" i="81" s="1"/>
  <c r="D55" i="81" s="1"/>
  <c r="E33" i="81"/>
  <c r="E36" i="81" s="1"/>
  <c r="E35" i="81"/>
  <c r="E37" i="81" s="1"/>
  <c r="E45" i="81" s="1"/>
  <c r="C35" i="81"/>
  <c r="C37" i="81" s="1"/>
  <c r="C45" i="81" s="1"/>
  <c r="L26" i="86"/>
  <c r="L35" i="86"/>
  <c r="D9" i="86"/>
  <c r="D10" i="86"/>
  <c r="D11" i="86"/>
  <c r="D12" i="86"/>
  <c r="D13" i="86"/>
  <c r="D14" i="86"/>
  <c r="D15" i="86"/>
  <c r="D37" i="86"/>
  <c r="D40" i="86"/>
  <c r="D42" i="86"/>
  <c r="N9" i="86"/>
  <c r="N10" i="86"/>
  <c r="N11" i="86"/>
  <c r="M11" i="86"/>
  <c r="N13" i="86"/>
  <c r="M13" i="86" s="1"/>
  <c r="N14" i="86"/>
  <c r="N15" i="86"/>
  <c r="M15" i="86"/>
  <c r="N17" i="86"/>
  <c r="O17" i="86" s="1"/>
  <c r="N18" i="86"/>
  <c r="M18" i="86" s="1"/>
  <c r="N19" i="86"/>
  <c r="N20" i="86"/>
  <c r="N22" i="86"/>
  <c r="M22" i="86" s="1"/>
  <c r="N23" i="86"/>
  <c r="M23" i="86" s="1"/>
  <c r="N24" i="86"/>
  <c r="M24" i="86" s="1"/>
  <c r="N25" i="86"/>
  <c r="N26" i="86"/>
  <c r="N28" i="86"/>
  <c r="O28" i="86" s="1"/>
  <c r="R28" i="86" s="1"/>
  <c r="N29" i="86"/>
  <c r="O29" i="86" s="1"/>
  <c r="R29" i="86" s="1"/>
  <c r="N31" i="86"/>
  <c r="O31" i="86" s="1"/>
  <c r="N32" i="86"/>
  <c r="N35" i="86"/>
  <c r="O35" i="86" s="1"/>
  <c r="Q35" i="86" s="1"/>
  <c r="Q37" i="86" s="1"/>
  <c r="N36" i="86"/>
  <c r="M36" i="86"/>
  <c r="N38" i="86"/>
  <c r="N39" i="86"/>
  <c r="M39" i="86" s="1"/>
  <c r="N41" i="86"/>
  <c r="N42" i="86" s="1"/>
  <c r="M41" i="86"/>
  <c r="N37" i="86"/>
  <c r="O10" i="86"/>
  <c r="O11" i="86"/>
  <c r="R11" i="86" s="1"/>
  <c r="O13" i="86"/>
  <c r="Q13" i="86" s="1"/>
  <c r="O15" i="86"/>
  <c r="O18" i="86"/>
  <c r="O24" i="86"/>
  <c r="O32" i="86"/>
  <c r="O41" i="86"/>
  <c r="O42" i="86" s="1"/>
  <c r="Q28" i="86"/>
  <c r="R32" i="86"/>
  <c r="M9" i="23"/>
  <c r="G9" i="23" s="1"/>
  <c r="K9" i="23" s="1"/>
  <c r="G10" i="23"/>
  <c r="I10" i="23" s="1"/>
  <c r="G11" i="23"/>
  <c r="I11" i="23" s="1"/>
  <c r="G12" i="23"/>
  <c r="I12" i="23" s="1"/>
  <c r="G13" i="23"/>
  <c r="I13" i="23" s="1"/>
  <c r="D62" i="85"/>
  <c r="D63" i="85" s="1"/>
  <c r="C31" i="85"/>
  <c r="E31" i="85" s="1"/>
  <c r="F62" i="85"/>
  <c r="D60" i="85"/>
  <c r="E34" i="81"/>
  <c r="C20" i="85"/>
  <c r="A56" i="81"/>
  <c r="A55" i="81"/>
  <c r="C47" i="82"/>
  <c r="E24" i="77"/>
  <c r="E25" i="77"/>
  <c r="E26" i="77"/>
  <c r="J23" i="77"/>
  <c r="G23" i="77"/>
  <c r="I11" i="93"/>
  <c r="K11" i="93" s="1"/>
  <c r="I10" i="93"/>
  <c r="K10" i="93" s="1"/>
  <c r="L10" i="93" s="1"/>
  <c r="N40" i="86"/>
  <c r="M25" i="86"/>
  <c r="P25" i="86" s="1"/>
  <c r="O25" i="86"/>
  <c r="Q25" i="86" s="1"/>
  <c r="F63" i="85"/>
  <c r="P41" i="86"/>
  <c r="P42" i="86" s="1"/>
  <c r="M42" i="86"/>
  <c r="C55" i="81"/>
  <c r="M31" i="86"/>
  <c r="O23" i="86"/>
  <c r="R23" i="86" s="1"/>
  <c r="R18" i="86"/>
  <c r="M19" i="86"/>
  <c r="O19" i="86"/>
  <c r="Q19" i="86" s="1"/>
  <c r="R10" i="86"/>
  <c r="Q10" i="86"/>
  <c r="M29" i="86"/>
  <c r="O36" i="86"/>
  <c r="R36" i="86" s="1"/>
  <c r="M36" i="93"/>
  <c r="O36" i="93"/>
  <c r="R36" i="93" s="1"/>
  <c r="N38" i="93"/>
  <c r="P33" i="93"/>
  <c r="M17" i="93"/>
  <c r="M27" i="93"/>
  <c r="P27" i="93" s="1"/>
  <c r="M19" i="93"/>
  <c r="L36" i="93"/>
  <c r="O27" i="93"/>
  <c r="Q27" i="93" s="1"/>
  <c r="M29" i="93"/>
  <c r="O29" i="93"/>
  <c r="L34" i="93"/>
  <c r="K35" i="93"/>
  <c r="J24" i="93"/>
  <c r="L22" i="93"/>
  <c r="L16" i="93"/>
  <c r="L37" i="93"/>
  <c r="Q36" i="86"/>
  <c r="P29" i="86"/>
  <c r="R19" i="86"/>
  <c r="P36" i="93"/>
  <c r="R29" i="93"/>
  <c r="Q29" i="93"/>
  <c r="Q36" i="93"/>
  <c r="Q29" i="86"/>
  <c r="P36" i="86"/>
  <c r="J33" i="77"/>
  <c r="D11" i="97" s="1"/>
  <c r="M11" i="97" s="1"/>
  <c r="E23" i="77"/>
  <c r="J11" i="93"/>
  <c r="L11" i="93"/>
  <c r="I12" i="93"/>
  <c r="K12" i="93" s="1"/>
  <c r="I9" i="93"/>
  <c r="K9" i="93"/>
  <c r="L9" i="93" s="1"/>
  <c r="I13" i="93"/>
  <c r="K13" i="93" s="1"/>
  <c r="C7" i="98"/>
  <c r="C25" i="98" s="1"/>
  <c r="G25" i="98" s="1"/>
  <c r="C50" i="82"/>
  <c r="C53" i="82"/>
  <c r="C55" i="82" s="1"/>
  <c r="C48" i="82"/>
  <c r="C52" i="82"/>
  <c r="M21" i="93" l="1"/>
  <c r="R21" i="93"/>
  <c r="O21" i="93"/>
  <c r="P21" i="93" s="1"/>
  <c r="R31" i="86"/>
  <c r="Q31" i="86"/>
  <c r="E35" i="77"/>
  <c r="G38" i="77"/>
  <c r="E38" i="77" s="1"/>
  <c r="O33" i="86"/>
  <c r="Q33" i="86" s="1"/>
  <c r="M33" i="86"/>
  <c r="P33" i="86" s="1"/>
  <c r="J26" i="93"/>
  <c r="L26" i="93"/>
  <c r="J18" i="93"/>
  <c r="L18" i="93"/>
  <c r="M12" i="93"/>
  <c r="O12" i="93"/>
  <c r="Q12" i="93" s="1"/>
  <c r="M8" i="93"/>
  <c r="O8" i="93"/>
  <c r="Q8" i="93" s="1"/>
  <c r="L13" i="86"/>
  <c r="J13" i="86"/>
  <c r="P23" i="86"/>
  <c r="Q23" i="86"/>
  <c r="L38" i="93"/>
  <c r="Q41" i="86"/>
  <c r="Q42" i="86" s="1"/>
  <c r="O22" i="86"/>
  <c r="M28" i="86"/>
  <c r="P28" i="86" s="1"/>
  <c r="P24" i="86"/>
  <c r="D16" i="86"/>
  <c r="J36" i="77"/>
  <c r="D25" i="97" s="1"/>
  <c r="E25" i="97" s="1"/>
  <c r="F25" i="97" s="1"/>
  <c r="G25" i="97" s="1"/>
  <c r="K28" i="86"/>
  <c r="R34" i="93"/>
  <c r="Q16" i="93"/>
  <c r="O39" i="93"/>
  <c r="K30" i="93"/>
  <c r="E14" i="93"/>
  <c r="E6" i="93" s="1"/>
  <c r="C49" i="82"/>
  <c r="P19" i="93"/>
  <c r="P31" i="86"/>
  <c r="M35" i="86"/>
  <c r="M37" i="86" s="1"/>
  <c r="P18" i="86"/>
  <c r="N40" i="93"/>
  <c r="R13" i="86"/>
  <c r="P13" i="93"/>
  <c r="C51" i="82"/>
  <c r="C54" i="82" s="1"/>
  <c r="K23" i="86"/>
  <c r="L23" i="86" s="1"/>
  <c r="K19" i="86"/>
  <c r="D34" i="86"/>
  <c r="K14" i="86"/>
  <c r="K25" i="93"/>
  <c r="K19" i="93"/>
  <c r="Q17" i="86"/>
  <c r="K42" i="86"/>
  <c r="J42" i="86" s="1"/>
  <c r="L41" i="86"/>
  <c r="L42" i="86" s="1"/>
  <c r="J41" i="86"/>
  <c r="M10" i="93"/>
  <c r="K31" i="93"/>
  <c r="N31" i="93"/>
  <c r="J9" i="93"/>
  <c r="J10" i="93"/>
  <c r="O10" i="93"/>
  <c r="R10" i="93" s="1"/>
  <c r="P35" i="86"/>
  <c r="M32" i="86"/>
  <c r="P32" i="86" s="1"/>
  <c r="Q32" i="86"/>
  <c r="M14" i="86"/>
  <c r="O14" i="86"/>
  <c r="R14" i="86" s="1"/>
  <c r="K30" i="86"/>
  <c r="N30" i="86"/>
  <c r="N12" i="86"/>
  <c r="E16" i="86"/>
  <c r="E8" i="86" s="1"/>
  <c r="R19" i="93"/>
  <c r="Q19" i="93"/>
  <c r="P8" i="93"/>
  <c r="R8" i="93"/>
  <c r="O37" i="93"/>
  <c r="M37" i="93"/>
  <c r="M38" i="93" s="1"/>
  <c r="R33" i="93"/>
  <c r="O35" i="93"/>
  <c r="Q33" i="93"/>
  <c r="Q35" i="93" s="1"/>
  <c r="O17" i="93"/>
  <c r="Q17" i="93" s="1"/>
  <c r="K23" i="93"/>
  <c r="N23" i="93"/>
  <c r="L28" i="86"/>
  <c r="J28" i="86"/>
  <c r="O21" i="86"/>
  <c r="R21" i="86" s="1"/>
  <c r="M21" i="86"/>
  <c r="M40" i="93"/>
  <c r="P39" i="93"/>
  <c r="P40" i="93" s="1"/>
  <c r="M24" i="93"/>
  <c r="O24" i="93"/>
  <c r="Q24" i="93" s="1"/>
  <c r="P12" i="93"/>
  <c r="Q10" i="93"/>
  <c r="R12" i="93"/>
  <c r="P29" i="93"/>
  <c r="N14" i="93"/>
  <c r="Q11" i="86"/>
  <c r="P15" i="86"/>
  <c r="Q15" i="86"/>
  <c r="R15" i="86"/>
  <c r="O38" i="86"/>
  <c r="Q38" i="86" s="1"/>
  <c r="M38" i="86"/>
  <c r="O37" i="86"/>
  <c r="R35" i="86"/>
  <c r="R37" i="86" s="1"/>
  <c r="M26" i="86"/>
  <c r="O26" i="86"/>
  <c r="R26" i="86" s="1"/>
  <c r="Q26" i="86"/>
  <c r="M17" i="86"/>
  <c r="P17" i="86" s="1"/>
  <c r="M9" i="86"/>
  <c r="O9" i="86"/>
  <c r="J23" i="86"/>
  <c r="J33" i="93"/>
  <c r="J35" i="93" s="1"/>
  <c r="L33" i="93"/>
  <c r="L35" i="93" s="1"/>
  <c r="K28" i="93"/>
  <c r="N28" i="93"/>
  <c r="K15" i="93"/>
  <c r="N15" i="93"/>
  <c r="D32" i="93"/>
  <c r="I8" i="93"/>
  <c r="K7" i="93"/>
  <c r="K38" i="93"/>
  <c r="R24" i="93"/>
  <c r="M20" i="86"/>
  <c r="O20" i="86"/>
  <c r="R20" i="86"/>
  <c r="P11" i="86"/>
  <c r="J38" i="86"/>
  <c r="L38" i="86"/>
  <c r="K27" i="86"/>
  <c r="N27" i="86"/>
  <c r="J11" i="86"/>
  <c r="L11" i="86"/>
  <c r="Q13" i="93"/>
  <c r="R13" i="93"/>
  <c r="M30" i="93"/>
  <c r="P30" i="93" s="1"/>
  <c r="R30" i="93"/>
  <c r="M7" i="93"/>
  <c r="O7" i="93"/>
  <c r="K20" i="93"/>
  <c r="N20" i="93"/>
  <c r="P19" i="86"/>
  <c r="R24" i="86"/>
  <c r="Q24" i="86"/>
  <c r="P13" i="86"/>
  <c r="K31" i="86"/>
  <c r="J31" i="86" s="1"/>
  <c r="K25" i="86"/>
  <c r="K22" i="86"/>
  <c r="K20" i="86"/>
  <c r="K18" i="86"/>
  <c r="K15" i="86"/>
  <c r="K10" i="86"/>
  <c r="R35" i="93"/>
  <c r="R22" i="93"/>
  <c r="O22" i="93"/>
  <c r="P22" i="93" s="1"/>
  <c r="O18" i="93"/>
  <c r="P9" i="93"/>
  <c r="D14" i="93"/>
  <c r="D6" i="93" s="1"/>
  <c r="K29" i="93"/>
  <c r="K21" i="93"/>
  <c r="C8" i="99"/>
  <c r="P20" i="98"/>
  <c r="E24" i="98" s="1"/>
  <c r="P37" i="86"/>
  <c r="Q18" i="86"/>
  <c r="R41" i="86"/>
  <c r="R42" i="86" s="1"/>
  <c r="O39" i="86"/>
  <c r="N16" i="86"/>
  <c r="K29" i="86"/>
  <c r="L29" i="86" s="1"/>
  <c r="K21" i="86"/>
  <c r="K17" i="86"/>
  <c r="Q22" i="93"/>
  <c r="O11" i="93"/>
  <c r="R11" i="93" s="1"/>
  <c r="N25" i="93"/>
  <c r="K8" i="93"/>
  <c r="K12" i="86"/>
  <c r="P11" i="93"/>
  <c r="K17" i="93"/>
  <c r="J17" i="93" s="1"/>
  <c r="E20" i="85"/>
  <c r="M40" i="86"/>
  <c r="P39" i="86"/>
  <c r="G37" i="77"/>
  <c r="E34" i="77"/>
  <c r="G33" i="77"/>
  <c r="L32" i="86"/>
  <c r="J32" i="86"/>
  <c r="L24" i="86"/>
  <c r="J24" i="86"/>
  <c r="J19" i="86"/>
  <c r="L19" i="86"/>
  <c r="J14" i="86"/>
  <c r="L14" i="86"/>
  <c r="J12" i="86"/>
  <c r="L12" i="86"/>
  <c r="J9" i="86"/>
  <c r="L9" i="86"/>
  <c r="K16" i="86"/>
  <c r="P18" i="93"/>
  <c r="L25" i="93"/>
  <c r="J25" i="93"/>
  <c r="L17" i="93"/>
  <c r="J13" i="93"/>
  <c r="L13" i="93"/>
  <c r="J39" i="86"/>
  <c r="J40" i="86" s="1"/>
  <c r="L39" i="86"/>
  <c r="L40" i="86" s="1"/>
  <c r="K40" i="86"/>
  <c r="J29" i="86"/>
  <c r="J21" i="86"/>
  <c r="L21" i="86"/>
  <c r="J17" i="86"/>
  <c r="L17" i="86"/>
  <c r="M35" i="93"/>
  <c r="P34" i="93"/>
  <c r="P35" i="93" s="1"/>
  <c r="L39" i="93"/>
  <c r="L40" i="93" s="1"/>
  <c r="J39" i="93"/>
  <c r="K40" i="93"/>
  <c r="J40" i="93" s="1"/>
  <c r="J27" i="93"/>
  <c r="L27" i="93"/>
  <c r="J19" i="93"/>
  <c r="L19" i="93"/>
  <c r="J8" i="93"/>
  <c r="K14" i="93"/>
  <c r="L8" i="93"/>
  <c r="D12" i="97"/>
  <c r="M12" i="97" s="1"/>
  <c r="M36" i="77"/>
  <c r="D26" i="97" s="1"/>
  <c r="E26" i="97" s="1"/>
  <c r="F26" i="97" s="1"/>
  <c r="G26" i="97" s="1"/>
  <c r="G24" i="99"/>
  <c r="G25" i="99" s="1"/>
  <c r="D21" i="97" s="1"/>
  <c r="C25" i="99"/>
  <c r="P22" i="86"/>
  <c r="D61" i="81"/>
  <c r="C61" i="81"/>
  <c r="E61" i="81"/>
  <c r="F61" i="81"/>
  <c r="J36" i="86"/>
  <c r="J37" i="86" s="1"/>
  <c r="L36" i="86"/>
  <c r="L37" i="86" s="1"/>
  <c r="K37" i="86"/>
  <c r="L31" i="86"/>
  <c r="J25" i="86"/>
  <c r="L25" i="86"/>
  <c r="L22" i="86"/>
  <c r="J22" i="86"/>
  <c r="L20" i="86"/>
  <c r="J20" i="86"/>
  <c r="L18" i="86"/>
  <c r="L15" i="86"/>
  <c r="J15" i="86"/>
  <c r="L10" i="86"/>
  <c r="J10" i="86"/>
  <c r="L29" i="93"/>
  <c r="J29" i="93"/>
  <c r="L21" i="93"/>
  <c r="J21" i="93"/>
  <c r="L12" i="93"/>
  <c r="J12" i="93"/>
  <c r="C60" i="82"/>
  <c r="C61" i="82"/>
  <c r="E46" i="81"/>
  <c r="E47" i="81" s="1"/>
  <c r="D56" i="81" s="1"/>
  <c r="C56" i="81"/>
  <c r="J33" i="86"/>
  <c r="L33" i="86"/>
  <c r="R37" i="93"/>
  <c r="R38" i="93" s="1"/>
  <c r="O38" i="93"/>
  <c r="Q37" i="93"/>
  <c r="Q38" i="93" s="1"/>
  <c r="P37" i="93"/>
  <c r="P38" i="93" s="1"/>
  <c r="P7" i="93"/>
  <c r="M14" i="93"/>
  <c r="J31" i="93"/>
  <c r="L31" i="93"/>
  <c r="J23" i="93"/>
  <c r="L23" i="93"/>
  <c r="L15" i="93"/>
  <c r="K32" i="93"/>
  <c r="J15" i="93"/>
  <c r="C57" i="81"/>
  <c r="C24" i="98"/>
  <c r="O40" i="86"/>
  <c r="K10" i="23"/>
  <c r="K12" i="23"/>
  <c r="F60" i="81"/>
  <c r="R25" i="86"/>
  <c r="R33" i="86"/>
  <c r="G20" i="85"/>
  <c r="E60" i="81"/>
  <c r="R27" i="93"/>
  <c r="R17" i="86"/>
  <c r="G8" i="23"/>
  <c r="M10" i="86"/>
  <c r="Q39" i="93"/>
  <c r="Q40" i="93" s="1"/>
  <c r="N35" i="93"/>
  <c r="I9" i="23"/>
  <c r="I8" i="23" s="1"/>
  <c r="K11" i="23"/>
  <c r="K13" i="23"/>
  <c r="D60" i="81"/>
  <c r="C60" i="81"/>
  <c r="C45" i="85"/>
  <c r="E45" i="85" s="1"/>
  <c r="E11" i="97"/>
  <c r="E12" i="97"/>
  <c r="K34" i="86" l="1"/>
  <c r="P26" i="86"/>
  <c r="R17" i="93"/>
  <c r="J30" i="93"/>
  <c r="L30" i="93"/>
  <c r="P17" i="93"/>
  <c r="O40" i="93"/>
  <c r="R39" i="93"/>
  <c r="R40" i="93" s="1"/>
  <c r="R22" i="86"/>
  <c r="Q22" i="86"/>
  <c r="Q21" i="93"/>
  <c r="D8" i="86"/>
  <c r="O14" i="93"/>
  <c r="R7" i="93"/>
  <c r="Q27" i="86"/>
  <c r="M27" i="86"/>
  <c r="P27" i="86" s="1"/>
  <c r="O27" i="86"/>
  <c r="J7" i="93"/>
  <c r="J14" i="93" s="1"/>
  <c r="L7" i="93"/>
  <c r="J30" i="86"/>
  <c r="L30" i="86"/>
  <c r="Q11" i="93"/>
  <c r="M20" i="93"/>
  <c r="O20" i="93"/>
  <c r="Q20" i="93" s="1"/>
  <c r="L27" i="86"/>
  <c r="L34" i="86" s="1"/>
  <c r="J27" i="86"/>
  <c r="Q21" i="86"/>
  <c r="M28" i="93"/>
  <c r="O28" i="93"/>
  <c r="P9" i="86"/>
  <c r="J18" i="86"/>
  <c r="Q39" i="86"/>
  <c r="Q40" i="86" s="1"/>
  <c r="R39" i="86"/>
  <c r="R18" i="93"/>
  <c r="Q18" i="93"/>
  <c r="L20" i="93"/>
  <c r="L32" i="93" s="1"/>
  <c r="J20" i="93"/>
  <c r="Q20" i="86"/>
  <c r="L28" i="93"/>
  <c r="J28" i="93"/>
  <c r="R9" i="86"/>
  <c r="N34" i="86"/>
  <c r="N8" i="86" s="1"/>
  <c r="R38" i="86"/>
  <c r="R40" i="86" s="1"/>
  <c r="M12" i="86"/>
  <c r="P12" i="86" s="1"/>
  <c r="O12" i="86"/>
  <c r="R12" i="86" s="1"/>
  <c r="R16" i="86" s="1"/>
  <c r="Q14" i="86"/>
  <c r="P10" i="93"/>
  <c r="P14" i="93" s="1"/>
  <c r="K8" i="23"/>
  <c r="O25" i="93"/>
  <c r="R25" i="93" s="1"/>
  <c r="Q25" i="93"/>
  <c r="M25" i="93"/>
  <c r="Q7" i="93"/>
  <c r="Q14" i="93" s="1"/>
  <c r="P20" i="86"/>
  <c r="O15" i="93"/>
  <c r="N32" i="93"/>
  <c r="N6" i="93" s="1"/>
  <c r="M15" i="93"/>
  <c r="Q9" i="86"/>
  <c r="P38" i="86"/>
  <c r="P40" i="86" s="1"/>
  <c r="R14" i="93"/>
  <c r="P24" i="93"/>
  <c r="P21" i="86"/>
  <c r="Q23" i="93"/>
  <c r="M23" i="93"/>
  <c r="P23" i="93" s="1"/>
  <c r="O23" i="93"/>
  <c r="R23" i="93" s="1"/>
  <c r="M30" i="86"/>
  <c r="O30" i="86"/>
  <c r="R30" i="86" s="1"/>
  <c r="P14" i="86"/>
  <c r="O31" i="93"/>
  <c r="R31" i="93" s="1"/>
  <c r="M31" i="93"/>
  <c r="Q31" i="93"/>
  <c r="C62" i="82"/>
  <c r="C68" i="82" s="1"/>
  <c r="C67" i="82"/>
  <c r="E21" i="97"/>
  <c r="D7" i="97"/>
  <c r="D10" i="97"/>
  <c r="E33" i="77"/>
  <c r="K6" i="93"/>
  <c r="F6" i="87" s="1"/>
  <c r="L16" i="86"/>
  <c r="C63" i="81"/>
  <c r="D63" i="81"/>
  <c r="D65" i="81" s="1"/>
  <c r="E63" i="81"/>
  <c r="E65" i="81" s="1"/>
  <c r="F63" i="81"/>
  <c r="F65" i="81" s="1"/>
  <c r="D57" i="81"/>
  <c r="L14" i="93"/>
  <c r="K8" i="86"/>
  <c r="P10" i="86"/>
  <c r="P16" i="86" s="1"/>
  <c r="M16" i="86"/>
  <c r="C26" i="98"/>
  <c r="G24" i="98"/>
  <c r="G26" i="98" s="1"/>
  <c r="D22" i="97" s="1"/>
  <c r="E62" i="81"/>
  <c r="E64" i="81" s="1"/>
  <c r="F62" i="81"/>
  <c r="C62" i="81"/>
  <c r="C64" i="81" s="1"/>
  <c r="D62" i="81"/>
  <c r="D64" i="81" s="1"/>
  <c r="E37" i="77"/>
  <c r="G36" i="77"/>
  <c r="F64" i="81"/>
  <c r="C65" i="81"/>
  <c r="J34" i="86"/>
  <c r="J16" i="86"/>
  <c r="F11" i="97"/>
  <c r="N11" i="97"/>
  <c r="F12" i="97"/>
  <c r="N12" i="97"/>
  <c r="C52" i="85"/>
  <c r="D61" i="85" s="1"/>
  <c r="J32" i="93" l="1"/>
  <c r="J6" i="93" s="1"/>
  <c r="D6" i="87" s="1"/>
  <c r="O16" i="86"/>
  <c r="O32" i="93"/>
  <c r="O6" i="93" s="1"/>
  <c r="P31" i="93"/>
  <c r="Q12" i="86"/>
  <c r="Q16" i="86" s="1"/>
  <c r="P20" i="93"/>
  <c r="O34" i="86"/>
  <c r="O8" i="86" s="1"/>
  <c r="R28" i="93"/>
  <c r="Q28" i="93"/>
  <c r="L6" i="93"/>
  <c r="H6" i="87" s="1"/>
  <c r="Q30" i="86"/>
  <c r="Q34" i="86" s="1"/>
  <c r="Q15" i="93"/>
  <c r="P28" i="93"/>
  <c r="R20" i="93"/>
  <c r="R27" i="86"/>
  <c r="R34" i="86" s="1"/>
  <c r="R8" i="86" s="1"/>
  <c r="L8" i="86"/>
  <c r="P30" i="86"/>
  <c r="P34" i="86" s="1"/>
  <c r="P8" i="86" s="1"/>
  <c r="M34" i="86"/>
  <c r="M8" i="86" s="1"/>
  <c r="P15" i="93"/>
  <c r="M32" i="93"/>
  <c r="M6" i="93" s="1"/>
  <c r="R15" i="93"/>
  <c r="R32" i="93" s="1"/>
  <c r="R6" i="93" s="1"/>
  <c r="P25" i="93"/>
  <c r="E36" i="77"/>
  <c r="D24" i="97"/>
  <c r="E7" i="97"/>
  <c r="F21" i="97"/>
  <c r="M7" i="97"/>
  <c r="D68" i="82"/>
  <c r="D28" i="97"/>
  <c r="D27" i="97" s="1"/>
  <c r="E22" i="97"/>
  <c r="E20" i="97" s="1"/>
  <c r="D8" i="97"/>
  <c r="M8" i="97" s="1"/>
  <c r="M10" i="97"/>
  <c r="M9" i="97" s="1"/>
  <c r="E10" i="97"/>
  <c r="D9" i="97"/>
  <c r="D14" i="97"/>
  <c r="D67" i="82"/>
  <c r="E52" i="85"/>
  <c r="F61" i="85" s="1"/>
  <c r="F64" i="85" s="1"/>
  <c r="H69" i="85" s="1"/>
  <c r="J8" i="86"/>
  <c r="D20" i="97"/>
  <c r="G11" i="97"/>
  <c r="P11" i="97" s="1"/>
  <c r="O11" i="97"/>
  <c r="D65" i="85"/>
  <c r="F70" i="85" s="1"/>
  <c r="D64" i="85"/>
  <c r="F69" i="85" s="1"/>
  <c r="O12" i="97"/>
  <c r="G12" i="97"/>
  <c r="P12" i="97" s="1"/>
  <c r="F65" i="85" l="1"/>
  <c r="H70" i="85" s="1"/>
  <c r="Q32" i="93"/>
  <c r="Q6" i="93" s="1"/>
  <c r="Q8" i="86"/>
  <c r="D69" i="85"/>
  <c r="P32" i="93"/>
  <c r="P6" i="93" s="1"/>
  <c r="F10" i="97"/>
  <c r="E9" i="97"/>
  <c r="N10" i="97"/>
  <c r="N9" i="97" s="1"/>
  <c r="F22" i="97"/>
  <c r="E8" i="97"/>
  <c r="N8" i="97" s="1"/>
  <c r="D23" i="97"/>
  <c r="D19" i="97" s="1"/>
  <c r="E24" i="97"/>
  <c r="D6" i="97"/>
  <c r="D5" i="97" s="1"/>
  <c r="D13" i="97"/>
  <c r="M14" i="97"/>
  <c r="M13" i="97" s="1"/>
  <c r="N7" i="97"/>
  <c r="E6" i="97"/>
  <c r="M6" i="97"/>
  <c r="M5" i="97" s="1"/>
  <c r="E67" i="82"/>
  <c r="E14" i="97"/>
  <c r="E28" i="97"/>
  <c r="E27" i="97" s="1"/>
  <c r="E68" i="82"/>
  <c r="F7" i="97"/>
  <c r="G21" i="97"/>
  <c r="D70" i="85"/>
  <c r="N6" i="97" l="1"/>
  <c r="F8" i="97"/>
  <c r="O8" i="97" s="1"/>
  <c r="G22" i="97"/>
  <c r="G8" i="97" s="1"/>
  <c r="P8" i="97" s="1"/>
  <c r="O10" i="97"/>
  <c r="O9" i="97" s="1"/>
  <c r="G10" i="97"/>
  <c r="F9" i="97"/>
  <c r="F67" i="82"/>
  <c r="G14" i="97" s="1"/>
  <c r="F14" i="97"/>
  <c r="G7" i="97"/>
  <c r="N14" i="97"/>
  <c r="N13" i="97" s="1"/>
  <c r="N5" i="97" s="1"/>
  <c r="E13" i="97"/>
  <c r="E5" i="97" s="1"/>
  <c r="F20" i="97"/>
  <c r="O7" i="97"/>
  <c r="F28" i="97"/>
  <c r="F27" i="97" s="1"/>
  <c r="F68" i="82"/>
  <c r="G28" i="97" s="1"/>
  <c r="G27" i="97" s="1"/>
  <c r="F24" i="97"/>
  <c r="E23" i="97"/>
  <c r="E19" i="97" s="1"/>
  <c r="G20" i="97" l="1"/>
  <c r="O6" i="97"/>
  <c r="O5" i="97" s="1"/>
  <c r="F6" i="97"/>
  <c r="P10" i="97"/>
  <c r="P9" i="97" s="1"/>
  <c r="G9" i="97"/>
  <c r="G24" i="97"/>
  <c r="G23" i="97" s="1"/>
  <c r="F23" i="97"/>
  <c r="F19" i="97" s="1"/>
  <c r="G6" i="97"/>
  <c r="P7" i="97"/>
  <c r="P6" i="97" s="1"/>
  <c r="G19" i="97"/>
  <c r="P14" i="97"/>
  <c r="P13" i="97" s="1"/>
  <c r="G13" i="97"/>
  <c r="O14" i="97"/>
  <c r="O13" i="97" s="1"/>
  <c r="F13" i="97"/>
  <c r="F5" i="97" l="1"/>
  <c r="G5" i="97"/>
  <c r="P5" i="97"/>
</calcChain>
</file>

<file path=xl/sharedStrings.xml><?xml version="1.0" encoding="utf-8"?>
<sst xmlns="http://schemas.openxmlformats.org/spreadsheetml/2006/main" count="1481" uniqueCount="504">
  <si>
    <t xml:space="preserve">  - 홍성읍에는 청운대학교, 혜전대학교, 한국폴리텍Ⅳ홍성대학 3개의 대학교가 설립되어 있으며,</t>
    <phoneticPr fontId="2" type="noConversion"/>
  </si>
  <si>
    <t>한국폴리텍Ⅳ홍성대학</t>
    <phoneticPr fontId="2" type="noConversion"/>
  </si>
  <si>
    <t>청운대학교</t>
    <phoneticPr fontId="2" type="noConversion"/>
  </si>
  <si>
    <t>혜전대학교</t>
    <phoneticPr fontId="2" type="noConversion"/>
  </si>
  <si>
    <t>계</t>
    <phoneticPr fontId="2" type="noConversion"/>
  </si>
  <si>
    <t>학생수</t>
    <phoneticPr fontId="2" type="noConversion"/>
  </si>
  <si>
    <t>기숙사인원</t>
    <phoneticPr fontId="2" type="noConversion"/>
  </si>
  <si>
    <t>오수발생량
원단위
(ℓ/pcd)</t>
    <phoneticPr fontId="2" type="noConversion"/>
  </si>
  <si>
    <t>학생, 교원, 직원</t>
    <phoneticPr fontId="2" type="noConversion"/>
  </si>
  <si>
    <t>학교인구
(인)</t>
    <phoneticPr fontId="2" type="noConversion"/>
  </si>
  <si>
    <t>유효수율(%)</t>
    <phoneticPr fontId="2" type="noConversion"/>
  </si>
  <si>
    <t>오수전환율(%)</t>
    <phoneticPr fontId="2" type="noConversion"/>
  </si>
  <si>
    <t>대학용수
원단위
(ℓ/pcd)</t>
    <phoneticPr fontId="2" type="noConversion"/>
  </si>
  <si>
    <t>대학용수량
(㎥/일, 일평균)</t>
    <phoneticPr fontId="2" type="noConversion"/>
  </si>
  <si>
    <t>대학용수량
(㎥/일, 일최대)</t>
    <phoneticPr fontId="2" type="noConversion"/>
  </si>
  <si>
    <t>계</t>
    <phoneticPr fontId="2" type="noConversion"/>
  </si>
  <si>
    <t>기숙사</t>
    <phoneticPr fontId="2" type="noConversion"/>
  </si>
  <si>
    <t>계</t>
    <phoneticPr fontId="2" type="noConversion"/>
  </si>
  <si>
    <t>주)</t>
    <phoneticPr fontId="2" type="noConversion"/>
  </si>
  <si>
    <t>1. 학생수는 기숙사 인원 제외</t>
    <phoneticPr fontId="2" type="noConversion"/>
  </si>
  <si>
    <t>2. 오수원단위 산정근거 : 환경부 고시 제 2007-178호 건축물의 용도별 오수발생량 및 정화조 처리대상인원 산정방법</t>
    <phoneticPr fontId="2" type="noConversion"/>
  </si>
  <si>
    <t>교직원수</t>
    <phoneticPr fontId="2" type="noConversion"/>
  </si>
  <si>
    <t>일평균</t>
    <phoneticPr fontId="2" type="noConversion"/>
  </si>
  <si>
    <t>일최대</t>
    <phoneticPr fontId="2" type="noConversion"/>
  </si>
  <si>
    <t>3. 홍성군의 3개 대학교 용수공급은 2015년까지 공급하는 것으로 계획</t>
    <phoneticPr fontId="2" type="noConversion"/>
  </si>
  <si>
    <t>구  분</t>
    <phoneticPr fontId="2" type="noConversion"/>
  </si>
  <si>
    <t>비  고</t>
    <phoneticPr fontId="2" type="noConversion"/>
  </si>
  <si>
    <t>구분</t>
    <phoneticPr fontId="2" type="noConversion"/>
  </si>
  <si>
    <t>비고</t>
    <phoneticPr fontId="2" type="noConversion"/>
  </si>
  <si>
    <r>
      <t xml:space="preserve"> </t>
    </r>
    <r>
      <rPr>
        <sz val="11"/>
        <rFont val="돋움"/>
        <family val="3"/>
        <charset val="129"/>
      </rPr>
      <t xml:space="preserve">    </t>
    </r>
    <r>
      <rPr>
        <sz val="11"/>
        <rFont val="돋움"/>
        <family val="3"/>
        <charset val="129"/>
      </rPr>
      <t/>
    </r>
    <phoneticPr fontId="2" type="noConversion"/>
  </si>
  <si>
    <r>
      <t xml:space="preserve">     군부대는</t>
    </r>
    <r>
      <rPr>
        <sz val="11"/>
        <rFont val="돋움"/>
        <family val="3"/>
        <charset val="129"/>
      </rPr>
      <t xml:space="preserve"> 2006년 5월부터 상수를 공급받고 있으며, 1789부대 및 헬기장의 상수사용실적은 다음과 같다.</t>
    </r>
    <phoneticPr fontId="2" type="noConversion"/>
  </si>
  <si>
    <t xml:space="preserve">     군부대의 상수사용량 실적에서 일최대 사용실적과 첨두부하율 적용된 사용량을 비교검토 하였으며,</t>
    <phoneticPr fontId="2" type="noConversion"/>
  </si>
  <si>
    <t xml:space="preserve">     불투명하여 본 계획에서는 2025년까지 상수도를 공급하는 것으로 계획하였다.</t>
    <phoneticPr fontId="2" type="noConversion"/>
  </si>
  <si>
    <t>군부대 용수수요량 총괄</t>
    <phoneticPr fontId="2" type="noConversion"/>
  </si>
  <si>
    <t xml:space="preserve">          □ 계획현황</t>
    <phoneticPr fontId="2" type="noConversion"/>
  </si>
  <si>
    <t>- 위치 : 충남 홍성군 서부면 남당리 일원</t>
    <phoneticPr fontId="2" type="noConversion"/>
  </si>
  <si>
    <t>- 면적 : 166,200㎡</t>
    <phoneticPr fontId="2" type="noConversion"/>
  </si>
  <si>
    <t>- 계획목표년도 : 2013년</t>
    <phoneticPr fontId="2" type="noConversion"/>
  </si>
  <si>
    <t xml:space="preserve">          □ 관광지 계획급수량 산정</t>
    <phoneticPr fontId="2" type="noConversion"/>
  </si>
  <si>
    <t>숙박시설</t>
  </si>
  <si>
    <t>상가시설</t>
  </si>
  <si>
    <t>휴양문화시설</t>
    <phoneticPr fontId="2" type="noConversion"/>
  </si>
  <si>
    <t>공공편익시설</t>
    <phoneticPr fontId="2" type="noConversion"/>
  </si>
  <si>
    <t>기타시설</t>
  </si>
  <si>
    <t>합계</t>
  </si>
  <si>
    <t>연면적
(㎡)</t>
    <phoneticPr fontId="2" type="noConversion"/>
  </si>
  <si>
    <t>용수원단위
(ℓ/일)</t>
    <phoneticPr fontId="2" type="noConversion"/>
  </si>
  <si>
    <t>일평균급수량
(㎥/일)</t>
    <phoneticPr fontId="2" type="noConversion"/>
  </si>
  <si>
    <t>일최대급수량
(㎥/일)</t>
    <phoneticPr fontId="2" type="noConversion"/>
  </si>
  <si>
    <t>시간최대급수량
(㎥/일)</t>
    <phoneticPr fontId="2" type="noConversion"/>
  </si>
  <si>
    <t>자료) 홍성남당지구 관광지 조성계획(2007, 홍성군)</t>
    <phoneticPr fontId="2" type="noConversion"/>
  </si>
  <si>
    <t>주) 1. 숙박시설의 용수량산정은 제2종지구단위계획 수립지침을 근거로 산출[1실(4인기준)에 1,200ℓ]</t>
    <phoneticPr fontId="2" type="noConversion"/>
  </si>
  <si>
    <t xml:space="preserve">     2. 객실수 산정은 숙박시설의 가용면적율 60%, 객실 50㎡/1실을 기준으로 산정</t>
    <phoneticPr fontId="2" type="noConversion"/>
  </si>
  <si>
    <t xml:space="preserve">        총 객실수 = 18,675 × 0.6 ÷ 50 ≒ 224실</t>
    <phoneticPr fontId="2" type="noConversion"/>
  </si>
  <si>
    <t xml:space="preserve">     3. 숙박시설 이외의 시설은 환경부고시 제2006-96호의 건축물의 용도별 오수발생량을 기준으로 발생오수량의</t>
    <phoneticPr fontId="2" type="noConversion"/>
  </si>
  <si>
    <t xml:space="preserve">         120%를 적용하고, 시설별로 원단위를 추정하여 용수량을 산정</t>
    <phoneticPr fontId="2" type="noConversion"/>
  </si>
  <si>
    <t xml:space="preserve">     4. 일평균 : 일최대 : 시간최대 = 1.0  : 1.2 : 1.6</t>
    <phoneticPr fontId="2" type="noConversion"/>
  </si>
  <si>
    <t>2005년</t>
    <phoneticPr fontId="2" type="noConversion"/>
  </si>
  <si>
    <t>자료 ) 한국문화관광연구원</t>
    <phoneticPr fontId="2" type="noConversion"/>
  </si>
  <si>
    <r>
      <t xml:space="preserve">  - 홍성읍에는 옥암리 일원에1789부대가 위치하고 있고,  남장리 일원에 1789부대 헬기장이 위치하고 있다</t>
    </r>
    <r>
      <rPr>
        <sz val="11"/>
        <rFont val="돋움"/>
        <family val="3"/>
        <charset val="129"/>
      </rPr>
      <t>.</t>
    </r>
    <phoneticPr fontId="2" type="noConversion"/>
  </si>
  <si>
    <t>군부대 상수 사용량</t>
    <phoneticPr fontId="2" type="noConversion"/>
  </si>
  <si>
    <r>
      <t xml:space="preserve">  - 군부대의</t>
    </r>
    <r>
      <rPr>
        <sz val="11"/>
        <rFont val="돋움"/>
        <family val="3"/>
        <charset val="129"/>
      </rPr>
      <t xml:space="preserve"> 상수 사용량 추이는 거의 일정하며, 최근 1년간의 지하수 사용량 평균은 다음과 같다.</t>
    </r>
    <phoneticPr fontId="2" type="noConversion"/>
  </si>
  <si>
    <t>군부대 상수 평균 사용량</t>
    <phoneticPr fontId="2" type="noConversion"/>
  </si>
  <si>
    <t xml:space="preserve">포함되어있는점 등을 고려하여 관광객에 의한 용수수요량 산정은 제외하였으나, </t>
    <phoneticPr fontId="2" type="noConversion"/>
  </si>
  <si>
    <t xml:space="preserve">기존  남당항의 경우 현재 추진중인 남당지구 관광지 조성계획과 비교검토하여 관광용수 </t>
    <phoneticPr fontId="2" type="noConversion"/>
  </si>
  <si>
    <t>수요량을 산정하였다.</t>
    <phoneticPr fontId="2" type="noConversion"/>
  </si>
  <si>
    <t>1) 홍성군 관광인구 현황</t>
    <phoneticPr fontId="2" type="noConversion"/>
  </si>
  <si>
    <t>2) 남당항 관광용수 수요량 산정</t>
    <phoneticPr fontId="2" type="noConversion"/>
  </si>
  <si>
    <t xml:space="preserve">   - 관광인구 산정</t>
    <phoneticPr fontId="2" type="noConversion"/>
  </si>
  <si>
    <t xml:space="preserve">남당항의 관광인구를 산정하기 위하여 최근 3년간의 관광인구 자료로 평균일 </t>
    <phoneticPr fontId="2" type="noConversion"/>
  </si>
  <si>
    <t>관광객수, 최대일률을 반영한 최대일 관광객수를 검토하였다</t>
    <phoneticPr fontId="2" type="noConversion"/>
  </si>
  <si>
    <t xml:space="preserve">   - 평균일 관광객수</t>
    <phoneticPr fontId="2" type="noConversion"/>
  </si>
  <si>
    <t>구  분</t>
    <phoneticPr fontId="2" type="noConversion"/>
  </si>
  <si>
    <t>남당항</t>
    <phoneticPr fontId="2" type="noConversion"/>
  </si>
  <si>
    <t>년평균 관광객수</t>
    <phoneticPr fontId="2" type="noConversion"/>
  </si>
  <si>
    <t>평균일 관광객수</t>
    <phoneticPr fontId="2" type="noConversion"/>
  </si>
  <si>
    <t>비  고</t>
    <phoneticPr fontId="2" type="noConversion"/>
  </si>
  <si>
    <t>(단위 : 인)</t>
    <phoneticPr fontId="2" type="noConversion"/>
  </si>
  <si>
    <t xml:space="preserve">   - 최대일 관광객수</t>
    <phoneticPr fontId="2" type="noConversion"/>
  </si>
  <si>
    <t>최대일 관광객수 = 연간 총 관광객수 × 최대일률</t>
    <phoneticPr fontId="2" type="noConversion"/>
  </si>
  <si>
    <t>최대일률 : 연간 관광객수에 대한 최대일 관광객수의 비</t>
    <phoneticPr fontId="2" type="noConversion"/>
  </si>
  <si>
    <t>구분</t>
    <phoneticPr fontId="2" type="noConversion"/>
  </si>
  <si>
    <t>전국</t>
    <phoneticPr fontId="2" type="noConversion"/>
  </si>
  <si>
    <t>일본</t>
    <phoneticPr fontId="2" type="noConversion"/>
  </si>
  <si>
    <t>1계절형</t>
    <phoneticPr fontId="2" type="noConversion"/>
  </si>
  <si>
    <t>2계절형</t>
  </si>
  <si>
    <t>3계절형</t>
  </si>
  <si>
    <t>4계절형</t>
  </si>
  <si>
    <t>1/100</t>
    <phoneticPr fontId="2" type="noConversion"/>
  </si>
  <si>
    <t>자료)</t>
    <phoneticPr fontId="2" type="noConversion"/>
  </si>
  <si>
    <t>문화관광부, 1997, 관광진흥 10개년 계획에서 재구성</t>
    <phoneticPr fontId="2" type="noConversion"/>
  </si>
  <si>
    <t>주)</t>
    <phoneticPr fontId="2" type="noConversion"/>
  </si>
  <si>
    <t xml:space="preserve">서울, 부산은 도시특징을 지니면서 외래관광객이 많이 방문하는 도시(3계절형)이며, </t>
    <phoneticPr fontId="2" type="noConversion"/>
  </si>
  <si>
    <t>기타지역은 2계절형임</t>
    <phoneticPr fontId="2" type="noConversion"/>
  </si>
  <si>
    <t>최대일 관광객수</t>
    <phoneticPr fontId="2" type="noConversion"/>
  </si>
  <si>
    <t xml:space="preserve">   - 숙박객 / 일이용객 산정</t>
    <phoneticPr fontId="2" type="noConversion"/>
  </si>
  <si>
    <t xml:space="preserve">남당항의 경우 숙박시설이 발달되어 있지 않고, 관광객들이 주로 당일 이용을 하는 </t>
    <phoneticPr fontId="2" type="noConversion"/>
  </si>
  <si>
    <t>숙박객</t>
    <phoneticPr fontId="2" type="noConversion"/>
  </si>
  <si>
    <t>일이용객</t>
    <phoneticPr fontId="2" type="noConversion"/>
  </si>
  <si>
    <t>것으로 추정되는바, 관광객중 5%만이 숙박하는 것으로 산정</t>
    <phoneticPr fontId="2" type="noConversion"/>
  </si>
  <si>
    <t xml:space="preserve">   - 관광용수량 산정</t>
    <phoneticPr fontId="2" type="noConversion"/>
  </si>
  <si>
    <t>관광객의 급수량원단위는 '하수도시설계획설계지침과 해설(1994, 일본하수도협회)</t>
    <phoneticPr fontId="2" type="noConversion"/>
  </si>
  <si>
    <t xml:space="preserve">에서 제안하는 해당지역의 생활용수 가정용 급수량 원단위를 기준으로 </t>
    <phoneticPr fontId="2" type="noConversion"/>
  </si>
  <si>
    <t>숙박객은 50%, 일이용객은 15%로 적용하였다.</t>
    <phoneticPr fontId="2" type="noConversion"/>
  </si>
  <si>
    <t>급수량 원단위
(ℓpcd)</t>
    <phoneticPr fontId="2" type="noConversion"/>
  </si>
  <si>
    <t>일평균</t>
    <phoneticPr fontId="2" type="noConversion"/>
  </si>
  <si>
    <t>일최대</t>
    <phoneticPr fontId="2" type="noConversion"/>
  </si>
  <si>
    <t>서부면 가정용
(2006년 말 기준)</t>
    <phoneticPr fontId="2" type="noConversion"/>
  </si>
  <si>
    <t>관광인구(인)</t>
    <phoneticPr fontId="2" type="noConversion"/>
  </si>
  <si>
    <t>관광급수량
원단위(ℓpcd)</t>
    <phoneticPr fontId="2" type="noConversion"/>
  </si>
  <si>
    <t>관광용수량
(㎥/일)</t>
    <phoneticPr fontId="2" type="noConversion"/>
  </si>
  <si>
    <t>3) 남당항 관광용수 수요량 총괄</t>
    <phoneticPr fontId="2" type="noConversion"/>
  </si>
  <si>
    <t>계</t>
    <phoneticPr fontId="2" type="noConversion"/>
  </si>
  <si>
    <t>1. 남당항 관광인구 통계로 산정</t>
    <phoneticPr fontId="2" type="noConversion"/>
  </si>
  <si>
    <t>합  계</t>
    <phoneticPr fontId="2" type="noConversion"/>
  </si>
  <si>
    <t>소계</t>
    <phoneticPr fontId="2" type="noConversion"/>
  </si>
  <si>
    <r>
      <t>2</t>
    </r>
    <r>
      <rPr>
        <sz val="11"/>
        <rFont val="돋움"/>
        <family val="3"/>
        <charset val="129"/>
      </rPr>
      <t>. 홍성남당지구 관광지 조성계획</t>
    </r>
    <phoneticPr fontId="2" type="noConversion"/>
  </si>
  <si>
    <t>호텔·여관3-2</t>
  </si>
  <si>
    <t>상가시설1-2</t>
  </si>
  <si>
    <t>상가시설2-2</t>
  </si>
  <si>
    <t>상가시설3-2</t>
  </si>
  <si>
    <t>상가시설4-2</t>
  </si>
  <si>
    <t>상가시설5-2</t>
  </si>
  <si>
    <t>상가시설5-3</t>
  </si>
  <si>
    <t>상가시설6-2</t>
  </si>
  <si>
    <t>상가시설6-3</t>
  </si>
  <si>
    <t>상가시설7-2</t>
  </si>
  <si>
    <t>상가시설8</t>
  </si>
  <si>
    <t>인구</t>
    <phoneticPr fontId="2" type="noConversion"/>
  </si>
  <si>
    <t>급수원단위</t>
    <phoneticPr fontId="2" type="noConversion"/>
  </si>
  <si>
    <t>시간최대</t>
    <phoneticPr fontId="2" type="noConversion"/>
  </si>
  <si>
    <t>유수율</t>
    <phoneticPr fontId="2" type="noConversion"/>
  </si>
  <si>
    <t>오  수</t>
    <phoneticPr fontId="2" type="noConversion"/>
  </si>
  <si>
    <t>오수원단위</t>
    <phoneticPr fontId="2" type="noConversion"/>
  </si>
  <si>
    <t>지하수</t>
    <phoneticPr fontId="2" type="noConversion"/>
  </si>
  <si>
    <t>계획일평균</t>
    <phoneticPr fontId="2" type="noConversion"/>
  </si>
  <si>
    <t>계획일최대</t>
    <phoneticPr fontId="2" type="noConversion"/>
  </si>
  <si>
    <t>계획시간최대</t>
    <phoneticPr fontId="2" type="noConversion"/>
  </si>
  <si>
    <t>ℓ/인·일</t>
    <phoneticPr fontId="2" type="noConversion"/>
  </si>
  <si>
    <t>급수량</t>
    <phoneticPr fontId="2" type="noConversion"/>
  </si>
  <si>
    <t>급 수 량</t>
    <phoneticPr fontId="2" type="noConversion"/>
  </si>
  <si>
    <t>전환율</t>
    <phoneticPr fontId="2" type="noConversion"/>
  </si>
  <si>
    <t>오수량</t>
    <phoneticPr fontId="2" type="noConversion"/>
  </si>
  <si>
    <t>유입량</t>
    <phoneticPr fontId="2" type="noConversion"/>
  </si>
  <si>
    <t>㎡</t>
    <phoneticPr fontId="2" type="noConversion"/>
  </si>
  <si>
    <t>ℓ/㎡·일</t>
    <phoneticPr fontId="2" type="noConversion"/>
  </si>
  <si>
    <t>㎥/일</t>
    <phoneticPr fontId="2" type="noConversion"/>
  </si>
  <si>
    <t>%</t>
    <phoneticPr fontId="2" type="noConversion"/>
  </si>
  <si>
    <t>총계</t>
    <phoneticPr fontId="2" type="noConversion"/>
  </si>
  <si>
    <t>숙박시설</t>
    <phoneticPr fontId="2" type="noConversion"/>
  </si>
  <si>
    <t>호텔·여관1-1</t>
    <phoneticPr fontId="2" type="noConversion"/>
  </si>
  <si>
    <t>9.숙박시설(호텔,여관)</t>
    <phoneticPr fontId="2" type="noConversion"/>
  </si>
  <si>
    <t>호텔·여관1-2</t>
    <phoneticPr fontId="2" type="noConversion"/>
  </si>
  <si>
    <t>호텔·여관2-1</t>
    <phoneticPr fontId="2" type="noConversion"/>
  </si>
  <si>
    <t>호텔·여관2-2</t>
    <phoneticPr fontId="2" type="noConversion"/>
  </si>
  <si>
    <t>호텔·여관3-1</t>
    <phoneticPr fontId="2" type="noConversion"/>
  </si>
  <si>
    <t>가족호텔</t>
    <phoneticPr fontId="2" type="noConversion"/>
  </si>
  <si>
    <t>9.숙박시설(가족호텔)</t>
    <phoneticPr fontId="2" type="noConversion"/>
  </si>
  <si>
    <t>상가시설</t>
    <phoneticPr fontId="2" type="noConversion"/>
  </si>
  <si>
    <t>상가시설1-1</t>
    <phoneticPr fontId="2" type="noConversion"/>
  </si>
  <si>
    <t>4.판매및영업시설</t>
    <phoneticPr fontId="2" type="noConversion"/>
  </si>
  <si>
    <t>상가시설2-1</t>
    <phoneticPr fontId="2" type="noConversion"/>
  </si>
  <si>
    <t>상가시설3-1</t>
    <phoneticPr fontId="2" type="noConversion"/>
  </si>
  <si>
    <t>상가시설4-1</t>
    <phoneticPr fontId="2" type="noConversion"/>
  </si>
  <si>
    <t>상가시설5-1</t>
    <phoneticPr fontId="2" type="noConversion"/>
  </si>
  <si>
    <t>상가시설6-1</t>
    <phoneticPr fontId="2" type="noConversion"/>
  </si>
  <si>
    <t>상가시설7-1</t>
    <phoneticPr fontId="2" type="noConversion"/>
  </si>
  <si>
    <t>휴양
문화시설</t>
    <phoneticPr fontId="2" type="noConversion"/>
  </si>
  <si>
    <t>수산물전시장</t>
    <phoneticPr fontId="2" type="noConversion"/>
  </si>
  <si>
    <t>3.문화및집회시설(전시장)</t>
    <phoneticPr fontId="2" type="noConversion"/>
  </si>
  <si>
    <t>해양박물관및전시장</t>
    <phoneticPr fontId="2" type="noConversion"/>
  </si>
  <si>
    <t>공공
편익시설</t>
    <phoneticPr fontId="2" type="noConversion"/>
  </si>
  <si>
    <t>하수종말처리장</t>
    <phoneticPr fontId="2" type="noConversion"/>
  </si>
  <si>
    <t>8.업무시설(사무소)</t>
    <phoneticPr fontId="2" type="noConversion"/>
  </si>
  <si>
    <t>공공용지</t>
    <phoneticPr fontId="2" type="noConversion"/>
  </si>
  <si>
    <t>기타시설</t>
    <phoneticPr fontId="2" type="noConversion"/>
  </si>
  <si>
    <t>양어장</t>
    <phoneticPr fontId="2" type="noConversion"/>
  </si>
  <si>
    <t>남당항 관광용수량 결정</t>
    <phoneticPr fontId="2" type="noConversion"/>
  </si>
  <si>
    <t>남당관광지 조성사업 실시설계(2008.11)에서는 급수원단위를 오수원단위로부터 역산정하여 다음과 같이 관광용수량을 산정하였다.</t>
    <phoneticPr fontId="2" type="noConversion"/>
  </si>
  <si>
    <t>구  분</t>
    <phoneticPr fontId="2" type="noConversion"/>
  </si>
  <si>
    <t>일평균</t>
    <phoneticPr fontId="2" type="noConversion"/>
  </si>
  <si>
    <t>일최대</t>
    <phoneticPr fontId="2" type="noConversion"/>
  </si>
  <si>
    <t>시간최대</t>
    <phoneticPr fontId="2" type="noConversion"/>
  </si>
  <si>
    <t>비  고</t>
    <phoneticPr fontId="2" type="noConversion"/>
  </si>
  <si>
    <t>관광용수량(㎥/일)</t>
    <phoneticPr fontId="2" type="noConversion"/>
  </si>
  <si>
    <t xml:space="preserve">위의 세가지 방법으로 관광용수량을 산정한 결과 남당관광지 조성사업 실시설계에서 반영된 관광용수량을 수용하는 것으로 </t>
    <phoneticPr fontId="2" type="noConversion"/>
  </si>
  <si>
    <t>계획한다</t>
    <phoneticPr fontId="2" type="noConversion"/>
  </si>
  <si>
    <t>남당관광지 조성사업 실시설계(2008.11)에서는 급수원단위를 오수원단위로부터 역산정하여 다음과 같이 관광용수량을 산정하였다.</t>
    <phoneticPr fontId="2" type="noConversion"/>
  </si>
  <si>
    <t>비   고</t>
    <phoneticPr fontId="2" type="noConversion"/>
  </si>
  <si>
    <t>2020년</t>
  </si>
  <si>
    <t>2025년</t>
  </si>
  <si>
    <r>
      <t xml:space="preserve">  - 홍성읍에는 옥암리 일원에</t>
    </r>
    <r>
      <rPr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홍성교도소가 위치하고 있고, 교도소</t>
    </r>
    <r>
      <rPr>
        <sz val="11"/>
        <rFont val="돋움"/>
        <family val="3"/>
        <charset val="129"/>
      </rPr>
      <t xml:space="preserve"> 관사는 현재 상수도를 공급받고있으며,</t>
    </r>
    <phoneticPr fontId="2" type="noConversion"/>
  </si>
  <si>
    <t>홍성교도소 물사용량</t>
    <phoneticPr fontId="2" type="noConversion"/>
  </si>
  <si>
    <t>(단위 : ㎥/월)</t>
    <phoneticPr fontId="2" type="noConversion"/>
  </si>
  <si>
    <r>
      <t xml:space="preserve">     검토하기로</t>
    </r>
    <r>
      <rPr>
        <sz val="11"/>
        <rFont val="돋움"/>
        <family val="3"/>
        <charset val="129"/>
      </rPr>
      <t xml:space="preserve"> 한다. 교도소에서 사용하는 지하수의 평균 사용량은 다음과 같다.</t>
    </r>
    <phoneticPr fontId="2" type="noConversion"/>
  </si>
  <si>
    <r>
      <t xml:space="preserve">  - 교도소</t>
    </r>
    <r>
      <rPr>
        <sz val="11"/>
        <rFont val="돋움"/>
        <family val="3"/>
        <charset val="129"/>
      </rPr>
      <t xml:space="preserve"> 관사 상수사용량은 홍성읍 생활용수에 포함되어 있어 지하수를 사용하는 교도소의 사용량 추이를</t>
    </r>
    <r>
      <rPr>
        <sz val="11"/>
        <rFont val="돋움"/>
        <family val="3"/>
        <charset val="129"/>
      </rPr>
      <t/>
    </r>
    <phoneticPr fontId="2" type="noConversion"/>
  </si>
  <si>
    <t>교도소 지하수 평균 사용량</t>
    <phoneticPr fontId="2" type="noConversion"/>
  </si>
  <si>
    <t>연간사용량(㎥/년) 평균</t>
    <phoneticPr fontId="2" type="noConversion"/>
  </si>
  <si>
    <t>홍성교도소</t>
    <phoneticPr fontId="2" type="noConversion"/>
  </si>
  <si>
    <t>교도소 지하수 일최대 사용량</t>
    <phoneticPr fontId="2" type="noConversion"/>
  </si>
  <si>
    <t>군부대 용수수요량 총괄</t>
    <phoneticPr fontId="2" type="noConversion"/>
  </si>
  <si>
    <t>(단위 : ㎥/일)</t>
    <phoneticPr fontId="2" type="noConversion"/>
  </si>
  <si>
    <t>교도소 용수수요량</t>
    <phoneticPr fontId="2" type="noConversion"/>
  </si>
  <si>
    <t>일평균</t>
    <phoneticPr fontId="2" type="noConversion"/>
  </si>
  <si>
    <t>일최대</t>
    <phoneticPr fontId="2" type="noConversion"/>
  </si>
  <si>
    <t>홍성교도소</t>
    <phoneticPr fontId="2" type="noConversion"/>
  </si>
  <si>
    <t>구  분</t>
    <phoneticPr fontId="2" type="noConversion"/>
  </si>
  <si>
    <t>구    분</t>
  </si>
  <si>
    <t>2010년</t>
  </si>
  <si>
    <t>2015년</t>
  </si>
  <si>
    <t>1789부대</t>
  </si>
  <si>
    <t>일평균</t>
  </si>
  <si>
    <t>일최대</t>
  </si>
  <si>
    <t>1789부대헬기장</t>
  </si>
  <si>
    <t>계</t>
  </si>
  <si>
    <t>■ 군부대 용수량</t>
    <phoneticPr fontId="2" type="noConversion"/>
  </si>
  <si>
    <t xml:space="preserve">고지년월 </t>
    <phoneticPr fontId="2" type="noConversion"/>
  </si>
  <si>
    <t>1789부대 헬기장</t>
  </si>
  <si>
    <r>
      <t>1</t>
    </r>
    <r>
      <rPr>
        <sz val="11"/>
        <rFont val="돋움"/>
        <family val="3"/>
        <charset val="129"/>
      </rPr>
      <t>789부대</t>
    </r>
    <phoneticPr fontId="2" type="noConversion"/>
  </si>
  <si>
    <t>비  고</t>
    <phoneticPr fontId="2" type="noConversion"/>
  </si>
  <si>
    <t>구  분</t>
    <phoneticPr fontId="2" type="noConversion"/>
  </si>
  <si>
    <t>연간사용량(㎥/년)</t>
    <phoneticPr fontId="2" type="noConversion"/>
  </si>
  <si>
    <t>월평균(㎥/월)</t>
    <phoneticPr fontId="2" type="noConversion"/>
  </si>
  <si>
    <t>월최대(㎥/월)</t>
    <phoneticPr fontId="2" type="noConversion"/>
  </si>
  <si>
    <t>일평균(㎥/일)</t>
    <phoneticPr fontId="2" type="noConversion"/>
  </si>
  <si>
    <t>일최대(㎥/일)</t>
    <phoneticPr fontId="2" type="noConversion"/>
  </si>
  <si>
    <r>
      <t xml:space="preserve">  - 일최대</t>
    </r>
    <r>
      <rPr>
        <sz val="11"/>
        <rFont val="돋움"/>
        <family val="3"/>
        <charset val="129"/>
      </rPr>
      <t xml:space="preserve"> 사용량 검토</t>
    </r>
    <phoneticPr fontId="2" type="noConversion"/>
  </si>
  <si>
    <t>군부대 지하수 일최대 사용량</t>
    <phoneticPr fontId="2" type="noConversion"/>
  </si>
  <si>
    <t>사용실적 일최대 사용량</t>
    <phoneticPr fontId="2" type="noConversion"/>
  </si>
  <si>
    <t>첨두부하율 적용 일최대 사용량</t>
    <phoneticPr fontId="2" type="noConversion"/>
  </si>
  <si>
    <r>
      <t xml:space="preserve">  - 홍성군은</t>
    </r>
    <r>
      <rPr>
        <sz val="11"/>
        <rFont val="돋움"/>
        <family val="3"/>
        <charset val="129"/>
      </rPr>
      <t xml:space="preserve"> '홍성지역 종합개발지구(2007.9, 홍성군)'에서 군부대 이전계획을 수립하였으나, 세부이전계획은</t>
    </r>
    <phoneticPr fontId="2" type="noConversion"/>
  </si>
  <si>
    <t xml:space="preserve">     군부대 일최대 사용량은 첨두부하율(1.35)을 적용하는 것으로 채택함</t>
    <phoneticPr fontId="2" type="noConversion"/>
  </si>
  <si>
    <t>적   용</t>
    <phoneticPr fontId="2" type="noConversion"/>
  </si>
  <si>
    <t>월평균(㎥/월)</t>
    <phoneticPr fontId="2" type="noConversion"/>
  </si>
  <si>
    <t>월최대(㎥/월)</t>
    <phoneticPr fontId="2" type="noConversion"/>
  </si>
  <si>
    <t>일평균(㎥/일)</t>
    <phoneticPr fontId="2" type="noConversion"/>
  </si>
  <si>
    <t>일최대(㎥/일)</t>
    <phoneticPr fontId="2" type="noConversion"/>
  </si>
  <si>
    <r>
      <t xml:space="preserve">  - 일최대</t>
    </r>
    <r>
      <rPr>
        <sz val="11"/>
        <rFont val="돋움"/>
        <family val="3"/>
        <charset val="129"/>
      </rPr>
      <t xml:space="preserve"> 사용량 검토</t>
    </r>
    <phoneticPr fontId="2" type="noConversion"/>
  </si>
  <si>
    <t>사용실적 일최대 사용량</t>
    <phoneticPr fontId="2" type="noConversion"/>
  </si>
  <si>
    <t>■ 홍성군 관광지별 관광인구 현황</t>
    <phoneticPr fontId="2" type="noConversion"/>
  </si>
  <si>
    <t>홍주의사총</t>
  </si>
  <si>
    <t>김좌진장군생가</t>
  </si>
  <si>
    <t>한용운선생생가</t>
  </si>
  <si>
    <t>용봉산</t>
  </si>
  <si>
    <t>오서산</t>
  </si>
  <si>
    <t>홍성온천지구</t>
  </si>
  <si>
    <t>남당항</t>
  </si>
  <si>
    <t>구    분</t>
    <phoneticPr fontId="2" type="noConversion"/>
  </si>
  <si>
    <t>계</t>
    <phoneticPr fontId="2" type="noConversion"/>
  </si>
  <si>
    <t>무료</t>
    <phoneticPr fontId="2" type="noConversion"/>
  </si>
  <si>
    <t>유료</t>
    <phoneticPr fontId="2" type="noConversion"/>
  </si>
  <si>
    <t>주)  외국인 포함</t>
    <phoneticPr fontId="2" type="noConversion"/>
  </si>
  <si>
    <t>관광객수</t>
    <phoneticPr fontId="2" type="noConversion"/>
  </si>
  <si>
    <t xml:space="preserve">홍성군의 주요 관광지는 홍주의사총, 김좌진장군생가, 한용운선생생가, 용봉산, 오서산, </t>
    <phoneticPr fontId="2" type="noConversion"/>
  </si>
  <si>
    <t xml:space="preserve">홍성온천지구, 남당항 등이 있으며 홍성온천지구는 자체수원을 개발하여 용수를 사용하고 있고, </t>
    <phoneticPr fontId="2" type="noConversion"/>
  </si>
  <si>
    <t>그외 지역은 단순 방문정도의 수준으로 관광객으로 인한 용수사용량은 미비한 것으로 나타났다.</t>
    <phoneticPr fontId="2" type="noConversion"/>
  </si>
  <si>
    <t xml:space="preserve">본 계획에서는 홍성군 과거 용수사용량 자료에 영업용, 업무용 등에 관광객이 사용한 용수량이 </t>
    <phoneticPr fontId="2" type="noConversion"/>
  </si>
  <si>
    <r>
      <t xml:space="preserve">     교도소는</t>
    </r>
    <r>
      <rPr>
        <sz val="11"/>
        <rFont val="돋움"/>
        <family val="3"/>
        <charset val="129"/>
      </rPr>
      <t xml:space="preserve"> 지하수를 사용하고 있다. 홍성교도소의 지하수 사용실적은 다음과 같다.</t>
    </r>
    <phoneticPr fontId="2" type="noConversion"/>
  </si>
  <si>
    <t>2006년</t>
    <phoneticPr fontId="2" type="noConversion"/>
  </si>
  <si>
    <t>2007년</t>
    <phoneticPr fontId="2" type="noConversion"/>
  </si>
  <si>
    <t>시도</t>
  </si>
  <si>
    <t>군구</t>
  </si>
  <si>
    <t>관광지</t>
  </si>
  <si>
    <t>구분</t>
  </si>
  <si>
    <t>세부구분</t>
  </si>
  <si>
    <t>내/외국인</t>
  </si>
  <si>
    <t>총계</t>
  </si>
  <si>
    <t>(2005년 ~ 2015년)</t>
  </si>
  <si>
    <t>2005년</t>
  </si>
  <si>
    <t>2006년</t>
  </si>
  <si>
    <t>2007년</t>
  </si>
  <si>
    <t>2008년</t>
  </si>
  <si>
    <t>2009년</t>
  </si>
  <si>
    <t>2011년</t>
  </si>
  <si>
    <t>2012년</t>
  </si>
  <si>
    <t>2013년</t>
  </si>
  <si>
    <t>2014년</t>
  </si>
  <si>
    <t>충청남도</t>
  </si>
  <si>
    <t>홍성군</t>
  </si>
  <si>
    <t>거북이마을</t>
  </si>
  <si>
    <t>유료</t>
  </si>
  <si>
    <t>측정</t>
  </si>
  <si>
    <t>내국인</t>
  </si>
  <si>
    <t>-</t>
  </si>
  <si>
    <t>외국인</t>
  </si>
  <si>
    <t>124</t>
  </si>
  <si>
    <t>0</t>
  </si>
  <si>
    <t>고암 이응노 생가기념관</t>
  </si>
  <si>
    <t>그림이 있는 정원</t>
  </si>
  <si>
    <t>문당환경농업마을</t>
  </si>
  <si>
    <t>282</t>
  </si>
  <si>
    <t>260</t>
  </si>
  <si>
    <t>22</t>
  </si>
  <si>
    <t>봉암장수마을</t>
  </si>
  <si>
    <t>235</t>
  </si>
  <si>
    <t>294</t>
  </si>
  <si>
    <t>83</t>
  </si>
  <si>
    <t>85</t>
  </si>
  <si>
    <t>198</t>
  </si>
  <si>
    <t>598</t>
  </si>
  <si>
    <t>용봉산 (용봉초 매표소)</t>
  </si>
  <si>
    <t>용봉산(구룡대 매표소)</t>
  </si>
  <si>
    <t>용봉산(산림휴양관 매표소)</t>
  </si>
  <si>
    <t>조류탐사과학관</t>
  </si>
  <si>
    <t>40</t>
  </si>
  <si>
    <t>홍성온천관광호텔부대시설(온천이용객)</t>
  </si>
  <si>
    <t>303</t>
  </si>
  <si>
    <t>269</t>
  </si>
  <si>
    <t>222</t>
  </si>
  <si>
    <t>331</t>
  </si>
  <si>
    <t>324</t>
  </si>
  <si>
    <t>308</t>
  </si>
  <si>
    <t>602</t>
  </si>
  <si>
    <t>무료</t>
  </si>
  <si>
    <t>추정</t>
  </si>
  <si>
    <t>식기박물관</t>
  </si>
  <si>
    <t>180</t>
  </si>
  <si>
    <t>2013~2015자료가 없어서 2010~2012년으로 대체함</t>
    <phoneticPr fontId="2" type="noConversion"/>
  </si>
  <si>
    <t>최근1년(2015.1~2015.12)</t>
    <phoneticPr fontId="2" type="noConversion"/>
  </si>
  <si>
    <r>
      <t xml:space="preserve">     군부대의</t>
    </r>
    <r>
      <rPr>
        <sz val="11"/>
        <rFont val="돋움"/>
        <family val="3"/>
        <charset val="129"/>
      </rPr>
      <t xml:space="preserve"> 상수사용실적은 2015년 1월부터 2015년 12월 자료를 조사분석 하였다.</t>
    </r>
    <phoneticPr fontId="2" type="noConversion"/>
  </si>
  <si>
    <t>2030년</t>
    <phoneticPr fontId="2" type="noConversion"/>
  </si>
  <si>
    <t>2035년</t>
    <phoneticPr fontId="2" type="noConversion"/>
  </si>
  <si>
    <t>2020년</t>
    <phoneticPr fontId="2" type="noConversion"/>
  </si>
  <si>
    <t>2025년</t>
    <phoneticPr fontId="2" type="noConversion"/>
  </si>
  <si>
    <t>2030년</t>
    <phoneticPr fontId="2" type="noConversion"/>
  </si>
  <si>
    <t>2035년</t>
    <phoneticPr fontId="2" type="noConversion"/>
  </si>
  <si>
    <r>
      <t>2030년</t>
    </r>
    <r>
      <rPr>
        <sz val="11"/>
        <rFont val="돋움"/>
        <family val="3"/>
        <charset val="129"/>
      </rPr>
      <t/>
    </r>
  </si>
  <si>
    <r>
      <t>2035년</t>
    </r>
    <r>
      <rPr>
        <sz val="11"/>
        <rFont val="돋움"/>
        <family val="3"/>
        <charset val="129"/>
      </rPr>
      <t/>
    </r>
  </si>
  <si>
    <t>구  분</t>
    <phoneticPr fontId="2" type="noConversion"/>
  </si>
  <si>
    <t>비  고</t>
    <phoneticPr fontId="2" type="noConversion"/>
  </si>
  <si>
    <t>2020년</t>
    <phoneticPr fontId="2" type="noConversion"/>
  </si>
  <si>
    <t>2025년</t>
    <phoneticPr fontId="2" type="noConversion"/>
  </si>
  <si>
    <t>2030년</t>
    <phoneticPr fontId="2" type="noConversion"/>
  </si>
  <si>
    <t>2035년</t>
    <phoneticPr fontId="2" type="noConversion"/>
  </si>
  <si>
    <t>관광용수</t>
    <phoneticPr fontId="2" type="noConversion"/>
  </si>
  <si>
    <t>대학용수</t>
    <phoneticPr fontId="2" type="noConversion"/>
  </si>
  <si>
    <t>홍성교도소</t>
    <phoneticPr fontId="2" type="noConversion"/>
  </si>
  <si>
    <t>2020년</t>
    <phoneticPr fontId="2" type="noConversion"/>
  </si>
  <si>
    <t>2025년</t>
    <phoneticPr fontId="2" type="noConversion"/>
  </si>
  <si>
    <t xml:space="preserve"> ⊙ 과거 관광인구 </t>
  </si>
  <si>
    <t>1계절형</t>
  </si>
  <si>
    <t>최대일률</t>
  </si>
  <si>
    <t>1 / 8</t>
  </si>
  <si>
    <t>1 / 15</t>
  </si>
  <si>
    <t>1 / 30</t>
  </si>
  <si>
    <t>1 / 50</t>
  </si>
  <si>
    <t>체제시간</t>
  </si>
  <si>
    <t>1시간</t>
  </si>
  <si>
    <t>2시간</t>
  </si>
  <si>
    <t>3시간</t>
  </si>
  <si>
    <t>4시간</t>
  </si>
  <si>
    <t>5시간</t>
  </si>
  <si>
    <t>6시간</t>
  </si>
  <si>
    <t>7시간</t>
  </si>
  <si>
    <t>8시간</t>
  </si>
  <si>
    <t>회전율</t>
  </si>
  <si>
    <t>1 / 4</t>
  </si>
  <si>
    <t>1 / 2.5</t>
  </si>
  <si>
    <t>1 / 2</t>
  </si>
  <si>
    <t>1 / 1.7</t>
  </si>
  <si>
    <t>1 / 1.5</t>
  </si>
  <si>
    <t>1 / 1.4</t>
  </si>
  <si>
    <t>1 / 1.3</t>
  </si>
  <si>
    <t>1 / 1.2</t>
  </si>
  <si>
    <t>이용객수</t>
    <phoneticPr fontId="2" type="noConversion"/>
  </si>
  <si>
    <t>산정근거</t>
    <phoneticPr fontId="2" type="noConversion"/>
  </si>
  <si>
    <t>연간이용객</t>
    <phoneticPr fontId="2" type="noConversion"/>
  </si>
  <si>
    <t>일최대이용객</t>
    <phoneticPr fontId="2" type="noConversion"/>
  </si>
  <si>
    <t>계획기준 일이용객</t>
    <phoneticPr fontId="2" type="noConversion"/>
  </si>
  <si>
    <t>최대시 이용객</t>
    <phoneticPr fontId="2" type="noConversion"/>
  </si>
  <si>
    <t>연간숙박객</t>
    <phoneticPr fontId="2" type="noConversion"/>
  </si>
  <si>
    <t>관광권역 분담률과 적정양수량 산정의 평균</t>
    <phoneticPr fontId="2" type="noConversion"/>
  </si>
  <si>
    <t>연간이용객 x 최대일률(1/50)</t>
    <phoneticPr fontId="2" type="noConversion"/>
  </si>
  <si>
    <t>일최대이용객 x 서비스율(50%)</t>
    <phoneticPr fontId="2" type="noConversion"/>
  </si>
  <si>
    <t>연간이용객 x 최대일률(25%)</t>
    <phoneticPr fontId="2" type="noConversion"/>
  </si>
  <si>
    <t>주) 서비스율 : 중소도시내 도시지역 특성을 고려하여 서비스울(50%)적용</t>
    <phoneticPr fontId="2" type="noConversion"/>
  </si>
  <si>
    <t xml:space="preserve">     회전율 : 온천관광지의 특성상 평균체재시간을 4~5시간으로 가정(1/1.6)</t>
    <phoneticPr fontId="2" type="noConversion"/>
  </si>
  <si>
    <t xml:space="preserve">     숙박률 : 체재형 관광휴양지를 목표로 25%적용, 평균숙박일수는 1.5박을 기준</t>
    <phoneticPr fontId="2" type="noConversion"/>
  </si>
  <si>
    <t>사용량</t>
    <phoneticPr fontId="2" type="noConversion"/>
  </si>
  <si>
    <t>4. 폴리텍 대학은 상수도 사용량 실적을 적용함</t>
    <phoneticPr fontId="2" type="noConversion"/>
  </si>
  <si>
    <t>1월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</si>
  <si>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</si>
  <si>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</si>
  <si>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</si>
  <si>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</si>
  <si>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</si>
  <si>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</si>
  <si>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</si>
  <si>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</si>
  <si>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</si>
  <si>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</si>
  <si>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예산과목</t>
    <phoneticPr fontId="2" type="noConversion"/>
  </si>
  <si>
    <t>다기능</t>
    <phoneticPr fontId="2" type="noConversion"/>
  </si>
  <si>
    <t>금액</t>
    <phoneticPr fontId="2" type="noConversion"/>
  </si>
  <si>
    <t>2월</t>
    <phoneticPr fontId="2" type="noConversion"/>
  </si>
  <si>
    <t>청운대학교</t>
    <phoneticPr fontId="2" type="noConversion"/>
  </si>
  <si>
    <t>혜전대학교</t>
    <phoneticPr fontId="2" type="noConversion"/>
  </si>
  <si>
    <t>한국폴리텍Ⅳ       홍성대학</t>
    <phoneticPr fontId="2" type="noConversion"/>
  </si>
  <si>
    <t>교도소용수</t>
    <phoneticPr fontId="2" type="noConversion"/>
  </si>
  <si>
    <t>종전</t>
    <phoneticPr fontId="2" type="noConversion"/>
  </si>
  <si>
    <t>구분</t>
    <phoneticPr fontId="2" type="noConversion"/>
  </si>
  <si>
    <t>급수면적</t>
    <phoneticPr fontId="2" type="noConversion"/>
  </si>
  <si>
    <t>급수인구</t>
    <phoneticPr fontId="2" type="noConversion"/>
  </si>
  <si>
    <t>비고</t>
    <phoneticPr fontId="2" type="noConversion"/>
  </si>
  <si>
    <t>숙박이용객</t>
    <phoneticPr fontId="2" type="noConversion"/>
  </si>
  <si>
    <t>일이용객</t>
    <phoneticPr fontId="2" type="noConversion"/>
  </si>
  <si>
    <t>계</t>
    <phoneticPr fontId="2" type="noConversion"/>
  </si>
  <si>
    <t>일최대급수량(㎥/일)</t>
    <phoneticPr fontId="2" type="noConversion"/>
  </si>
  <si>
    <t>충남권역 관광객의 숙박관광객 비율을 적용하여 일 이용객의 30%는 숙박이용객, 70%는 당일이용객으로 산정</t>
    <phoneticPr fontId="2" type="noConversion"/>
  </si>
  <si>
    <t>* 숙박이용객 및 일이용객 인구수는 개발계획인구수 참조</t>
    <phoneticPr fontId="2" type="noConversion"/>
  </si>
  <si>
    <t>남당관광지</t>
    <phoneticPr fontId="2" type="noConversion"/>
  </si>
  <si>
    <t>옥암지구        (온천용지)</t>
    <phoneticPr fontId="2" type="noConversion"/>
  </si>
  <si>
    <t>원단위</t>
    <phoneticPr fontId="2" type="noConversion"/>
  </si>
  <si>
    <t>원단위</t>
    <phoneticPr fontId="2" type="noConversion"/>
  </si>
  <si>
    <t>실사용량</t>
    <phoneticPr fontId="2" type="noConversion"/>
  </si>
  <si>
    <t xml:space="preserve"> 일최대 용수수요량 (㎥/일)</t>
    <phoneticPr fontId="2" type="noConversion"/>
  </si>
  <si>
    <t xml:space="preserve"> ○ 기타용수(일최대)</t>
    <phoneticPr fontId="2" type="noConversion"/>
  </si>
  <si>
    <t xml:space="preserve"> ○ 기타용수(일평균)</t>
    <phoneticPr fontId="2" type="noConversion"/>
  </si>
  <si>
    <t>용수수요량 (㎥/일)</t>
    <phoneticPr fontId="2" type="noConversion"/>
  </si>
  <si>
    <t>2. 남당관광지 조성사업 실시설계</t>
    <phoneticPr fontId="2" type="noConversion"/>
  </si>
  <si>
    <t>3. 남당항 관광용수량 결정</t>
    <phoneticPr fontId="2" type="noConversion"/>
  </si>
  <si>
    <t>가. 남당관광지</t>
    <phoneticPr fontId="2" type="noConversion"/>
  </si>
  <si>
    <t xml:space="preserve">  1. 남당관광지 조성사업 실시설계</t>
    <phoneticPr fontId="2" type="noConversion"/>
  </si>
  <si>
    <t>3.3.1 관광용수 수요량</t>
    <phoneticPr fontId="2" type="noConversion"/>
  </si>
  <si>
    <t>홍성군 남당항 관광지 조성계획(2007, 홍성군)</t>
    <phoneticPr fontId="2" type="noConversion"/>
  </si>
  <si>
    <t>남당관광지 조성사업 실시설계(2008.11, 홍성군) 숙박시설인구 참조</t>
    <phoneticPr fontId="2" type="noConversion"/>
  </si>
  <si>
    <t>일최대이용객 x 회전율(1/1.7)</t>
    <phoneticPr fontId="2" type="noConversion"/>
  </si>
  <si>
    <t>일최대이용객 x 회전율(1/1.6)</t>
    <phoneticPr fontId="2" type="noConversion"/>
  </si>
  <si>
    <t xml:space="preserve">     회전율 : 온천관광지의 특성상 평균체재시간을 4~5시간으로 가정(1/1.7)</t>
    <phoneticPr fontId="2" type="noConversion"/>
  </si>
  <si>
    <t>일최대숙박객</t>
    <phoneticPr fontId="2" type="noConversion"/>
  </si>
  <si>
    <t>50%적용</t>
    <phoneticPr fontId="2" type="noConversion"/>
  </si>
  <si>
    <t>15%적용</t>
    <phoneticPr fontId="2" type="noConversion"/>
  </si>
  <si>
    <t>* 숙박이용객 인구는 남당관광지 조성사업 실시설계(2008.11, 홍성군) 숙박시설인구 참조</t>
    <phoneticPr fontId="2" type="noConversion"/>
  </si>
  <si>
    <t>가정용 원단위(일평균)</t>
    <phoneticPr fontId="2" type="noConversion"/>
  </si>
  <si>
    <t>가정용 원단위(일최대)</t>
    <phoneticPr fontId="2" type="noConversion"/>
  </si>
  <si>
    <t>급수량 원단위(일최대)</t>
    <phoneticPr fontId="2" type="noConversion"/>
  </si>
  <si>
    <t>일이용객</t>
    <phoneticPr fontId="2" type="noConversion"/>
  </si>
  <si>
    <t>* 숙박이용객 및 일이용객 급수량 원단위는 본 계획상 가정용수 원단위 적용(일숙박객 50%, 일이용객 15%)</t>
    <phoneticPr fontId="2" type="noConversion"/>
  </si>
  <si>
    <t>나. 옥암지구 온천 관광용수 수요량</t>
    <phoneticPr fontId="2" type="noConversion"/>
  </si>
  <si>
    <t>관리번호</t>
  </si>
  <si>
    <t>당월지침</t>
  </si>
  <si>
    <t>사용량</t>
  </si>
  <si>
    <t>01-503-0107-5000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</si>
  <si>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</si>
  <si>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</si>
  <si>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</si>
  <si>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</si>
  <si>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</si>
  <si>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</si>
  <si>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</si>
  <si>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</si>
  <si>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</si>
  <si>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</si>
  <si>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</si>
  <si>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</si>
  <si>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</si>
  <si>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</si>
  <si>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</si>
  <si>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</si>
  <si>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</si>
  <si>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</si>
  <si>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</si>
  <si>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</si>
  <si>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</si>
  <si>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</si>
  <si>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</si>
  <si>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</si>
  <si>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</si>
  <si>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</si>
  <si>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</si>
  <si>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</si>
  <si>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</si>
  <si>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</si>
  <si>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</si>
  <si>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</si>
  <si>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</si>
  <si>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</si>
  <si>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</si>
  <si>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2015-12</t>
  </si>
  <si>
    <t>납기</t>
  </si>
  <si>
    <t>2013년 사용량(㎥/년)</t>
    <phoneticPr fontId="2" type="noConversion"/>
  </si>
  <si>
    <t>2014년 사용량(㎥/년)</t>
    <phoneticPr fontId="2" type="noConversion"/>
  </si>
  <si>
    <t>2015년 사용량(㎥/년)</t>
    <phoneticPr fontId="2" type="noConversion"/>
  </si>
  <si>
    <t>유수율 고려</t>
    <phoneticPr fontId="2" type="noConversion"/>
  </si>
  <si>
    <t>일최대 급수량</t>
    <phoneticPr fontId="2" type="noConversion"/>
  </si>
  <si>
    <t>홍성교도소</t>
    <phoneticPr fontId="2" type="noConversion"/>
  </si>
  <si>
    <t>비  고</t>
    <phoneticPr fontId="2" type="noConversion"/>
  </si>
  <si>
    <t>구  분</t>
    <phoneticPr fontId="2" type="noConversion"/>
  </si>
  <si>
    <t>비  고</t>
    <phoneticPr fontId="2" type="noConversion"/>
  </si>
  <si>
    <t xml:space="preserve">고지년월 </t>
    <phoneticPr fontId="2" type="noConversion"/>
  </si>
  <si>
    <t>비  고</t>
    <phoneticPr fontId="2" type="noConversion"/>
  </si>
  <si>
    <t>홍성교도소(지하수)</t>
    <phoneticPr fontId="2" type="noConversion"/>
  </si>
  <si>
    <t>▣ 기타용수 총괄</t>
    <phoneticPr fontId="2" type="noConversion"/>
  </si>
  <si>
    <t>▣ 관광용수 수요량</t>
    <phoneticPr fontId="2" type="noConversion"/>
  </si>
  <si>
    <t>1) 관광인구추정</t>
    <phoneticPr fontId="2" type="noConversion"/>
  </si>
  <si>
    <t>가. 남당관광지 관광용수 수요량</t>
    <phoneticPr fontId="2" type="noConversion"/>
  </si>
  <si>
    <t>2) 계획급수량 산정</t>
    <phoneticPr fontId="2" type="noConversion"/>
  </si>
  <si>
    <t>1) 한국 폴리텍 대학교 지하수 사용실적</t>
    <phoneticPr fontId="2" type="noConversion"/>
  </si>
  <si>
    <t>2) 대학용수량 산정</t>
    <phoneticPr fontId="2" type="noConversion"/>
  </si>
  <si>
    <t>▣ 대학용수 수요량</t>
    <phoneticPr fontId="2" type="noConversion"/>
  </si>
  <si>
    <t>▣ 교도소용수 수요량</t>
    <phoneticPr fontId="2" type="noConversion"/>
  </si>
  <si>
    <t>서부면</t>
    <phoneticPr fontId="2" type="noConversion"/>
  </si>
  <si>
    <t>홍성읍</t>
    <phoneticPr fontId="2" type="noConversion"/>
  </si>
  <si>
    <t>실사용량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</si>
</sst>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43" formatCode="_-* #,##0.00_-;\-* #,##0.00_-;_-* &quot;-&quot;??_-;_-@_-"/>
    <numFmt numFmtId="176" formatCode="0.0%"/>
    <numFmt numFmtId="177" formatCode="#,##0_);[Red]\(#,##0\)"/>
    <numFmt numFmtId="178" formatCode="#,###&quot;ℓ/1실&quot;"/>
    <numFmt numFmtId="179" formatCode="#,###&quot;ℓ/㎡&quot;"/>
    <numFmt numFmtId="180" formatCode="#,###&quot;실&quot;"/>
    <numFmt numFmtId="181" formatCode="_ * #,##0_ ;_ * \-#,##0_ ;_ * &quot;-&quot;_ ;_ @_ "/>
    <numFmt numFmtId="182" formatCode="_ * #,##0.00_ ;_ * \-#,##0.00_ ;_ * &quot;-&quot;??_ ;_ @_ "/>
    <numFmt numFmtId="183" formatCode="\$#.00"/>
    <numFmt numFmtId="184" formatCode="#.00"/>
    <numFmt numFmtId="185" formatCode="%#.00"/>
    <numFmt numFmtId="186" formatCode="#."/>
    <numFmt numFmtId="187" formatCode="m\o\n\th\ d\,\ yyyy"/>
    <numFmt numFmtId="188" formatCode="_-* #,##0_-;\-* #,##0_-;_-* &quot;-&quot;??_-;_-@_-"/>
    <numFmt numFmtId="189" formatCode="0.0_);[Red]\(0.0\)"/>
    <numFmt numFmtId="190" formatCode="yyyy/mm"/>
    <numFmt numFmtId="191" formatCode="_-* #,##0.0_-;\-* #,##0.0_-;_-* &quot;-&quot;?_-;_-@_-"/>
    <numFmt numFmtId="192" formatCode="_-* #,##0.0000000000_-;\-* #,##0.0000000000_-;_-* &quot;-&quot;??????????_-;_-@_-"/>
    <numFmt numFmtId="193" formatCode="_-* #,##0_-;\-* #,##0_-;_-* &quot;-&quot;?_-;_-@_-"/>
    <numFmt numFmtId="194" formatCode="&quot;(첨두부하율:&quot;0.00&quot;)&quot;"/>
    <numFmt numFmtId="195" formatCode="mm&quot;.&quot;dd\ &quot;현재&quot;"/>
    <numFmt numFmtId="196" formatCode="#,###\ \ "/>
    <numFmt numFmtId="197" formatCode="_ * #,##0_ ;_ * &quot;₩&quot;&quot;₩&quot;&quot;₩&quot;\-#,##0_ ;_ * &quot;-&quot;_ ;_ @_ "/>
    <numFmt numFmtId="198" formatCode="_ * #,##0.00_ ;_ * &quot;₩&quot;&quot;₩&quot;&quot;₩&quot;\-#,##0.00_ ;_ * &quot;-&quot;??_ ;_ @_ "/>
    <numFmt numFmtId="199" formatCode="_-* #,##0.0_-;\-* #,##0.0_-;_-* &quot;-&quot;_-;_-@_-"/>
    <numFmt numFmtId="200" formatCode="#,##0.00_);[Red]\(#,##0.00\)"/>
    <numFmt numFmtId="201" formatCode="&quot;(유수율:&quot;0%&quot;)&quot;"/>
  </numFmts>
  <fonts count="6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0"/>
      <name val="Arial"/>
      <family val="2"/>
    </font>
    <font>
      <sz val="9"/>
      <name val="돋움"/>
      <family val="3"/>
      <charset val="129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10.4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돋움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1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¹UAAA¼"/>
      <family val="3"/>
      <charset val="129"/>
    </font>
    <font>
      <b/>
      <sz val="12"/>
      <name val="돋움"/>
      <family val="3"/>
      <charset val="129"/>
    </font>
    <font>
      <sz val="10"/>
      <name val="MS Sans Serif"/>
      <family val="2"/>
    </font>
    <font>
      <sz val="12"/>
      <name val="돋움체"/>
      <family val="3"/>
      <charset val="129"/>
    </font>
    <font>
      <sz val="12"/>
      <name val="바탕체"/>
      <family val="1"/>
      <charset val="129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name val="가는각진제목체"/>
      <family val="1"/>
      <charset val="129"/>
    </font>
    <font>
      <sz val="10"/>
      <name val="가는각진제목체"/>
      <family val="1"/>
      <charset val="129"/>
    </font>
    <font>
      <sz val="9"/>
      <name val="가는각진제목체"/>
      <family val="1"/>
      <charset val="129"/>
    </font>
    <font>
      <sz val="10"/>
      <color indexed="12"/>
      <name val="가는각진제목체"/>
      <family val="1"/>
      <charset val="129"/>
    </font>
    <font>
      <b/>
      <sz val="10"/>
      <name val="가는각진제목체"/>
      <family val="1"/>
      <charset val="129"/>
    </font>
    <font>
      <b/>
      <sz val="9"/>
      <name val="가는각진제목체"/>
      <family val="1"/>
      <charset val="129"/>
    </font>
    <font>
      <b/>
      <sz val="10"/>
      <color indexed="12"/>
      <name val="가는각진제목체"/>
      <family val="1"/>
      <charset val="129"/>
    </font>
    <font>
      <sz val="9.9"/>
      <color indexed="8"/>
      <name val="-윤고딕130"/>
      <family val="1"/>
      <charset val="129"/>
    </font>
    <font>
      <sz val="9.9"/>
      <color indexed="8"/>
      <name val="-윤고딕120"/>
      <family val="1"/>
      <charset val="129"/>
    </font>
    <font>
      <sz val="11"/>
      <color indexed="8"/>
      <name val="돋움"/>
      <family val="3"/>
      <charset val="129"/>
    </font>
    <font>
      <b/>
      <sz val="10"/>
      <name val="돋움"/>
      <family val="3"/>
      <charset val="129"/>
    </font>
    <font>
      <b/>
      <sz val="10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  <font>
      <b/>
      <sz val="12"/>
      <name val="Arial"/>
      <family val="2"/>
    </font>
    <font>
      <b/>
      <sz val="13"/>
      <name val="돋움"/>
      <family val="3"/>
      <charset val="129"/>
    </font>
    <font>
      <b/>
      <sz val="15"/>
      <name val="돋움"/>
      <family val="3"/>
      <charset val="129"/>
    </font>
    <font>
      <sz val="10"/>
      <color indexed="8"/>
      <name val="돋움"/>
      <family val="3"/>
      <charset val="129"/>
    </font>
    <font>
      <b/>
      <sz val="10.4"/>
      <name val="돋움"/>
      <family val="3"/>
      <charset val="129"/>
    </font>
    <font>
      <b/>
      <sz val="9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/>
    <xf numFmtId="4" fontId="36" fillId="0" borderId="0">
      <protection locked="0"/>
    </xf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36" fillId="0" borderId="0">
      <protection locked="0"/>
    </xf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87" fontId="36" fillId="0" borderId="0">
      <protection locked="0"/>
    </xf>
    <xf numFmtId="184" fontId="36" fillId="0" borderId="0">
      <protection locked="0"/>
    </xf>
    <xf numFmtId="0" fontId="51" fillId="0" borderId="1" applyNumberFormat="0" applyAlignment="0" applyProtection="0">
      <alignment horizontal="left" vertical="center"/>
    </xf>
    <xf numFmtId="0" fontId="51" fillId="0" borderId="2">
      <alignment horizontal="left" vertical="center"/>
    </xf>
    <xf numFmtId="186" fontId="37" fillId="0" borderId="0">
      <protection locked="0"/>
    </xf>
    <xf numFmtId="186" fontId="37" fillId="0" borderId="0">
      <protection locked="0"/>
    </xf>
    <xf numFmtId="0" fontId="4" fillId="0" borderId="0"/>
    <xf numFmtId="185" fontId="36" fillId="0" borderId="0">
      <protection locked="0"/>
    </xf>
    <xf numFmtId="186" fontId="36" fillId="0" borderId="3">
      <protection locked="0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4" applyNumberFormat="0" applyAlignment="0" applyProtection="0">
      <alignment vertical="center"/>
    </xf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3" fontId="33" fillId="0" borderId="5">
      <alignment horizontal="center"/>
    </xf>
    <xf numFmtId="0" fontId="1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1" fillId="21" borderId="6" applyNumberFormat="0" applyFont="0" applyAlignment="0" applyProtection="0">
      <alignment vertical="center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8" fillId="22" borderId="0" applyNumberFormat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4" applyNumberFormat="0" applyAlignment="0" applyProtection="0">
      <alignment vertical="center"/>
    </xf>
    <xf numFmtId="4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5" fillId="0" borderId="0"/>
    <xf numFmtId="0" fontId="30" fillId="20" borderId="13" applyNumberFormat="0" applyAlignment="0" applyProtection="0">
      <alignment vertical="center"/>
    </xf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57" fillId="0" borderId="0">
      <alignment vertical="center"/>
    </xf>
    <xf numFmtId="0" fontId="1" fillId="0" borderId="0"/>
    <xf numFmtId="0" fontId="1" fillId="0" borderId="0"/>
    <xf numFmtId="0" fontId="35" fillId="0" borderId="0"/>
    <xf numFmtId="0" fontId="3" fillId="0" borderId="0"/>
    <xf numFmtId="0" fontId="13" fillId="0" borderId="14" applyNumberFormat="0" applyFont="0" applyFill="0" applyAlignment="0" applyProtection="0"/>
    <xf numFmtId="7" fontId="13" fillId="0" borderId="0" applyFont="0" applyFill="0" applyBorder="0" applyAlignment="0" applyProtection="0"/>
    <xf numFmtId="5" fontId="13" fillId="0" borderId="0" applyFont="0" applyFill="0" applyBorder="0" applyAlignment="0" applyProtection="0"/>
  </cellStyleXfs>
  <cellXfs count="450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90" applyFont="1" applyBorder="1" applyAlignment="1">
      <alignment horizontal="left" vertical="center"/>
    </xf>
    <xf numFmtId="0" fontId="1" fillId="0" borderId="0" xfId="9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8" fillId="0" borderId="0" xfId="9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3" fillId="0" borderId="0" xfId="90" quotePrefix="1" applyFont="1" applyFill="1" applyBorder="1" applyAlignment="1">
      <alignment horizontal="left" vertical="center"/>
    </xf>
    <xf numFmtId="41" fontId="0" fillId="0" borderId="15" xfId="66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1" fillId="0" borderId="15" xfId="66" applyFont="1" applyFill="1" applyBorder="1" applyAlignment="1">
      <alignment horizontal="center" vertical="center"/>
    </xf>
    <xf numFmtId="41" fontId="0" fillId="0" borderId="0" xfId="66" applyFont="1">
      <alignment vertical="center"/>
    </xf>
    <xf numFmtId="0" fontId="0" fillId="0" borderId="0" xfId="0" applyBorder="1">
      <alignment vertical="center"/>
    </xf>
    <xf numFmtId="41" fontId="0" fillId="0" borderId="15" xfId="66" applyFont="1" applyBorder="1">
      <alignment vertical="center"/>
    </xf>
    <xf numFmtId="41" fontId="0" fillId="0" borderId="0" xfId="66" applyFont="1" applyAlignment="1">
      <alignment horizontal="right" vertical="center"/>
    </xf>
    <xf numFmtId="0" fontId="5" fillId="0" borderId="15" xfId="0" applyFont="1" applyFill="1" applyBorder="1" applyAlignment="1">
      <alignment horizontal="centerContinuous" vertical="center"/>
    </xf>
    <xf numFmtId="0" fontId="5" fillId="0" borderId="15" xfId="0" applyFont="1" applyFill="1" applyBorder="1" applyAlignment="1">
      <alignment horizontal="centerContinuous" vertical="center" wrapText="1"/>
    </xf>
    <xf numFmtId="41" fontId="5" fillId="0" borderId="15" xfId="0" applyNumberFormat="1" applyFont="1" applyFill="1" applyBorder="1" applyAlignment="1">
      <alignment horizontal="centerContinuous" vertical="center"/>
    </xf>
    <xf numFmtId="0" fontId="5" fillId="0" borderId="15" xfId="0" applyFont="1" applyFill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centerContinuous" vertical="center"/>
    </xf>
    <xf numFmtId="180" fontId="5" fillId="0" borderId="15" xfId="0" applyNumberFormat="1" applyFont="1" applyFill="1" applyBorder="1" applyAlignment="1">
      <alignment horizontal="center" vertical="center"/>
    </xf>
    <xf numFmtId="179" fontId="5" fillId="0" borderId="15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90" applyFont="1" applyBorder="1" applyAlignment="1">
      <alignment horizontal="center" vertical="center"/>
    </xf>
    <xf numFmtId="41" fontId="1" fillId="0" borderId="0" xfId="0" applyNumberFormat="1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41" fontId="32" fillId="0" borderId="0" xfId="66" applyFont="1">
      <alignment vertical="center"/>
    </xf>
    <xf numFmtId="0" fontId="8" fillId="0" borderId="0" xfId="90" applyFont="1" applyBorder="1" applyAlignment="1">
      <alignment horizontal="center" vertical="center"/>
    </xf>
    <xf numFmtId="188" fontId="0" fillId="0" borderId="15" xfId="0" applyNumberFormat="1" applyBorder="1" applyAlignment="1">
      <alignment horizontal="center" vertical="center"/>
    </xf>
    <xf numFmtId="43" fontId="0" fillId="0" borderId="0" xfId="0" applyNumberFormat="1">
      <alignment vertical="center"/>
    </xf>
    <xf numFmtId="190" fontId="0" fillId="0" borderId="0" xfId="0" applyNumberFormat="1" applyFill="1" applyBorder="1" applyAlignment="1">
      <alignment horizontal="center" vertical="center"/>
    </xf>
    <xf numFmtId="41" fontId="1" fillId="0" borderId="0" xfId="66" applyFill="1" applyBorder="1" applyAlignment="1">
      <alignment horizontal="center" vertical="center"/>
    </xf>
    <xf numFmtId="0" fontId="8" fillId="0" borderId="16" xfId="9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41" fontId="8" fillId="0" borderId="0" xfId="66" applyFont="1" applyBorder="1" applyAlignment="1">
      <alignment horizontal="left" vertical="center"/>
    </xf>
    <xf numFmtId="0" fontId="8" fillId="0" borderId="0" xfId="90" applyFont="1" applyBorder="1" applyAlignment="1">
      <alignment horizontal="right" vertical="center"/>
    </xf>
    <xf numFmtId="41" fontId="1" fillId="0" borderId="15" xfId="66" applyFill="1" applyBorder="1" applyAlignment="1">
      <alignment horizontal="centerContinuous" vertical="center"/>
    </xf>
    <xf numFmtId="0" fontId="5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191" fontId="39" fillId="0" borderId="15" xfId="91" applyNumberFormat="1" applyFont="1" applyFill="1" applyBorder="1" applyAlignment="1">
      <alignment horizontal="center" vertical="center" wrapText="1"/>
    </xf>
    <xf numFmtId="191" fontId="40" fillId="0" borderId="0" xfId="91" applyNumberFormat="1" applyFont="1" applyAlignment="1">
      <alignment vertical="center" wrapText="1"/>
    </xf>
    <xf numFmtId="41" fontId="41" fillId="0" borderId="17" xfId="91" applyNumberFormat="1" applyFont="1" applyFill="1" applyBorder="1" applyAlignment="1">
      <alignment horizontal="center" wrapText="1"/>
    </xf>
    <xf numFmtId="41" fontId="39" fillId="0" borderId="17" xfId="91" applyNumberFormat="1" applyFont="1" applyFill="1" applyBorder="1" applyAlignment="1">
      <alignment horizontal="center" wrapText="1"/>
    </xf>
    <xf numFmtId="191" fontId="39" fillId="0" borderId="17" xfId="91" applyNumberFormat="1" applyFont="1" applyFill="1" applyBorder="1" applyAlignment="1">
      <alignment horizontal="center" wrapText="1"/>
    </xf>
    <xf numFmtId="41" fontId="41" fillId="0" borderId="18" xfId="91" applyNumberFormat="1" applyFont="1" applyFill="1" applyBorder="1" applyAlignment="1">
      <alignment horizontal="center" vertical="top" wrapText="1"/>
    </xf>
    <xf numFmtId="41" fontId="39" fillId="0" borderId="18" xfId="91" applyNumberFormat="1" applyFont="1" applyFill="1" applyBorder="1" applyAlignment="1">
      <alignment horizontal="center" vertical="top" wrapText="1"/>
    </xf>
    <xf numFmtId="191" fontId="39" fillId="0" borderId="18" xfId="91" applyNumberFormat="1" applyFont="1" applyFill="1" applyBorder="1" applyAlignment="1">
      <alignment horizontal="center" vertical="top" wrapText="1"/>
    </xf>
    <xf numFmtId="41" fontId="39" fillId="0" borderId="15" xfId="91" applyNumberFormat="1" applyFont="1" applyFill="1" applyBorder="1" applyAlignment="1">
      <alignment horizontal="center" vertical="center" wrapText="1"/>
    </xf>
    <xf numFmtId="41" fontId="41" fillId="0" borderId="15" xfId="91" applyNumberFormat="1" applyFont="1" applyFill="1" applyBorder="1" applyAlignment="1">
      <alignment horizontal="center" vertical="center" wrapText="1"/>
    </xf>
    <xf numFmtId="191" fontId="42" fillId="24" borderId="15" xfId="91" applyNumberFormat="1" applyFont="1" applyFill="1" applyBorder="1" applyAlignment="1">
      <alignment horizontal="center" vertical="center" wrapText="1"/>
    </xf>
    <xf numFmtId="193" fontId="42" fillId="24" borderId="15" xfId="91" applyNumberFormat="1" applyFont="1" applyFill="1" applyBorder="1" applyAlignment="1">
      <alignment vertical="center" wrapText="1"/>
    </xf>
    <xf numFmtId="193" fontId="41" fillId="24" borderId="15" xfId="91" applyNumberFormat="1" applyFont="1" applyFill="1" applyBorder="1" applyAlignment="1">
      <alignment vertical="center" wrapText="1"/>
    </xf>
    <xf numFmtId="191" fontId="43" fillId="0" borderId="0" xfId="91" applyNumberFormat="1" applyFont="1" applyAlignment="1">
      <alignment vertical="center" wrapText="1"/>
    </xf>
    <xf numFmtId="191" fontId="39" fillId="0" borderId="15" xfId="91" applyNumberFormat="1" applyFont="1" applyBorder="1" applyAlignment="1">
      <alignment horizontal="center" vertical="center" wrapText="1"/>
    </xf>
    <xf numFmtId="177" fontId="39" fillId="0" borderId="15" xfId="91" applyNumberFormat="1" applyFont="1" applyBorder="1" applyAlignment="1">
      <alignment horizontal="center" vertical="center" wrapText="1"/>
    </xf>
    <xf numFmtId="193" fontId="39" fillId="0" borderId="15" xfId="91" applyNumberFormat="1" applyFont="1" applyBorder="1" applyAlignment="1">
      <alignment vertical="center" wrapText="1"/>
    </xf>
    <xf numFmtId="193" fontId="41" fillId="0" borderId="15" xfId="91" applyNumberFormat="1" applyFont="1" applyBorder="1" applyAlignment="1">
      <alignment vertical="center" wrapText="1"/>
    </xf>
    <xf numFmtId="191" fontId="42" fillId="0" borderId="15" xfId="91" applyNumberFormat="1" applyFont="1" applyBorder="1" applyAlignment="1">
      <alignment horizontal="center" vertical="center" wrapText="1"/>
    </xf>
    <xf numFmtId="177" fontId="42" fillId="0" borderId="15" xfId="91" applyNumberFormat="1" applyFont="1" applyBorder="1" applyAlignment="1">
      <alignment horizontal="center" vertical="center" wrapText="1"/>
    </xf>
    <xf numFmtId="193" fontId="42" fillId="0" borderId="15" xfId="91" applyNumberFormat="1" applyFont="1" applyBorder="1" applyAlignment="1">
      <alignment vertical="center" wrapText="1"/>
    </xf>
    <xf numFmtId="193" fontId="44" fillId="0" borderId="15" xfId="91" applyNumberFormat="1" applyFont="1" applyBorder="1" applyAlignment="1">
      <alignment vertical="center" wrapText="1"/>
    </xf>
    <xf numFmtId="193" fontId="42" fillId="0" borderId="15" xfId="91" applyNumberFormat="1" applyFont="1" applyFill="1" applyBorder="1" applyAlignment="1">
      <alignment vertical="center" wrapText="1"/>
    </xf>
    <xf numFmtId="193" fontId="39" fillId="0" borderId="15" xfId="91" applyNumberFormat="1" applyFont="1" applyFill="1" applyBorder="1" applyAlignment="1">
      <alignment vertical="center" wrapText="1"/>
    </xf>
    <xf numFmtId="192" fontId="40" fillId="0" borderId="0" xfId="91" applyNumberFormat="1" applyFont="1" applyAlignment="1">
      <alignment vertical="center" wrapText="1"/>
    </xf>
    <xf numFmtId="41" fontId="40" fillId="0" borderId="0" xfId="91" applyNumberFormat="1" applyFont="1" applyAlignment="1">
      <alignment vertical="center" wrapText="1"/>
    </xf>
    <xf numFmtId="191" fontId="40" fillId="0" borderId="0" xfId="91" applyNumberFormat="1" applyFont="1" applyAlignment="1">
      <alignment horizontal="center" vertical="center" wrapText="1"/>
    </xf>
    <xf numFmtId="0" fontId="1" fillId="0" borderId="0" xfId="91"/>
    <xf numFmtId="0" fontId="0" fillId="0" borderId="15" xfId="0" applyBorder="1" applyAlignment="1">
      <alignment horizontal="center" vertical="center"/>
    </xf>
    <xf numFmtId="41" fontId="58" fillId="0" borderId="0" xfId="66" applyFont="1" applyFill="1">
      <alignment vertical="center"/>
    </xf>
    <xf numFmtId="41" fontId="59" fillId="0" borderId="19" xfId="66" applyFont="1" applyFill="1" applyBorder="1" applyAlignment="1" applyProtection="1">
      <alignment horizontal="center" vertical="center" wrapText="1"/>
    </xf>
    <xf numFmtId="41" fontId="59" fillId="0" borderId="19" xfId="66" applyFont="1" applyFill="1" applyBorder="1" applyAlignment="1" applyProtection="1">
      <alignment horizontal="left" vertical="top"/>
    </xf>
    <xf numFmtId="41" fontId="59" fillId="0" borderId="19" xfId="66" applyFont="1" applyFill="1" applyBorder="1" applyAlignment="1" applyProtection="1">
      <alignment horizontal="right" vertical="top"/>
    </xf>
    <xf numFmtId="41" fontId="59" fillId="27" borderId="19" xfId="66" applyFont="1" applyFill="1" applyBorder="1" applyAlignment="1" applyProtection="1">
      <alignment horizontal="left" vertical="top"/>
    </xf>
    <xf numFmtId="41" fontId="59" fillId="27" borderId="19" xfId="66" applyFont="1" applyFill="1" applyBorder="1" applyAlignment="1" applyProtection="1">
      <alignment horizontal="right" vertical="top"/>
    </xf>
    <xf numFmtId="0" fontId="0" fillId="0" borderId="0" xfId="9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41" fontId="1" fillId="0" borderId="0" xfId="66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 wrapText="1"/>
    </xf>
    <xf numFmtId="41" fontId="46" fillId="0" borderId="0" xfId="66" applyFont="1" applyBorder="1" applyAlignment="1">
      <alignment horizontal="right" vertical="center" wrapText="1"/>
    </xf>
    <xf numFmtId="0" fontId="3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1" fontId="7" fillId="28" borderId="15" xfId="66" applyFont="1" applyFill="1" applyBorder="1" applyAlignment="1">
      <alignment horizontal="center" vertical="center"/>
    </xf>
    <xf numFmtId="41" fontId="7" fillId="0" borderId="15" xfId="66" applyFont="1" applyFill="1" applyBorder="1" applyAlignment="1">
      <alignment horizontal="center" vertical="center"/>
    </xf>
    <xf numFmtId="0" fontId="50" fillId="28" borderId="15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41" fontId="47" fillId="0" borderId="15" xfId="66" applyFont="1" applyBorder="1" applyAlignment="1">
      <alignment horizontal="right" vertical="center" wrapText="1"/>
    </xf>
    <xf numFmtId="0" fontId="50" fillId="25" borderId="15" xfId="0" applyFont="1" applyFill="1" applyBorder="1" applyAlignment="1">
      <alignment horizontal="center" vertical="center" wrapText="1"/>
    </xf>
    <xf numFmtId="0" fontId="47" fillId="25" borderId="15" xfId="0" applyFont="1" applyFill="1" applyBorder="1" applyAlignment="1">
      <alignment horizontal="right" vertical="center" wrapText="1"/>
    </xf>
    <xf numFmtId="188" fontId="7" fillId="0" borderId="15" xfId="0" applyNumberFormat="1" applyFont="1" applyBorder="1" applyAlignment="1">
      <alignment horizontal="center" vertical="center"/>
    </xf>
    <xf numFmtId="0" fontId="32" fillId="0" borderId="0" xfId="0" applyFont="1" applyFill="1" applyAlignment="1"/>
    <xf numFmtId="0" fontId="7" fillId="0" borderId="0" xfId="0" applyFont="1" applyFill="1" applyAlignment="1"/>
    <xf numFmtId="0" fontId="1" fillId="0" borderId="0" xfId="87" applyFont="1"/>
    <xf numFmtId="0" fontId="48" fillId="0" borderId="0" xfId="93" applyFont="1" applyBorder="1" applyAlignment="1">
      <alignment horizontal="left" vertical="center"/>
    </xf>
    <xf numFmtId="0" fontId="3" fillId="0" borderId="0" xfId="87" applyFont="1"/>
    <xf numFmtId="0" fontId="3" fillId="0" borderId="0" xfId="0" applyFont="1">
      <alignment vertical="center"/>
    </xf>
    <xf numFmtId="0" fontId="3" fillId="0" borderId="0" xfId="93" applyFont="1" applyBorder="1" applyAlignment="1">
      <alignment horizontal="center" vertical="center"/>
    </xf>
    <xf numFmtId="177" fontId="3" fillId="0" borderId="0" xfId="69" applyNumberFormat="1" applyFont="1" applyBorder="1" applyAlignment="1">
      <alignment horizontal="center" vertical="center" shrinkToFit="1"/>
    </xf>
    <xf numFmtId="0" fontId="3" fillId="0" borderId="0" xfId="93" applyFont="1" applyAlignment="1">
      <alignment vertical="center"/>
    </xf>
    <xf numFmtId="0" fontId="3" fillId="0" borderId="0" xfId="93" applyFont="1" applyBorder="1" applyAlignment="1">
      <alignment vertical="center"/>
    </xf>
    <xf numFmtId="41" fontId="3" fillId="0" borderId="0" xfId="69" applyNumberFormat="1" applyFont="1" applyBorder="1" applyAlignment="1">
      <alignment horizontal="center" vertical="center"/>
    </xf>
    <xf numFmtId="49" fontId="3" fillId="0" borderId="0" xfId="93" quotePrefix="1" applyNumberFormat="1" applyFont="1" applyBorder="1" applyAlignment="1">
      <alignment horizontal="center" vertical="center"/>
    </xf>
    <xf numFmtId="0" fontId="3" fillId="0" borderId="0" xfId="87" applyFont="1" applyAlignment="1">
      <alignment horizontal="center" vertical="center"/>
    </xf>
    <xf numFmtId="0" fontId="48" fillId="0" borderId="0" xfId="87" applyFont="1" applyAlignment="1">
      <alignment horizontal="center" vertical="center"/>
    </xf>
    <xf numFmtId="0" fontId="3" fillId="0" borderId="0" xfId="93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2" fillId="0" borderId="21" xfId="90" applyFont="1" applyBorder="1" applyAlignment="1">
      <alignment vertical="center"/>
    </xf>
    <xf numFmtId="0" fontId="32" fillId="0" borderId="0" xfId="0" applyFont="1" applyBorder="1">
      <alignment vertical="center"/>
    </xf>
    <xf numFmtId="0" fontId="53" fillId="0" borderId="0" xfId="90" applyFont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/>
    </xf>
    <xf numFmtId="3" fontId="3" fillId="0" borderId="23" xfId="66" applyNumberFormat="1" applyFont="1" applyFill="1" applyBorder="1" applyAlignment="1">
      <alignment horizontal="center" vertical="center"/>
    </xf>
    <xf numFmtId="189" fontId="48" fillId="24" borderId="24" xfId="66" applyNumberFormat="1" applyFont="1" applyFill="1" applyBorder="1" applyAlignment="1">
      <alignment horizontal="center" vertical="center"/>
    </xf>
    <xf numFmtId="0" fontId="48" fillId="0" borderId="25" xfId="0" applyFont="1" applyFill="1" applyBorder="1" applyAlignment="1">
      <alignment horizontal="center" vertical="center"/>
    </xf>
    <xf numFmtId="3" fontId="49" fillId="0" borderId="2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54" fillId="0" borderId="15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3" fontId="54" fillId="0" borderId="15" xfId="0" applyNumberFormat="1" applyFont="1" applyFill="1" applyBorder="1" applyAlignment="1">
      <alignment horizontal="center" vertical="center" wrapText="1"/>
    </xf>
    <xf numFmtId="41" fontId="48" fillId="0" borderId="15" xfId="66" applyFont="1" applyFill="1" applyBorder="1" applyAlignment="1">
      <alignment horizontal="center" vertical="center"/>
    </xf>
    <xf numFmtId="41" fontId="3" fillId="0" borderId="15" xfId="66" applyFont="1" applyFill="1" applyBorder="1" applyAlignment="1">
      <alignment horizontal="right" vertical="center"/>
    </xf>
    <xf numFmtId="41" fontId="48" fillId="0" borderId="15" xfId="66" applyFont="1" applyFill="1" applyBorder="1" applyAlignment="1">
      <alignment horizontal="right" vertical="center"/>
    </xf>
    <xf numFmtId="0" fontId="0" fillId="0" borderId="27" xfId="0" applyBorder="1">
      <alignment vertical="center"/>
    </xf>
    <xf numFmtId="4" fontId="49" fillId="0" borderId="23" xfId="0" applyNumberFormat="1" applyFont="1" applyFill="1" applyBorder="1" applyAlignment="1">
      <alignment horizontal="center" vertical="center"/>
    </xf>
    <xf numFmtId="3" fontId="48" fillId="0" borderId="23" xfId="66" applyNumberFormat="1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41" fontId="3" fillId="0" borderId="24" xfId="66" applyFont="1" applyFill="1" applyBorder="1" applyAlignment="1">
      <alignment horizontal="right" vertical="center"/>
    </xf>
    <xf numFmtId="3" fontId="3" fillId="0" borderId="29" xfId="66" applyNumberFormat="1" applyFont="1" applyFill="1" applyBorder="1" applyAlignment="1">
      <alignment horizontal="center" vertical="center"/>
    </xf>
    <xf numFmtId="41" fontId="48" fillId="0" borderId="18" xfId="66" applyFont="1" applyFill="1" applyBorder="1" applyAlignment="1">
      <alignment horizontal="center" vertical="center"/>
    </xf>
    <xf numFmtId="4" fontId="49" fillId="0" borderId="30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93" applyFont="1" applyBorder="1" applyAlignment="1">
      <alignment horizontal="center" vertical="center"/>
    </xf>
    <xf numFmtId="0" fontId="3" fillId="0" borderId="33" xfId="93" applyFont="1" applyBorder="1" applyAlignment="1">
      <alignment horizontal="center" vertical="center"/>
    </xf>
    <xf numFmtId="0" fontId="3" fillId="0" borderId="34" xfId="93" applyFont="1" applyBorder="1" applyAlignment="1">
      <alignment horizontal="center" vertical="center"/>
    </xf>
    <xf numFmtId="0" fontId="3" fillId="0" borderId="35" xfId="93" applyFont="1" applyBorder="1" applyAlignment="1">
      <alignment horizontal="center" vertical="center"/>
    </xf>
    <xf numFmtId="177" fontId="3" fillId="0" borderId="23" xfId="69" applyNumberFormat="1" applyFont="1" applyBorder="1" applyAlignment="1">
      <alignment horizontal="center" vertical="center" shrinkToFit="1"/>
    </xf>
    <xf numFmtId="200" fontId="3" fillId="0" borderId="23" xfId="69" applyNumberFormat="1" applyFont="1" applyBorder="1" applyAlignment="1">
      <alignment horizontal="center" vertical="center" shrinkToFit="1"/>
    </xf>
    <xf numFmtId="9" fontId="3" fillId="0" borderId="23" xfId="60" applyFont="1" applyBorder="1" applyAlignment="1">
      <alignment horizontal="center" vertical="center" shrinkToFit="1"/>
    </xf>
    <xf numFmtId="9" fontId="3" fillId="0" borderId="29" xfId="60" applyFont="1" applyBorder="1" applyAlignment="1">
      <alignment horizontal="center" vertical="center" shrinkToFit="1"/>
    </xf>
    <xf numFmtId="177" fontId="3" fillId="0" borderId="30" xfId="69" applyNumberFormat="1" applyFont="1" applyBorder="1" applyAlignment="1">
      <alignment horizontal="center" vertical="center" shrinkToFit="1"/>
    </xf>
    <xf numFmtId="177" fontId="3" fillId="0" borderId="36" xfId="69" applyNumberFormat="1" applyFont="1" applyBorder="1" applyAlignment="1">
      <alignment horizontal="center" vertical="center" shrinkToFit="1"/>
    </xf>
    <xf numFmtId="49" fontId="3" fillId="0" borderId="0" xfId="93" quotePrefix="1" applyNumberFormat="1" applyFont="1" applyFill="1" applyBorder="1" applyAlignment="1">
      <alignment horizontal="center" vertical="center"/>
    </xf>
    <xf numFmtId="0" fontId="3" fillId="0" borderId="35" xfId="93" applyFont="1" applyFill="1" applyBorder="1" applyAlignment="1">
      <alignment horizontal="center" vertical="center"/>
    </xf>
    <xf numFmtId="0" fontId="3" fillId="0" borderId="37" xfId="93" applyFont="1" applyBorder="1" applyAlignment="1">
      <alignment horizontal="center" vertical="center"/>
    </xf>
    <xf numFmtId="49" fontId="3" fillId="0" borderId="24" xfId="93" quotePrefix="1" applyNumberFormat="1" applyFont="1" applyBorder="1" applyAlignment="1">
      <alignment horizontal="center" vertical="center"/>
    </xf>
    <xf numFmtId="49" fontId="3" fillId="0" borderId="24" xfId="93" quotePrefix="1" applyNumberFormat="1" applyFont="1" applyFill="1" applyBorder="1" applyAlignment="1">
      <alignment horizontal="center" vertical="center"/>
    </xf>
    <xf numFmtId="49" fontId="3" fillId="0" borderId="29" xfId="93" quotePrefix="1" applyNumberFormat="1" applyFont="1" applyBorder="1" applyAlignment="1">
      <alignment horizontal="center" vertical="center"/>
    </xf>
    <xf numFmtId="0" fontId="3" fillId="0" borderId="0" xfId="93" applyFont="1" applyAlignment="1">
      <alignment vertical="top"/>
    </xf>
    <xf numFmtId="0" fontId="48" fillId="0" borderId="33" xfId="93" applyFont="1" applyBorder="1" applyAlignment="1">
      <alignment horizontal="center" vertical="center"/>
    </xf>
    <xf numFmtId="3" fontId="54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1" fontId="3" fillId="0" borderId="0" xfId="66" applyFont="1" applyFill="1" applyBorder="1" applyAlignment="1">
      <alignment horizontal="right" vertical="center"/>
    </xf>
    <xf numFmtId="3" fontId="3" fillId="0" borderId="0" xfId="66" applyNumberFormat="1" applyFont="1" applyFill="1" applyBorder="1" applyAlignment="1">
      <alignment horizontal="center" vertical="center"/>
    </xf>
    <xf numFmtId="41" fontId="3" fillId="0" borderId="15" xfId="66" applyNumberFormat="1" applyFont="1" applyFill="1" applyBorder="1" applyAlignment="1">
      <alignment horizontal="right" vertical="center"/>
    </xf>
    <xf numFmtId="189" fontId="48" fillId="24" borderId="0" xfId="66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41" fontId="48" fillId="0" borderId="0" xfId="66" applyFont="1" applyFill="1" applyBorder="1" applyAlignment="1">
      <alignment horizontal="center" vertical="center"/>
    </xf>
    <xf numFmtId="4" fontId="49" fillId="0" borderId="0" xfId="0" applyNumberFormat="1" applyFont="1" applyFill="1" applyBorder="1" applyAlignment="1">
      <alignment horizontal="center" vertical="center"/>
    </xf>
    <xf numFmtId="3" fontId="54" fillId="0" borderId="0" xfId="0" applyNumberFormat="1" applyFont="1" applyFill="1" applyBorder="1" applyAlignment="1">
      <alignment horizontal="center" vertical="center"/>
    </xf>
    <xf numFmtId="41" fontId="3" fillId="0" borderId="0" xfId="66" applyNumberFormat="1" applyFont="1" applyFill="1" applyBorder="1" applyAlignment="1">
      <alignment horizontal="right" vertical="center"/>
    </xf>
    <xf numFmtId="3" fontId="54" fillId="0" borderId="0" xfId="0" applyNumberFormat="1" applyFont="1" applyFill="1" applyBorder="1" applyAlignment="1">
      <alignment horizontal="center" vertical="center" wrapText="1"/>
    </xf>
    <xf numFmtId="3" fontId="49" fillId="0" borderId="0" xfId="0" applyNumberFormat="1" applyFont="1" applyFill="1" applyBorder="1" applyAlignment="1">
      <alignment horizontal="center" vertical="center"/>
    </xf>
    <xf numFmtId="41" fontId="48" fillId="0" borderId="0" xfId="66" applyFont="1" applyFill="1" applyBorder="1" applyAlignment="1">
      <alignment horizontal="right" vertical="center"/>
    </xf>
    <xf numFmtId="3" fontId="48" fillId="0" borderId="0" xfId="6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41" fontId="48" fillId="0" borderId="18" xfId="66" applyNumberFormat="1" applyFont="1" applyFill="1" applyBorder="1" applyAlignment="1">
      <alignment horizontal="center" vertical="center"/>
    </xf>
    <xf numFmtId="41" fontId="48" fillId="0" borderId="15" xfId="66" applyNumberFormat="1" applyFont="1" applyFill="1" applyBorder="1" applyAlignment="1">
      <alignment horizontal="center" vertical="center"/>
    </xf>
    <xf numFmtId="41" fontId="48" fillId="0" borderId="15" xfId="66" applyNumberFormat="1" applyFont="1" applyFill="1" applyBorder="1" applyAlignment="1">
      <alignment horizontal="right" vertical="center"/>
    </xf>
    <xf numFmtId="0" fontId="57" fillId="0" borderId="0" xfId="89">
      <alignment vertical="center"/>
    </xf>
    <xf numFmtId="0" fontId="57" fillId="0" borderId="0" xfId="89" quotePrefix="1">
      <alignment vertical="center"/>
    </xf>
    <xf numFmtId="0" fontId="57" fillId="0" borderId="0" xfId="89" quotePrefix="1" applyBorder="1">
      <alignment vertical="center"/>
    </xf>
    <xf numFmtId="0" fontId="57" fillId="0" borderId="0" xfId="89" applyBorder="1">
      <alignment vertical="center"/>
    </xf>
    <xf numFmtId="0" fontId="57" fillId="24" borderId="15" xfId="89" applyFill="1" applyBorder="1">
      <alignment vertical="center"/>
    </xf>
    <xf numFmtId="191" fontId="56" fillId="0" borderId="20" xfId="0" applyNumberFormat="1" applyFont="1" applyBorder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90" applyFont="1" applyBorder="1" applyAlignment="1">
      <alignment horizontal="left" vertical="center"/>
    </xf>
    <xf numFmtId="0" fontId="7" fillId="0" borderId="0" xfId="93" applyFont="1" applyBorder="1" applyAlignment="1">
      <alignment horizontal="left" vertical="center"/>
    </xf>
    <xf numFmtId="0" fontId="52" fillId="0" borderId="0" xfId="90" applyFont="1" applyBorder="1" applyAlignment="1">
      <alignment horizontal="left" vertical="center"/>
    </xf>
    <xf numFmtId="0" fontId="7" fillId="0" borderId="0" xfId="87" applyFont="1" applyAlignment="1">
      <alignment vertical="center"/>
    </xf>
    <xf numFmtId="0" fontId="7" fillId="0" borderId="21" xfId="90" applyFont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3" fontId="49" fillId="0" borderId="17" xfId="0" applyNumberFormat="1" applyFont="1" applyFill="1" applyBorder="1" applyAlignment="1">
      <alignment horizontal="center" vertical="center"/>
    </xf>
    <xf numFmtId="3" fontId="49" fillId="0" borderId="15" xfId="0" applyNumberFormat="1" applyFont="1" applyFill="1" applyBorder="1" applyAlignment="1">
      <alignment horizontal="center" vertical="center"/>
    </xf>
    <xf numFmtId="4" fontId="49" fillId="24" borderId="48" xfId="0" applyNumberFormat="1" applyFont="1" applyFill="1" applyBorder="1" applyAlignment="1">
      <alignment horizontal="center" vertical="center"/>
    </xf>
    <xf numFmtId="4" fontId="49" fillId="24" borderId="49" xfId="0" applyNumberFormat="1" applyFont="1" applyFill="1" applyBorder="1" applyAlignment="1">
      <alignment horizontal="center" vertical="center"/>
    </xf>
    <xf numFmtId="0" fontId="48" fillId="24" borderId="50" xfId="0" applyFont="1" applyFill="1" applyBorder="1" applyAlignment="1">
      <alignment horizontal="center" vertical="center"/>
    </xf>
    <xf numFmtId="0" fontId="48" fillId="24" borderId="51" xfId="0" applyFont="1" applyFill="1" applyBorder="1" applyAlignment="1">
      <alignment horizontal="center" vertical="center"/>
    </xf>
    <xf numFmtId="0" fontId="48" fillId="24" borderId="52" xfId="0" applyFont="1" applyFill="1" applyBorder="1" applyAlignment="1">
      <alignment horizontal="center" vertical="center"/>
    </xf>
    <xf numFmtId="0" fontId="48" fillId="24" borderId="53" xfId="0" applyFont="1" applyFill="1" applyBorder="1" applyAlignment="1">
      <alignment horizontal="center" vertical="center"/>
    </xf>
    <xf numFmtId="0" fontId="48" fillId="24" borderId="21" xfId="0" applyFont="1" applyFill="1" applyBorder="1" applyAlignment="1">
      <alignment horizontal="center" vertical="center"/>
    </xf>
    <xf numFmtId="0" fontId="48" fillId="24" borderId="54" xfId="0" applyFont="1" applyFill="1" applyBorder="1" applyAlignment="1">
      <alignment horizontal="center" vertical="center"/>
    </xf>
    <xf numFmtId="0" fontId="48" fillId="24" borderId="55" xfId="0" applyFont="1" applyFill="1" applyBorder="1" applyAlignment="1">
      <alignment horizontal="center" vertical="center"/>
    </xf>
    <xf numFmtId="0" fontId="48" fillId="24" borderId="45" xfId="0" applyFont="1" applyFill="1" applyBorder="1" applyAlignment="1">
      <alignment horizontal="center" vertical="center"/>
    </xf>
    <xf numFmtId="0" fontId="48" fillId="24" borderId="4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3" fontId="49" fillId="0" borderId="0" xfId="0" applyNumberFormat="1" applyFont="1" applyFill="1" applyBorder="1" applyAlignment="1">
      <alignment horizontal="center" vertical="center"/>
    </xf>
    <xf numFmtId="0" fontId="48" fillId="24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44" xfId="0" applyFont="1" applyFill="1" applyBorder="1" applyAlignment="1">
      <alignment horizontal="center" vertical="center"/>
    </xf>
    <xf numFmtId="0" fontId="48" fillId="0" borderId="45" xfId="0" applyFont="1" applyFill="1" applyBorder="1" applyAlignment="1">
      <alignment horizontal="center" vertical="center"/>
    </xf>
    <xf numFmtId="0" fontId="48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" fontId="49" fillId="24" borderId="0" xfId="0" applyNumberFormat="1" applyFont="1" applyFill="1" applyBorder="1" applyAlignment="1">
      <alignment horizontal="center" vertical="center"/>
    </xf>
    <xf numFmtId="4" fontId="49" fillId="24" borderId="37" xfId="0" applyNumberFormat="1" applyFont="1" applyFill="1" applyBorder="1" applyAlignment="1">
      <alignment horizontal="center" vertical="center"/>
    </xf>
    <xf numFmtId="4" fontId="49" fillId="24" borderId="29" xfId="0" applyNumberFormat="1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center" vertical="center"/>
    </xf>
    <xf numFmtId="0" fontId="48" fillId="0" borderId="16" xfId="0" applyFont="1" applyFill="1" applyBorder="1" applyAlignment="1">
      <alignment horizontal="center" vertical="center"/>
    </xf>
    <xf numFmtId="0" fontId="48" fillId="0" borderId="42" xfId="0" applyFont="1" applyFill="1" applyBorder="1" applyAlignment="1">
      <alignment horizontal="center" vertical="center"/>
    </xf>
    <xf numFmtId="0" fontId="48" fillId="24" borderId="39" xfId="0" applyFont="1" applyFill="1" applyBorder="1" applyAlignment="1">
      <alignment horizontal="center" vertical="center"/>
    </xf>
    <xf numFmtId="0" fontId="48" fillId="24" borderId="35" xfId="0" applyFont="1" applyFill="1" applyBorder="1" applyAlignment="1">
      <alignment horizontal="center" vertical="center"/>
    </xf>
    <xf numFmtId="0" fontId="48" fillId="24" borderId="40" xfId="0" applyFont="1" applyFill="1" applyBorder="1" applyAlignment="1">
      <alignment horizontal="center" vertical="center"/>
    </xf>
    <xf numFmtId="0" fontId="48" fillId="24" borderId="24" xfId="0" applyFont="1" applyFill="1" applyBorder="1" applyAlignment="1">
      <alignment horizontal="center" vertical="center"/>
    </xf>
    <xf numFmtId="0" fontId="3" fillId="0" borderId="43" xfId="93" applyFont="1" applyBorder="1" applyAlignment="1">
      <alignment horizontal="center" vertical="center"/>
    </xf>
    <xf numFmtId="0" fontId="3" fillId="0" borderId="15" xfId="93" applyFont="1" applyBorder="1" applyAlignment="1">
      <alignment horizontal="center" vertical="center"/>
    </xf>
    <xf numFmtId="41" fontId="3" fillId="0" borderId="15" xfId="66" applyFont="1" applyBorder="1" applyAlignment="1">
      <alignment vertical="center"/>
    </xf>
    <xf numFmtId="177" fontId="3" fillId="0" borderId="15" xfId="69" applyNumberFormat="1" applyFont="1" applyBorder="1" applyAlignment="1">
      <alignment horizontal="center" vertical="center" shrinkToFit="1"/>
    </xf>
    <xf numFmtId="0" fontId="32" fillId="0" borderId="0" xfId="92" applyFont="1" applyBorder="1" applyAlignment="1">
      <alignment horizontal="left" vertical="center"/>
    </xf>
    <xf numFmtId="0" fontId="3" fillId="0" borderId="33" xfId="93" applyFont="1" applyBorder="1" applyAlignment="1">
      <alignment horizontal="center" vertical="center"/>
    </xf>
    <xf numFmtId="0" fontId="3" fillId="0" borderId="20" xfId="93" applyFont="1" applyBorder="1" applyAlignment="1">
      <alignment horizontal="center" vertical="center"/>
    </xf>
    <xf numFmtId="177" fontId="3" fillId="0" borderId="20" xfId="69" applyNumberFormat="1" applyFont="1" applyBorder="1" applyAlignment="1">
      <alignment horizontal="center" vertical="center" shrinkToFit="1"/>
    </xf>
    <xf numFmtId="0" fontId="3" fillId="0" borderId="32" xfId="93" applyFont="1" applyBorder="1" applyAlignment="1">
      <alignment horizontal="center" vertical="center"/>
    </xf>
    <xf numFmtId="0" fontId="3" fillId="0" borderId="18" xfId="93" applyFont="1" applyBorder="1" applyAlignment="1">
      <alignment horizontal="center" vertical="center"/>
    </xf>
    <xf numFmtId="41" fontId="3" fillId="0" borderId="18" xfId="66" applyFont="1" applyBorder="1" applyAlignment="1">
      <alignment vertical="center"/>
    </xf>
    <xf numFmtId="177" fontId="3" fillId="0" borderId="18" xfId="69" applyNumberFormat="1" applyFont="1" applyBorder="1" applyAlignment="1">
      <alignment horizontal="center" vertical="center" shrinkToFit="1"/>
    </xf>
    <xf numFmtId="0" fontId="3" fillId="0" borderId="40" xfId="93" applyFont="1" applyBorder="1" applyAlignment="1">
      <alignment horizontal="center" vertical="center"/>
    </xf>
    <xf numFmtId="0" fontId="3" fillId="0" borderId="24" xfId="93" applyFont="1" applyBorder="1" applyAlignment="1">
      <alignment horizontal="center" vertical="center"/>
    </xf>
    <xf numFmtId="41" fontId="3" fillId="0" borderId="24" xfId="66" applyFont="1" applyBorder="1" applyAlignment="1">
      <alignment vertical="center"/>
    </xf>
    <xf numFmtId="177" fontId="3" fillId="0" borderId="24" xfId="69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9" xfId="93" applyFont="1" applyBorder="1" applyAlignment="1">
      <alignment horizontal="center" vertical="center"/>
    </xf>
    <xf numFmtId="0" fontId="3" fillId="0" borderId="35" xfId="93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4" xfId="93" applyFont="1" applyBorder="1" applyAlignment="1">
      <alignment horizontal="center" vertical="center"/>
    </xf>
    <xf numFmtId="0" fontId="3" fillId="0" borderId="17" xfId="93" applyFont="1" applyBorder="1" applyAlignment="1">
      <alignment horizontal="center" vertical="center"/>
    </xf>
    <xf numFmtId="0" fontId="48" fillId="0" borderId="57" xfId="93" applyFont="1" applyBorder="1" applyAlignment="1">
      <alignment horizontal="center" vertical="center"/>
    </xf>
    <xf numFmtId="0" fontId="48" fillId="0" borderId="58" xfId="93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1" fontId="3" fillId="0" borderId="17" xfId="66" applyFont="1" applyBorder="1" applyAlignment="1">
      <alignment horizontal="center" vertical="center"/>
    </xf>
    <xf numFmtId="41" fontId="3" fillId="0" borderId="17" xfId="66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1" fontId="48" fillId="0" borderId="20" xfId="66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41" fontId="3" fillId="0" borderId="18" xfId="66" applyFont="1" applyBorder="1" applyAlignment="1">
      <alignment horizontal="center" vertical="center"/>
    </xf>
    <xf numFmtId="41" fontId="3" fillId="0" borderId="18" xfId="66" applyNumberFormat="1" applyFont="1" applyBorder="1" applyAlignment="1">
      <alignment horizontal="center" vertical="center"/>
    </xf>
    <xf numFmtId="199" fontId="5" fillId="0" borderId="18" xfId="66" applyNumberFormat="1" applyFont="1" applyBorder="1" applyAlignment="1">
      <alignment horizontal="center" vertical="center"/>
    </xf>
    <xf numFmtId="199" fontId="5" fillId="0" borderId="17" xfId="66" applyNumberFormat="1" applyFont="1" applyBorder="1" applyAlignment="1">
      <alignment horizontal="center" vertical="center"/>
    </xf>
    <xf numFmtId="199" fontId="3" fillId="0" borderId="15" xfId="66" applyNumberFormat="1" applyFont="1" applyBorder="1" applyAlignment="1">
      <alignment vertical="center"/>
    </xf>
    <xf numFmtId="0" fontId="3" fillId="0" borderId="15" xfId="93" applyNumberFormat="1" applyFont="1" applyBorder="1" applyAlignment="1">
      <alignment vertical="center"/>
    </xf>
    <xf numFmtId="41" fontId="3" fillId="0" borderId="24" xfId="93" applyNumberFormat="1" applyFont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1" fontId="3" fillId="0" borderId="59" xfId="0" applyNumberFormat="1" applyFont="1" applyBorder="1">
      <alignment vertical="center"/>
    </xf>
    <xf numFmtId="41" fontId="3" fillId="0" borderId="25" xfId="0" applyNumberFormat="1" applyFont="1" applyBorder="1">
      <alignment vertical="center"/>
    </xf>
    <xf numFmtId="0" fontId="3" fillId="0" borderId="15" xfId="90" applyFont="1" applyBorder="1" applyAlignment="1">
      <alignment horizontal="center" vertical="center"/>
    </xf>
    <xf numFmtId="0" fontId="48" fillId="0" borderId="33" xfId="90" applyFont="1" applyBorder="1" applyAlignment="1">
      <alignment horizontal="center" vertical="center"/>
    </xf>
    <xf numFmtId="0" fontId="48" fillId="0" borderId="20" xfId="90" applyFont="1" applyBorder="1" applyAlignment="1">
      <alignment horizontal="center" vertical="center"/>
    </xf>
    <xf numFmtId="0" fontId="3" fillId="0" borderId="18" xfId="90" applyFont="1" applyBorder="1" applyAlignment="1">
      <alignment horizontal="center" vertical="center"/>
    </xf>
    <xf numFmtId="0" fontId="3" fillId="0" borderId="32" xfId="90" applyFont="1" applyBorder="1" applyAlignment="1">
      <alignment horizontal="center" vertical="center" wrapText="1"/>
    </xf>
    <xf numFmtId="0" fontId="3" fillId="0" borderId="43" xfId="9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41" fontId="3" fillId="0" borderId="15" xfId="0" applyNumberFormat="1" applyFont="1" applyBorder="1">
      <alignment vertical="center"/>
    </xf>
    <xf numFmtId="41" fontId="48" fillId="0" borderId="15" xfId="0" applyNumberFormat="1" applyFont="1" applyBorder="1">
      <alignment vertical="center"/>
    </xf>
    <xf numFmtId="41" fontId="48" fillId="0" borderId="24" xfId="0" applyNumberFormat="1" applyFont="1" applyBorder="1">
      <alignment vertical="center"/>
    </xf>
    <xf numFmtId="41" fontId="3" fillId="0" borderId="24" xfId="0" applyNumberFormat="1" applyFont="1" applyBorder="1">
      <alignment vertical="center"/>
    </xf>
    <xf numFmtId="0" fontId="48" fillId="0" borderId="39" xfId="0" applyFont="1" applyFill="1" applyBorder="1" applyAlignment="1">
      <alignment horizontal="center" vertical="center" wrapText="1"/>
    </xf>
    <xf numFmtId="0" fontId="48" fillId="0" borderId="35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40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15" xfId="90" applyFont="1" applyBorder="1" applyAlignment="1">
      <alignment horizontal="center" vertical="center"/>
    </xf>
    <xf numFmtId="0" fontId="48" fillId="0" borderId="24" xfId="90" applyFont="1" applyBorder="1" applyAlignment="1">
      <alignment horizontal="center" vertical="center"/>
    </xf>
    <xf numFmtId="0" fontId="3" fillId="0" borderId="17" xfId="90" applyFont="1" applyBorder="1" applyAlignment="1">
      <alignment horizontal="center" vertical="center"/>
    </xf>
    <xf numFmtId="0" fontId="3" fillId="0" borderId="24" xfId="9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1" fontId="3" fillId="0" borderId="35" xfId="0" applyNumberFormat="1" applyFont="1" applyBorder="1">
      <alignment vertical="center"/>
    </xf>
    <xf numFmtId="41" fontId="48" fillId="0" borderId="35" xfId="0" applyNumberFormat="1" applyFont="1" applyBorder="1">
      <alignment vertical="center"/>
    </xf>
    <xf numFmtId="41" fontId="3" fillId="0" borderId="37" xfId="0" applyNumberFormat="1" applyFont="1" applyBorder="1">
      <alignment vertical="center"/>
    </xf>
    <xf numFmtId="41" fontId="48" fillId="0" borderId="23" xfId="0" applyNumberFormat="1" applyFont="1" applyBorder="1">
      <alignment vertical="center"/>
    </xf>
    <xf numFmtId="41" fontId="48" fillId="0" borderId="29" xfId="0" applyNumberFormat="1" applyFont="1" applyBorder="1">
      <alignment vertical="center"/>
    </xf>
    <xf numFmtId="41" fontId="3" fillId="0" borderId="23" xfId="0" applyNumberFormat="1" applyFont="1" applyBorder="1">
      <alignment vertical="center"/>
    </xf>
    <xf numFmtId="41" fontId="3" fillId="0" borderId="31" xfId="0" applyNumberFormat="1" applyFont="1" applyBorder="1">
      <alignment vertical="center"/>
    </xf>
    <xf numFmtId="41" fontId="3" fillId="0" borderId="61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41" fontId="48" fillId="0" borderId="37" xfId="0" applyNumberFormat="1" applyFont="1" applyBorder="1">
      <alignment vertical="center"/>
    </xf>
    <xf numFmtId="41" fontId="3" fillId="0" borderId="60" xfId="0" applyNumberFormat="1" applyFont="1" applyBorder="1">
      <alignment vertical="center"/>
    </xf>
    <xf numFmtId="0" fontId="48" fillId="0" borderId="31" xfId="0" applyFont="1" applyBorder="1" applyAlignment="1">
      <alignment horizontal="center" vertical="center"/>
    </xf>
    <xf numFmtId="0" fontId="48" fillId="0" borderId="67" xfId="0" applyFont="1" applyBorder="1" applyAlignment="1">
      <alignment horizontal="center" vertical="center"/>
    </xf>
    <xf numFmtId="0" fontId="48" fillId="0" borderId="61" xfId="0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 shrinkToFit="1"/>
    </xf>
    <xf numFmtId="0" fontId="48" fillId="0" borderId="36" xfId="0" applyFont="1" applyBorder="1" applyAlignment="1">
      <alignment horizontal="center" vertical="center" shrinkToFit="1"/>
    </xf>
    <xf numFmtId="41" fontId="3" fillId="0" borderId="18" xfId="0" applyNumberFormat="1" applyFont="1" applyBorder="1">
      <alignment vertical="center"/>
    </xf>
    <xf numFmtId="41" fontId="3" fillId="0" borderId="30" xfId="0" applyNumberFormat="1" applyFont="1" applyBorder="1">
      <alignment vertical="center"/>
    </xf>
    <xf numFmtId="41" fontId="3" fillId="0" borderId="22" xfId="0" applyNumberFormat="1" applyFont="1" applyBorder="1">
      <alignment vertical="center"/>
    </xf>
    <xf numFmtId="41" fontId="3" fillId="0" borderId="63" xfId="0" applyNumberFormat="1" applyFont="1" applyBorder="1">
      <alignment vertical="center"/>
    </xf>
    <xf numFmtId="0" fontId="48" fillId="0" borderId="40" xfId="90" applyFont="1" applyBorder="1" applyAlignment="1">
      <alignment horizontal="center" vertical="center"/>
    </xf>
    <xf numFmtId="41" fontId="48" fillId="0" borderId="24" xfId="66" applyFont="1" applyBorder="1" applyAlignment="1">
      <alignment horizontal="center" vertical="center"/>
    </xf>
    <xf numFmtId="41" fontId="3" fillId="0" borderId="62" xfId="0" applyNumberFormat="1" applyFont="1" applyBorder="1">
      <alignment vertical="center"/>
    </xf>
    <xf numFmtId="41" fontId="48" fillId="0" borderId="20" xfId="0" applyNumberFormat="1" applyFont="1" applyBorder="1" applyAlignment="1">
      <alignment horizontal="center" vertical="center"/>
    </xf>
    <xf numFmtId="41" fontId="3" fillId="0" borderId="59" xfId="66" applyFont="1" applyFill="1" applyBorder="1" applyAlignment="1">
      <alignment horizontal="center" vertical="center"/>
    </xf>
    <xf numFmtId="41" fontId="3" fillId="0" borderId="2" xfId="66" applyFont="1" applyFill="1" applyBorder="1" applyAlignment="1">
      <alignment horizontal="center" vertical="center"/>
    </xf>
    <xf numFmtId="41" fontId="3" fillId="0" borderId="25" xfId="66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41" fontId="3" fillId="0" borderId="59" xfId="66" applyFont="1" applyBorder="1" applyAlignment="1">
      <alignment horizontal="center" vertical="center"/>
    </xf>
    <xf numFmtId="41" fontId="3" fillId="0" borderId="2" xfId="66" applyFont="1" applyBorder="1" applyAlignment="1">
      <alignment horizontal="center" vertical="center"/>
    </xf>
    <xf numFmtId="41" fontId="3" fillId="0" borderId="25" xfId="66" applyFont="1" applyBorder="1" applyAlignment="1">
      <alignment horizontal="center" vertical="center"/>
    </xf>
    <xf numFmtId="41" fontId="3" fillId="0" borderId="22" xfId="66" applyFont="1" applyFill="1" applyBorder="1" applyAlignment="1">
      <alignment horizontal="center" vertical="center"/>
    </xf>
    <xf numFmtId="41" fontId="3" fillId="0" borderId="68" xfId="66" applyFont="1" applyFill="1" applyBorder="1" applyAlignment="1">
      <alignment horizontal="center" vertical="center"/>
    </xf>
    <xf numFmtId="41" fontId="3" fillId="0" borderId="69" xfId="66" applyFont="1" applyFill="1" applyBorder="1" applyAlignment="1">
      <alignment horizontal="center" vertical="center"/>
    </xf>
    <xf numFmtId="190" fontId="3" fillId="0" borderId="64" xfId="0" quotePrefix="1" applyNumberFormat="1" applyFont="1" applyFill="1" applyBorder="1" applyAlignment="1">
      <alignment horizontal="center" vertical="center"/>
    </xf>
    <xf numFmtId="190" fontId="3" fillId="0" borderId="25" xfId="0" quotePrefix="1" applyNumberFormat="1" applyFont="1" applyFill="1" applyBorder="1" applyAlignment="1">
      <alignment horizontal="center" vertical="center"/>
    </xf>
    <xf numFmtId="190" fontId="3" fillId="0" borderId="34" xfId="0" quotePrefix="1" applyNumberFormat="1" applyFont="1" applyFill="1" applyBorder="1" applyAlignment="1">
      <alignment horizontal="center" vertical="center"/>
    </xf>
    <xf numFmtId="190" fontId="3" fillId="0" borderId="17" xfId="0" applyNumberFormat="1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41" fontId="3" fillId="0" borderId="22" xfId="66" applyFont="1" applyBorder="1" applyAlignment="1">
      <alignment horizontal="center" vertical="center"/>
    </xf>
    <xf numFmtId="41" fontId="3" fillId="0" borderId="68" xfId="66" applyFont="1" applyBorder="1" applyAlignment="1">
      <alignment horizontal="center" vertical="center"/>
    </xf>
    <xf numFmtId="41" fontId="3" fillId="0" borderId="69" xfId="66" applyFont="1" applyBorder="1" applyAlignment="1">
      <alignment horizontal="center" vertical="center"/>
    </xf>
    <xf numFmtId="41" fontId="3" fillId="0" borderId="65" xfId="66" applyFont="1" applyFill="1" applyBorder="1" applyAlignment="1">
      <alignment horizontal="center" vertical="center"/>
    </xf>
    <xf numFmtId="41" fontId="3" fillId="0" borderId="16" xfId="66" applyFont="1" applyFill="1" applyBorder="1" applyAlignment="1">
      <alignment horizontal="center" vertical="center"/>
    </xf>
    <xf numFmtId="41" fontId="3" fillId="0" borderId="42" xfId="66" applyFont="1" applyFill="1" applyBorder="1" applyAlignment="1">
      <alignment horizontal="center" vertical="center"/>
    </xf>
    <xf numFmtId="0" fontId="48" fillId="0" borderId="35" xfId="0" applyFont="1" applyFill="1" applyBorder="1" applyAlignment="1">
      <alignment horizontal="center" vertical="center"/>
    </xf>
    <xf numFmtId="41" fontId="48" fillId="0" borderId="35" xfId="66" applyFont="1" applyFill="1" applyBorder="1" applyAlignment="1">
      <alignment horizontal="center" vertical="center"/>
    </xf>
    <xf numFmtId="0" fontId="48" fillId="0" borderId="20" xfId="0" applyFont="1" applyFill="1" applyBorder="1" applyAlignment="1">
      <alignment horizontal="center" vertical="center"/>
    </xf>
    <xf numFmtId="0" fontId="48" fillId="0" borderId="3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190" fontId="48" fillId="0" borderId="39" xfId="0" applyNumberFormat="1" applyFont="1" applyFill="1" applyBorder="1" applyAlignment="1">
      <alignment horizontal="center" vertical="center"/>
    </xf>
    <xf numFmtId="190" fontId="48" fillId="0" borderId="3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center" vertical="center"/>
    </xf>
    <xf numFmtId="41" fontId="3" fillId="0" borderId="65" xfId="66" applyFont="1" applyBorder="1" applyAlignment="1">
      <alignment horizontal="center" vertical="center"/>
    </xf>
    <xf numFmtId="41" fontId="3" fillId="0" borderId="16" xfId="66" applyFont="1" applyBorder="1" applyAlignment="1">
      <alignment horizontal="center" vertical="center"/>
    </xf>
    <xf numFmtId="41" fontId="3" fillId="0" borderId="42" xfId="66" applyFont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48" fillId="0" borderId="37" xfId="0" applyFont="1" applyFill="1" applyBorder="1" applyAlignment="1">
      <alignment horizontal="center" vertical="center"/>
    </xf>
    <xf numFmtId="190" fontId="3" fillId="0" borderId="41" xfId="0" quotePrefix="1" applyNumberFormat="1" applyFont="1" applyFill="1" applyBorder="1" applyAlignment="1">
      <alignment horizontal="center" vertical="center"/>
    </xf>
    <xf numFmtId="190" fontId="3" fillId="0" borderId="42" xfId="0" quotePrefix="1" applyNumberFormat="1" applyFont="1" applyFill="1" applyBorder="1" applyAlignment="1">
      <alignment horizontal="center" vertical="center"/>
    </xf>
    <xf numFmtId="41" fontId="1" fillId="0" borderId="15" xfId="66" applyFill="1" applyBorder="1" applyAlignment="1">
      <alignment horizontal="center" vertical="center"/>
    </xf>
    <xf numFmtId="0" fontId="55" fillId="0" borderId="16" xfId="90" applyFont="1" applyBorder="1" applyAlignment="1">
      <alignment horizontal="center" vertical="center"/>
    </xf>
    <xf numFmtId="0" fontId="0" fillId="0" borderId="15" xfId="0" applyBorder="1">
      <alignment vertical="center"/>
    </xf>
    <xf numFmtId="41" fontId="0" fillId="0" borderId="59" xfId="0" applyNumberFormat="1" applyBorder="1" applyAlignment="1">
      <alignment horizontal="center" vertical="center"/>
    </xf>
    <xf numFmtId="41" fontId="0" fillId="0" borderId="25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41" fontId="1" fillId="0" borderId="59" xfId="66" applyFont="1" applyFill="1" applyBorder="1" applyAlignment="1">
      <alignment horizontal="center" vertical="center"/>
    </xf>
    <xf numFmtId="41" fontId="1" fillId="0" borderId="25" xfId="66" applyFont="1" applyFill="1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25" xfId="0" applyBorder="1">
      <alignment vertical="center"/>
    </xf>
    <xf numFmtId="0" fontId="0" fillId="0" borderId="15" xfId="0" applyBorder="1" applyAlignment="1">
      <alignment horizontal="center" vertical="center"/>
    </xf>
    <xf numFmtId="190" fontId="0" fillId="0" borderId="15" xfId="0" applyNumberFormat="1" applyFill="1" applyBorder="1" applyAlignment="1">
      <alignment horizontal="center" vertical="center"/>
    </xf>
    <xf numFmtId="194" fontId="0" fillId="0" borderId="59" xfId="0" applyNumberFormat="1" applyBorder="1" applyAlignment="1">
      <alignment horizontal="center" vertical="center"/>
    </xf>
    <xf numFmtId="194" fontId="0" fillId="0" borderId="25" xfId="0" applyNumberFormat="1" applyBorder="1" applyAlignment="1">
      <alignment horizontal="center" vertical="center"/>
    </xf>
    <xf numFmtId="188" fontId="0" fillId="0" borderId="15" xfId="0" applyNumberFormat="1" applyBorder="1" applyAlignment="1">
      <alignment horizontal="center" vertical="center"/>
    </xf>
    <xf numFmtId="188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/>
    </xf>
    <xf numFmtId="0" fontId="55" fillId="0" borderId="0" xfId="90" applyFont="1" applyBorder="1" applyAlignment="1">
      <alignment horizontal="center" vertical="center"/>
    </xf>
    <xf numFmtId="194" fontId="0" fillId="0" borderId="22" xfId="0" applyNumberFormat="1" applyBorder="1" applyAlignment="1">
      <alignment horizontal="center" vertical="center"/>
    </xf>
    <xf numFmtId="194" fontId="0" fillId="0" borderId="69" xfId="0" applyNumberFormat="1" applyBorder="1" applyAlignment="1">
      <alignment horizontal="center" vertical="center"/>
    </xf>
    <xf numFmtId="194" fontId="0" fillId="0" borderId="65" xfId="0" applyNumberFormat="1" applyBorder="1" applyAlignment="1">
      <alignment horizontal="center" vertical="center"/>
    </xf>
    <xf numFmtId="194" fontId="0" fillId="0" borderId="42" xfId="0" applyNumberFormat="1" applyBorder="1" applyAlignment="1">
      <alignment horizontal="center" vertical="center"/>
    </xf>
    <xf numFmtId="41" fontId="0" fillId="0" borderId="0" xfId="66" applyFont="1" applyFill="1" applyBorder="1" applyAlignment="1">
      <alignment horizontal="center" vertical="center"/>
    </xf>
    <xf numFmtId="41" fontId="1" fillId="0" borderId="0" xfId="66" applyFont="1" applyFill="1" applyBorder="1" applyAlignment="1">
      <alignment horizontal="center" vertical="center"/>
    </xf>
    <xf numFmtId="0" fontId="7" fillId="28" borderId="59" xfId="0" applyFont="1" applyFill="1" applyBorder="1" applyAlignment="1">
      <alignment horizontal="center" vertical="center"/>
    </xf>
    <xf numFmtId="0" fontId="7" fillId="28" borderId="2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201" fontId="0" fillId="0" borderId="59" xfId="0" applyNumberFormat="1" applyBorder="1" applyAlignment="1">
      <alignment horizontal="center" vertical="center"/>
    </xf>
    <xf numFmtId="201" fontId="0" fillId="0" borderId="25" xfId="0" applyNumberFormat="1" applyBorder="1" applyAlignment="1">
      <alignment horizontal="center" vertical="center"/>
    </xf>
    <xf numFmtId="41" fontId="59" fillId="0" borderId="19" xfId="66" applyFont="1" applyFill="1" applyBorder="1" applyAlignment="1" applyProtection="1">
      <alignment horizontal="left" vertical="top" wrapText="1"/>
    </xf>
    <xf numFmtId="41" fontId="59" fillId="0" borderId="19" xfId="66" applyFont="1" applyFill="1" applyBorder="1" applyAlignment="1" applyProtection="1">
      <alignment horizontal="left" vertical="top"/>
    </xf>
    <xf numFmtId="41" fontId="60" fillId="0" borderId="19" xfId="66" applyFont="1" applyFill="1" applyBorder="1" applyAlignment="1" applyProtection="1">
      <alignment horizontal="left" vertical="top" wrapText="1"/>
    </xf>
    <xf numFmtId="41" fontId="60" fillId="0" borderId="19" xfId="66" applyFont="1" applyFill="1" applyBorder="1" applyAlignment="1" applyProtection="1">
      <alignment horizontal="left" vertical="top"/>
    </xf>
    <xf numFmtId="41" fontId="59" fillId="0" borderId="19" xfId="66" applyFont="1" applyFill="1" applyBorder="1" applyAlignment="1" applyProtection="1">
      <alignment horizontal="center" vertical="center" wrapText="1"/>
    </xf>
    <xf numFmtId="41" fontId="0" fillId="0" borderId="15" xfId="66" applyFont="1" applyBorder="1" applyAlignment="1">
      <alignment horizontal="center" vertical="center"/>
    </xf>
    <xf numFmtId="41" fontId="0" fillId="0" borderId="59" xfId="66" applyFont="1" applyFill="1" applyBorder="1" applyAlignment="1">
      <alignment horizontal="center" vertical="center"/>
    </xf>
    <xf numFmtId="41" fontId="0" fillId="0" borderId="25" xfId="66" applyFont="1" applyFill="1" applyBorder="1" applyAlignment="1">
      <alignment horizontal="center" vertical="center"/>
    </xf>
    <xf numFmtId="41" fontId="0" fillId="0" borderId="59" xfId="66" applyFont="1" applyBorder="1" applyAlignment="1">
      <alignment horizontal="center" vertical="center"/>
    </xf>
    <xf numFmtId="41" fontId="0" fillId="0" borderId="25" xfId="66" applyFont="1" applyBorder="1" applyAlignment="1">
      <alignment horizontal="center" vertical="center"/>
    </xf>
    <xf numFmtId="41" fontId="0" fillId="0" borderId="15" xfId="66" applyFont="1" applyBorder="1">
      <alignment vertical="center"/>
    </xf>
    <xf numFmtId="41" fontId="0" fillId="25" borderId="59" xfId="66" applyFont="1" applyFill="1" applyBorder="1" applyAlignment="1">
      <alignment horizontal="center" vertical="center"/>
    </xf>
    <xf numFmtId="41" fontId="0" fillId="25" borderId="25" xfId="66" applyFont="1" applyFill="1" applyBorder="1" applyAlignment="1">
      <alignment horizontal="center" vertical="center"/>
    </xf>
    <xf numFmtId="41" fontId="0" fillId="25" borderId="15" xfId="66" applyFont="1" applyFill="1" applyBorder="1" applyAlignment="1">
      <alignment horizontal="center" vertical="center"/>
    </xf>
    <xf numFmtId="12" fontId="0" fillId="0" borderId="15" xfId="66" applyNumberFormat="1" applyFont="1" applyBorder="1" applyAlignment="1">
      <alignment horizontal="center" vertical="center"/>
    </xf>
    <xf numFmtId="13" fontId="0" fillId="0" borderId="15" xfId="66" applyNumberFormat="1" applyFont="1" applyBorder="1" applyAlignment="1">
      <alignment horizontal="center" vertical="center"/>
    </xf>
    <xf numFmtId="49" fontId="0" fillId="0" borderId="15" xfId="66" applyNumberFormat="1" applyFont="1" applyBorder="1" applyAlignment="1">
      <alignment horizontal="center" vertical="center"/>
    </xf>
    <xf numFmtId="176" fontId="0" fillId="0" borderId="15" xfId="60" applyNumberFormat="1" applyFont="1" applyBorder="1" applyAlignment="1">
      <alignment horizontal="center" vertical="center"/>
    </xf>
    <xf numFmtId="41" fontId="0" fillId="0" borderId="2" xfId="66" applyFont="1" applyBorder="1" applyAlignment="1">
      <alignment horizontal="center" vertical="center"/>
    </xf>
    <xf numFmtId="41" fontId="0" fillId="0" borderId="22" xfId="66" applyFont="1" applyBorder="1" applyAlignment="1">
      <alignment horizontal="center" vertical="center" wrapText="1"/>
    </xf>
    <xf numFmtId="41" fontId="0" fillId="0" borderId="69" xfId="66" applyFont="1" applyBorder="1" applyAlignment="1">
      <alignment horizontal="center" vertical="center"/>
    </xf>
    <xf numFmtId="41" fontId="0" fillId="0" borderId="65" xfId="66" applyFont="1" applyBorder="1" applyAlignment="1">
      <alignment horizontal="center" vertical="center"/>
    </xf>
    <xf numFmtId="41" fontId="0" fillId="0" borderId="42" xfId="66" applyFont="1" applyBorder="1" applyAlignment="1">
      <alignment horizontal="center" vertical="center"/>
    </xf>
    <xf numFmtId="41" fontId="0" fillId="0" borderId="68" xfId="66" applyFont="1" applyBorder="1" applyAlignment="1">
      <alignment horizontal="center" vertical="center"/>
    </xf>
    <xf numFmtId="41" fontId="0" fillId="0" borderId="16" xfId="66" applyFont="1" applyBorder="1" applyAlignment="1">
      <alignment horizontal="center" vertical="center"/>
    </xf>
    <xf numFmtId="41" fontId="0" fillId="0" borderId="15" xfId="66" applyFont="1" applyBorder="1" applyAlignment="1">
      <alignment horizontal="center" vertical="center" wrapText="1"/>
    </xf>
    <xf numFmtId="41" fontId="5" fillId="0" borderId="59" xfId="0" applyNumberFormat="1" applyFont="1" applyFill="1" applyBorder="1" applyAlignment="1">
      <alignment horizontal="center" vertical="center"/>
    </xf>
    <xf numFmtId="41" fontId="5" fillId="0" borderId="25" xfId="0" applyNumberFormat="1" applyFont="1" applyFill="1" applyBorder="1" applyAlignment="1">
      <alignment horizontal="center" vertical="center"/>
    </xf>
    <xf numFmtId="191" fontId="42" fillId="24" borderId="15" xfId="91" applyNumberFormat="1" applyFont="1" applyFill="1" applyBorder="1" applyAlignment="1">
      <alignment horizontal="center" vertical="center" wrapText="1"/>
    </xf>
    <xf numFmtId="191" fontId="39" fillId="0" borderId="15" xfId="91" applyNumberFormat="1" applyFont="1" applyFill="1" applyBorder="1" applyAlignment="1">
      <alignment horizontal="center" vertical="center" wrapText="1"/>
    </xf>
    <xf numFmtId="191" fontId="39" fillId="0" borderId="15" xfId="91" applyNumberFormat="1" applyFont="1" applyBorder="1" applyAlignment="1">
      <alignment horizontal="center" vertical="center" wrapText="1"/>
    </xf>
    <xf numFmtId="192" fontId="40" fillId="0" borderId="15" xfId="91" applyNumberFormat="1" applyFont="1" applyFill="1" applyBorder="1" applyAlignment="1">
      <alignment horizontal="center" vertical="center" wrapText="1"/>
    </xf>
    <xf numFmtId="191" fontId="39" fillId="0" borderId="17" xfId="91" applyNumberFormat="1" applyFont="1" applyFill="1" applyBorder="1" applyAlignment="1">
      <alignment horizontal="center" vertical="center" wrapText="1"/>
    </xf>
    <xf numFmtId="191" fontId="39" fillId="0" borderId="18" xfId="91" applyNumberFormat="1" applyFont="1" applyFill="1" applyBorder="1" applyAlignment="1">
      <alignment horizontal="center" vertical="center" wrapText="1"/>
    </xf>
    <xf numFmtId="191" fontId="38" fillId="0" borderId="15" xfId="91" applyNumberFormat="1" applyFont="1" applyFill="1" applyBorder="1" applyAlignment="1">
      <alignment horizontal="center" vertical="center" wrapText="1"/>
    </xf>
    <xf numFmtId="191" fontId="52" fillId="0" borderId="0" xfId="91" applyNumberFormat="1" applyFont="1" applyAlignment="1">
      <alignment horizontal="left" vertical="center" wrapText="1"/>
    </xf>
    <xf numFmtId="191" fontId="7" fillId="0" borderId="0" xfId="91" applyNumberFormat="1" applyFont="1" applyAlignment="1">
      <alignment horizontal="left" vertical="center" wrapText="1"/>
    </xf>
    <xf numFmtId="41" fontId="1" fillId="0" borderId="15" xfId="66" applyFont="1" applyBorder="1" applyAlignment="1">
      <alignment horizontal="center" vertical="center"/>
    </xf>
    <xf numFmtId="41" fontId="1" fillId="0" borderId="15" xfId="66" applyBorder="1" applyAlignment="1">
      <alignment horizontal="center" vertical="center"/>
    </xf>
    <xf numFmtId="41" fontId="7" fillId="0" borderId="15" xfId="66" applyFont="1" applyBorder="1" applyAlignment="1">
      <alignment horizontal="center" vertical="center"/>
    </xf>
    <xf numFmtId="41" fontId="1" fillId="0" borderId="15" xfId="66" applyBorder="1">
      <alignment vertical="center"/>
    </xf>
    <xf numFmtId="0" fontId="5" fillId="0" borderId="16" xfId="0" applyFont="1" applyFill="1" applyBorder="1" applyAlignment="1">
      <alignment horizontal="center" vertical="center"/>
    </xf>
    <xf numFmtId="41" fontId="1" fillId="0" borderId="15" xfId="66" applyFont="1" applyBorder="1" applyAlignment="1">
      <alignment horizontal="center" vertical="center" wrapText="1"/>
    </xf>
    <xf numFmtId="0" fontId="50" fillId="28" borderId="15" xfId="0" applyFont="1" applyFill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1" fontId="0" fillId="0" borderId="15" xfId="0" applyNumberFormat="1" applyBorder="1" applyAlignment="1">
      <alignment horizontal="center" vertical="center" shrinkToFit="1"/>
    </xf>
    <xf numFmtId="41" fontId="1" fillId="0" borderId="15" xfId="66" applyFont="1" applyFill="1" applyBorder="1" applyAlignment="1">
      <alignment horizontal="center" vertical="center"/>
    </xf>
    <xf numFmtId="0" fontId="8" fillId="0" borderId="0" xfId="90" applyFont="1" applyBorder="1" applyAlignment="1">
      <alignment horizontal="center" vertical="center"/>
    </xf>
    <xf numFmtId="194" fontId="0" fillId="0" borderId="15" xfId="0" applyNumberForma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68" xfId="0" applyBorder="1">
      <alignment vertical="center"/>
    </xf>
    <xf numFmtId="190" fontId="0" fillId="0" borderId="68" xfId="0" applyNumberForma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</cellXfs>
  <cellStyles count="97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AeE­ [0]_INQUIRY ¿μ¾÷AßAø " xfId="19"/>
    <cellStyle name="AeE­_INQUIRY ¿μ¾÷AßAø " xfId="20"/>
    <cellStyle name="AÞ¸¶ [0]_INQUIRY ¿μ¾÷AßAø " xfId="21"/>
    <cellStyle name="AÞ¸¶_INQUIRY ¿μ¾÷AßAø " xfId="22"/>
    <cellStyle name="C￥AØ_¿μ¾÷CoE² " xfId="23"/>
    <cellStyle name="Comma" xfId="24"/>
    <cellStyle name="Comma [0]_ SG&amp;A Bridge " xfId="25"/>
    <cellStyle name="Comma_ SG&amp;A Bridge " xfId="26"/>
    <cellStyle name="Currency" xfId="27"/>
    <cellStyle name="Currency [0]_ SG&amp;A Bridge " xfId="28"/>
    <cellStyle name="Currency_ SG&amp;A Bridge " xfId="29"/>
    <cellStyle name="Date" xfId="30"/>
    <cellStyle name="Fixed" xfId="31"/>
    <cellStyle name="Header1" xfId="32"/>
    <cellStyle name="Header2" xfId="33"/>
    <cellStyle name="Heading1" xfId="34"/>
    <cellStyle name="Heading2" xfId="35"/>
    <cellStyle name="Normal_ SG&amp;A Bridge " xfId="36"/>
    <cellStyle name="Percent" xfId="37"/>
    <cellStyle name="Total" xfId="38"/>
    <cellStyle name="강조색1" xfId="39" builtinId="29" customBuiltin="1"/>
    <cellStyle name="강조색2" xfId="40" builtinId="33" customBuiltin="1"/>
    <cellStyle name="강조색3" xfId="41" builtinId="37" customBuiltin="1"/>
    <cellStyle name="강조색4" xfId="42" builtinId="41" customBuiltin="1"/>
    <cellStyle name="강조색5" xfId="43" builtinId="45" customBuiltin="1"/>
    <cellStyle name="강조색6" xfId="44" builtinId="49" customBuiltin="1"/>
    <cellStyle name="경고문" xfId="45" builtinId="11" customBuiltin="1"/>
    <cellStyle name="계산" xfId="46" builtinId="22" customBuiltin="1"/>
    <cellStyle name="고정소숫점" xfId="47"/>
    <cellStyle name="고정출력1" xfId="48"/>
    <cellStyle name="고정출력2" xfId="49"/>
    <cellStyle name="나쁨" xfId="50" builtinId="27" customBuiltin="1"/>
    <cellStyle name="날짜" xfId="51"/>
    <cellStyle name="내역서" xfId="52"/>
    <cellStyle name="달러" xfId="53"/>
    <cellStyle name="뒤에 오는 하이퍼링크_0829광역시원단위추정(최종).xls Chart 1" xfId="54"/>
    <cellStyle name="똿뗦먛귟 [0.00]_PRODUCT DETAIL Q1" xfId="55"/>
    <cellStyle name="똿뗦먛귟_PRODUCT DETAIL Q1" xfId="56"/>
    <cellStyle name="메모" xfId="57" builtinId="10" customBuiltin="1"/>
    <cellStyle name="믅됞 [0.00]_PRODUCT DETAIL Q1" xfId="58"/>
    <cellStyle name="믅됞_PRODUCT DETAIL Q1" xfId="59"/>
    <cellStyle name="백분율" xfId="60" builtinId="5"/>
    <cellStyle name="백분율 2" xfId="61"/>
    <cellStyle name="보통" xfId="62" builtinId="28" customBuiltin="1"/>
    <cellStyle name="뷭?_BOOKSHIP" xfId="63"/>
    <cellStyle name="설명 텍스트" xfId="64" builtinId="53" customBuiltin="1"/>
    <cellStyle name="셀 확인" xfId="65" builtinId="23" customBuiltin="1"/>
    <cellStyle name="쉼표 [0]" xfId="66" builtinId="6"/>
    <cellStyle name="쉼표 [0] 2" xfId="67"/>
    <cellStyle name="쉼표 [0] 2 2" xfId="68"/>
    <cellStyle name="쉼표 [0] 3" xfId="69"/>
    <cellStyle name="연결된 셀" xfId="70" builtinId="24" customBuiltin="1"/>
    <cellStyle name="요약" xfId="71" builtinId="25" customBuiltin="1"/>
    <cellStyle name="입력" xfId="72" builtinId="20" customBuiltin="1"/>
    <cellStyle name="자리수" xfId="73"/>
    <cellStyle name="자리수0" xfId="74"/>
    <cellStyle name="제목" xfId="75" builtinId="15" customBuiltin="1"/>
    <cellStyle name="제목 1" xfId="76" builtinId="16" customBuiltin="1"/>
    <cellStyle name="제목 2" xfId="77" builtinId="17" customBuiltin="1"/>
    <cellStyle name="제목 3" xfId="78" builtinId="18" customBuiltin="1"/>
    <cellStyle name="제목 4" xfId="79" builtinId="19" customBuiltin="1"/>
    <cellStyle name="좋음" xfId="80" builtinId="26" customBuiltin="1"/>
    <cellStyle name="지정되지 않음" xfId="81"/>
    <cellStyle name="출력" xfId="82" builtinId="21" customBuiltin="1"/>
    <cellStyle name="콤마 [0]_  종  합  " xfId="83"/>
    <cellStyle name="콤마_  종  합  " xfId="84"/>
    <cellStyle name="퍼센트" xfId="85"/>
    <cellStyle name="표준" xfId="0" builtinId="0"/>
    <cellStyle name="표준 2" xfId="86"/>
    <cellStyle name="표준 3" xfId="87"/>
    <cellStyle name="표준 4" xfId="88"/>
    <cellStyle name="표준 5" xfId="89"/>
    <cellStyle name="표준_Sheet1" xfId="90"/>
    <cellStyle name="표준_삼안-남당항용수량및오수량산정" xfId="91"/>
    <cellStyle name="표준_상위계획 계획인구 비교검토" xfId="92"/>
    <cellStyle name="표준_제1,2장 계획인구및오수량원단위산정" xfId="93"/>
    <cellStyle name="합산" xfId="94"/>
    <cellStyle name="화폐기호" xfId="95"/>
    <cellStyle name="화폐기호0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18</xdr:row>
      <xdr:rowOff>285750</xdr:rowOff>
    </xdr:from>
    <xdr:to>
      <xdr:col>5</xdr:col>
      <xdr:colOff>723900</xdr:colOff>
      <xdr:row>20</xdr:row>
      <xdr:rowOff>28575</xdr:rowOff>
    </xdr:to>
    <xdr:sp macro="" textlink="">
      <xdr:nvSpPr>
        <xdr:cNvPr id="2" name="아래쪽 화살표 1"/>
        <xdr:cNvSpPr/>
      </xdr:nvSpPr>
      <xdr:spPr>
        <a:xfrm>
          <a:off x="2990850" y="7315200"/>
          <a:ext cx="1857375" cy="523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18</xdr:row>
      <xdr:rowOff>190500</xdr:rowOff>
    </xdr:from>
    <xdr:to>
      <xdr:col>5</xdr:col>
      <xdr:colOff>723900</xdr:colOff>
      <xdr:row>19</xdr:row>
      <xdr:rowOff>323850</xdr:rowOff>
    </xdr:to>
    <xdr:sp macro="" textlink="">
      <xdr:nvSpPr>
        <xdr:cNvPr id="2" name="아래쪽 화살표 1"/>
        <xdr:cNvSpPr/>
      </xdr:nvSpPr>
      <xdr:spPr>
        <a:xfrm>
          <a:off x="2990850" y="8248650"/>
          <a:ext cx="1857375" cy="581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view="pageBreakPreview" zoomScaleSheetLayoutView="100" workbookViewId="0">
      <selection activeCell="N22" sqref="N22"/>
    </sheetView>
  </sheetViews>
  <sheetFormatPr defaultRowHeight="13.5"/>
  <cols>
    <col min="1" max="1" width="10.5546875" customWidth="1"/>
    <col min="2" max="2" width="1.44140625" customWidth="1"/>
    <col min="3" max="8" width="10.5546875" customWidth="1"/>
  </cols>
  <sheetData>
    <row r="1" spans="1:17" ht="26.1" customHeight="1">
      <c r="A1" s="178" t="s">
        <v>492</v>
      </c>
      <c r="B1" s="92"/>
      <c r="C1" s="82"/>
      <c r="D1" s="81"/>
      <c r="E1" s="81"/>
      <c r="F1" s="81"/>
      <c r="G1" s="81"/>
      <c r="H1" s="81"/>
    </row>
    <row r="2" spans="1:17" ht="26.1" customHeight="1" thickBot="1">
      <c r="A2" s="179" t="s">
        <v>417</v>
      </c>
    </row>
    <row r="3" spans="1:17" ht="26.1" customHeight="1">
      <c r="A3" s="216" t="s">
        <v>25</v>
      </c>
      <c r="B3" s="217"/>
      <c r="C3" s="217"/>
      <c r="D3" s="217" t="s">
        <v>418</v>
      </c>
      <c r="E3" s="217"/>
      <c r="F3" s="217"/>
      <c r="G3" s="217"/>
      <c r="H3" s="211" t="s">
        <v>26</v>
      </c>
      <c r="J3" s="216" t="s">
        <v>25</v>
      </c>
      <c r="K3" s="217"/>
      <c r="L3" s="217"/>
      <c r="M3" s="217" t="s">
        <v>415</v>
      </c>
      <c r="N3" s="217"/>
      <c r="O3" s="217"/>
      <c r="P3" s="217"/>
      <c r="Q3" s="211" t="s">
        <v>26</v>
      </c>
    </row>
    <row r="4" spans="1:17" ht="26.1" customHeight="1" thickBot="1">
      <c r="A4" s="218"/>
      <c r="B4" s="219"/>
      <c r="C4" s="219"/>
      <c r="D4" s="113" t="s">
        <v>322</v>
      </c>
      <c r="E4" s="113" t="s">
        <v>323</v>
      </c>
      <c r="F4" s="113" t="s">
        <v>320</v>
      </c>
      <c r="G4" s="113" t="s">
        <v>321</v>
      </c>
      <c r="H4" s="212"/>
      <c r="J4" s="218"/>
      <c r="K4" s="219"/>
      <c r="L4" s="219"/>
      <c r="M4" s="113" t="s">
        <v>322</v>
      </c>
      <c r="N4" s="113" t="s">
        <v>323</v>
      </c>
      <c r="O4" s="113" t="s">
        <v>320</v>
      </c>
      <c r="P4" s="113" t="s">
        <v>321</v>
      </c>
      <c r="Q4" s="212"/>
    </row>
    <row r="5" spans="1:17" ht="26.1" customHeight="1">
      <c r="A5" s="213" t="s">
        <v>148</v>
      </c>
      <c r="B5" s="214"/>
      <c r="C5" s="215"/>
      <c r="D5" s="130">
        <f>D6+D9+D13</f>
        <v>1343</v>
      </c>
      <c r="E5" s="130">
        <f>E6+E9+E13</f>
        <v>1343</v>
      </c>
      <c r="F5" s="130">
        <f>F6+F9+F13</f>
        <v>1343</v>
      </c>
      <c r="G5" s="130">
        <f>G6+G9+G13</f>
        <v>1343</v>
      </c>
      <c r="H5" s="131"/>
      <c r="J5" s="213" t="s">
        <v>148</v>
      </c>
      <c r="K5" s="214"/>
      <c r="L5" s="215"/>
      <c r="M5" s="130">
        <f>M6+M9+M13</f>
        <v>1813.0500000000002</v>
      </c>
      <c r="N5" s="130">
        <f>N6+N9+N13</f>
        <v>1813.0500000000002</v>
      </c>
      <c r="O5" s="130">
        <f>O6+O9+O13</f>
        <v>1813.0500000000002</v>
      </c>
      <c r="P5" s="130">
        <f>P6+P9+P13</f>
        <v>1813.0500000000002</v>
      </c>
      <c r="Q5" s="131"/>
    </row>
    <row r="6" spans="1:17" ht="26.1" customHeight="1">
      <c r="A6" s="187" t="s">
        <v>334</v>
      </c>
      <c r="B6" s="111"/>
      <c r="C6" s="114" t="s">
        <v>4</v>
      </c>
      <c r="D6" s="121">
        <f>SUM(D7:D8)</f>
        <v>404</v>
      </c>
      <c r="E6" s="121">
        <f>SUM(E7:E8)</f>
        <v>404</v>
      </c>
      <c r="F6" s="121">
        <f>SUM(F7:F8)</f>
        <v>404</v>
      </c>
      <c r="G6" s="121">
        <f>SUM(G7:G8)</f>
        <v>404</v>
      </c>
      <c r="H6" s="125"/>
      <c r="J6" s="187" t="s">
        <v>334</v>
      </c>
      <c r="K6" s="111"/>
      <c r="L6" s="114" t="s">
        <v>4</v>
      </c>
      <c r="M6" s="121">
        <f>SUM(M7:M8)</f>
        <v>545.40000000000009</v>
      </c>
      <c r="N6" s="121">
        <f>SUM(N7:N8)</f>
        <v>545.40000000000009</v>
      </c>
      <c r="O6" s="121">
        <f>SUM(O7:O8)</f>
        <v>545.40000000000009</v>
      </c>
      <c r="P6" s="121">
        <f>SUM(P7:P8)</f>
        <v>545.40000000000009</v>
      </c>
      <c r="Q6" s="125"/>
    </row>
    <row r="7" spans="1:17" ht="26.1" customHeight="1">
      <c r="A7" s="187"/>
      <c r="B7" s="116"/>
      <c r="C7" s="117" t="s">
        <v>410</v>
      </c>
      <c r="D7" s="155">
        <f t="shared" ref="D7:G8" si="0">ROUND(D21/1.35,0)</f>
        <v>350</v>
      </c>
      <c r="E7" s="155">
        <f t="shared" si="0"/>
        <v>350</v>
      </c>
      <c r="F7" s="155">
        <f t="shared" si="0"/>
        <v>350</v>
      </c>
      <c r="G7" s="155">
        <f t="shared" si="0"/>
        <v>350</v>
      </c>
      <c r="H7" s="112" t="s">
        <v>501</v>
      </c>
      <c r="I7" t="s">
        <v>399</v>
      </c>
      <c r="J7" s="187"/>
      <c r="K7" s="116"/>
      <c r="L7" s="117" t="s">
        <v>410</v>
      </c>
      <c r="M7" s="155">
        <f t="shared" ref="M7:P8" si="1">D7*1.35</f>
        <v>472.50000000000006</v>
      </c>
      <c r="N7" s="155">
        <f t="shared" si="1"/>
        <v>472.50000000000006</v>
      </c>
      <c r="O7" s="155">
        <f t="shared" si="1"/>
        <v>472.50000000000006</v>
      </c>
      <c r="P7" s="155">
        <f t="shared" si="1"/>
        <v>472.50000000000006</v>
      </c>
      <c r="Q7" s="112" t="s">
        <v>399</v>
      </c>
    </row>
    <row r="8" spans="1:17" ht="26.1" customHeight="1">
      <c r="A8" s="187"/>
      <c r="B8" s="116"/>
      <c r="C8" s="151" t="s">
        <v>411</v>
      </c>
      <c r="D8" s="155">
        <f t="shared" si="0"/>
        <v>54</v>
      </c>
      <c r="E8" s="155">
        <f t="shared" si="0"/>
        <v>54</v>
      </c>
      <c r="F8" s="155">
        <f t="shared" si="0"/>
        <v>54</v>
      </c>
      <c r="G8" s="155">
        <f t="shared" si="0"/>
        <v>54</v>
      </c>
      <c r="H8" s="112" t="s">
        <v>502</v>
      </c>
      <c r="I8" t="s">
        <v>413</v>
      </c>
      <c r="J8" s="187"/>
      <c r="K8" s="116"/>
      <c r="L8" s="151" t="s">
        <v>411</v>
      </c>
      <c r="M8" s="155">
        <f t="shared" si="1"/>
        <v>72.900000000000006</v>
      </c>
      <c r="N8" s="155">
        <f t="shared" si="1"/>
        <v>72.900000000000006</v>
      </c>
      <c r="O8" s="155">
        <f t="shared" si="1"/>
        <v>72.900000000000006</v>
      </c>
      <c r="P8" s="155">
        <f t="shared" si="1"/>
        <v>72.900000000000006</v>
      </c>
      <c r="Q8" s="112" t="s">
        <v>412</v>
      </c>
    </row>
    <row r="9" spans="1:17" ht="26.1" customHeight="1">
      <c r="A9" s="187" t="s">
        <v>335</v>
      </c>
      <c r="B9" s="188" t="s">
        <v>4</v>
      </c>
      <c r="C9" s="189"/>
      <c r="D9" s="123">
        <f>SUM(D10:D12)</f>
        <v>803</v>
      </c>
      <c r="E9" s="123">
        <f>SUM(E10:E12)</f>
        <v>803</v>
      </c>
      <c r="F9" s="123">
        <f>SUM(F10:F12)</f>
        <v>803</v>
      </c>
      <c r="G9" s="123">
        <f>SUM(G10:G12)</f>
        <v>803</v>
      </c>
      <c r="H9" s="126"/>
      <c r="J9" s="187" t="s">
        <v>335</v>
      </c>
      <c r="K9" s="188" t="s">
        <v>4</v>
      </c>
      <c r="L9" s="189"/>
      <c r="M9" s="123">
        <f>SUM(M10:M12)</f>
        <v>1084.05</v>
      </c>
      <c r="N9" s="123">
        <f>SUM(N10:N12)</f>
        <v>1084.05</v>
      </c>
      <c r="O9" s="123">
        <f>SUM(O10:O12)</f>
        <v>1084.05</v>
      </c>
      <c r="P9" s="123">
        <f>SUM(P10:P12)</f>
        <v>1084.05</v>
      </c>
      <c r="Q9" s="126"/>
    </row>
    <row r="10" spans="1:17" ht="26.1" customHeight="1">
      <c r="A10" s="187"/>
      <c r="B10" s="118"/>
      <c r="C10" s="117" t="s">
        <v>2</v>
      </c>
      <c r="D10" s="122">
        <f>대학용수량!G33</f>
        <v>507</v>
      </c>
      <c r="E10" s="122">
        <f t="shared" ref="E10:G12" si="2">D10</f>
        <v>507</v>
      </c>
      <c r="F10" s="122">
        <f t="shared" si="2"/>
        <v>507</v>
      </c>
      <c r="G10" s="122">
        <f t="shared" si="2"/>
        <v>507</v>
      </c>
      <c r="H10" s="112" t="s">
        <v>502</v>
      </c>
      <c r="I10" t="s">
        <v>413</v>
      </c>
      <c r="J10" s="187"/>
      <c r="K10" s="118"/>
      <c r="L10" s="117" t="s">
        <v>2</v>
      </c>
      <c r="M10" s="155">
        <f t="shared" ref="M10:P12" si="3">D10*1.35</f>
        <v>684.45</v>
      </c>
      <c r="N10" s="155">
        <f t="shared" si="3"/>
        <v>684.45</v>
      </c>
      <c r="O10" s="155">
        <f t="shared" si="3"/>
        <v>684.45</v>
      </c>
      <c r="P10" s="155">
        <f t="shared" si="3"/>
        <v>684.45</v>
      </c>
      <c r="Q10" s="112" t="s">
        <v>413</v>
      </c>
    </row>
    <row r="11" spans="1:17" ht="26.1" customHeight="1">
      <c r="A11" s="187"/>
      <c r="B11" s="118"/>
      <c r="C11" s="117" t="s">
        <v>3</v>
      </c>
      <c r="D11" s="122">
        <f>대학용수량!J33</f>
        <v>258</v>
      </c>
      <c r="E11" s="122">
        <f t="shared" si="2"/>
        <v>258</v>
      </c>
      <c r="F11" s="122">
        <f t="shared" si="2"/>
        <v>258</v>
      </c>
      <c r="G11" s="122">
        <f t="shared" si="2"/>
        <v>258</v>
      </c>
      <c r="H11" s="112" t="s">
        <v>502</v>
      </c>
      <c r="I11" t="s">
        <v>413</v>
      </c>
      <c r="J11" s="187"/>
      <c r="K11" s="118"/>
      <c r="L11" s="117" t="s">
        <v>3</v>
      </c>
      <c r="M11" s="155">
        <f t="shared" si="3"/>
        <v>348.3</v>
      </c>
      <c r="N11" s="155">
        <f t="shared" si="3"/>
        <v>348.3</v>
      </c>
      <c r="O11" s="155">
        <f t="shared" si="3"/>
        <v>348.3</v>
      </c>
      <c r="P11" s="155">
        <f t="shared" si="3"/>
        <v>348.3</v>
      </c>
      <c r="Q11" s="112" t="s">
        <v>413</v>
      </c>
    </row>
    <row r="12" spans="1:17" ht="26.1" customHeight="1">
      <c r="A12" s="187"/>
      <c r="B12" s="119"/>
      <c r="C12" s="120" t="s">
        <v>397</v>
      </c>
      <c r="D12" s="122">
        <f>대학용수량!M33</f>
        <v>38</v>
      </c>
      <c r="E12" s="122">
        <f t="shared" si="2"/>
        <v>38</v>
      </c>
      <c r="F12" s="122">
        <f t="shared" si="2"/>
        <v>38</v>
      </c>
      <c r="G12" s="122">
        <f t="shared" si="2"/>
        <v>38</v>
      </c>
      <c r="H12" s="112" t="s">
        <v>502</v>
      </c>
      <c r="I12" t="s">
        <v>503</v>
      </c>
      <c r="J12" s="187"/>
      <c r="K12" s="119"/>
      <c r="L12" s="120" t="s">
        <v>397</v>
      </c>
      <c r="M12" s="155">
        <f t="shared" si="3"/>
        <v>51.300000000000004</v>
      </c>
      <c r="N12" s="155">
        <f t="shared" si="3"/>
        <v>51.300000000000004</v>
      </c>
      <c r="O12" s="155">
        <f t="shared" si="3"/>
        <v>51.300000000000004</v>
      </c>
      <c r="P12" s="155">
        <f t="shared" si="3"/>
        <v>51.300000000000004</v>
      </c>
      <c r="Q12" s="112" t="s">
        <v>414</v>
      </c>
    </row>
    <row r="13" spans="1:17" ht="26.1" customHeight="1">
      <c r="A13" s="185" t="s">
        <v>398</v>
      </c>
      <c r="B13" s="124"/>
      <c r="C13" s="115" t="s">
        <v>4</v>
      </c>
      <c r="D13" s="123">
        <f>SUM(D14)</f>
        <v>136</v>
      </c>
      <c r="E13" s="123">
        <f>SUM(E14)</f>
        <v>136</v>
      </c>
      <c r="F13" s="123">
        <f>SUM(F14)</f>
        <v>136</v>
      </c>
      <c r="G13" s="123">
        <f>SUM(G14)</f>
        <v>136</v>
      </c>
      <c r="H13" s="112"/>
      <c r="J13" s="185" t="s">
        <v>398</v>
      </c>
      <c r="K13" s="124"/>
      <c r="L13" s="115" t="s">
        <v>4</v>
      </c>
      <c r="M13" s="123">
        <f>SUM(M14)</f>
        <v>183.60000000000002</v>
      </c>
      <c r="N13" s="123">
        <f>SUM(N14)</f>
        <v>183.60000000000002</v>
      </c>
      <c r="O13" s="123">
        <f>SUM(O14)</f>
        <v>183.60000000000002</v>
      </c>
      <c r="P13" s="123">
        <f>SUM(P14)</f>
        <v>183.60000000000002</v>
      </c>
      <c r="Q13" s="112"/>
    </row>
    <row r="14" spans="1:17" ht="26.1" customHeight="1" thickBot="1">
      <c r="A14" s="186"/>
      <c r="B14" s="127"/>
      <c r="C14" s="132" t="s">
        <v>198</v>
      </c>
      <c r="D14" s="128">
        <f>교도소용수량!C67</f>
        <v>136</v>
      </c>
      <c r="E14" s="128">
        <f>교도소용수량!D67</f>
        <v>136</v>
      </c>
      <c r="F14" s="128">
        <f>교도소용수량!E67</f>
        <v>136</v>
      </c>
      <c r="G14" s="128">
        <f>교도소용수량!F67</f>
        <v>136</v>
      </c>
      <c r="H14" s="129" t="s">
        <v>502</v>
      </c>
      <c r="I14" t="s">
        <v>399</v>
      </c>
      <c r="J14" s="186"/>
      <c r="K14" s="127"/>
      <c r="L14" s="132" t="s">
        <v>198</v>
      </c>
      <c r="M14" s="155">
        <f>D14*1.35</f>
        <v>183.60000000000002</v>
      </c>
      <c r="N14" s="155">
        <f>E14*1.35</f>
        <v>183.60000000000002</v>
      </c>
      <c r="O14" s="155">
        <f>F14*1.35</f>
        <v>183.60000000000002</v>
      </c>
      <c r="P14" s="155">
        <f>G14*1.35</f>
        <v>183.60000000000002</v>
      </c>
      <c r="Q14" s="129" t="s">
        <v>399</v>
      </c>
    </row>
    <row r="15" spans="1:17" ht="26.1" customHeight="1">
      <c r="A15" s="116"/>
      <c r="B15" s="14"/>
      <c r="C15" s="152"/>
      <c r="D15" s="153"/>
      <c r="E15" s="153"/>
      <c r="F15" s="153"/>
      <c r="G15" s="153"/>
      <c r="H15" s="154"/>
    </row>
    <row r="16" spans="1:17" ht="26.1" customHeight="1" thickBot="1">
      <c r="A16" s="179" t="s">
        <v>416</v>
      </c>
      <c r="B16" s="93"/>
      <c r="C16" s="82"/>
      <c r="D16" s="83"/>
      <c r="E16" s="83"/>
      <c r="F16" s="83"/>
      <c r="G16" s="83"/>
      <c r="H16" s="83"/>
    </row>
    <row r="17" spans="1:18" ht="26.1" customHeight="1">
      <c r="A17" s="192" t="s">
        <v>328</v>
      </c>
      <c r="B17" s="193"/>
      <c r="C17" s="194"/>
      <c r="D17" s="198" t="s">
        <v>418</v>
      </c>
      <c r="E17" s="199"/>
      <c r="F17" s="199"/>
      <c r="G17" s="200"/>
      <c r="H17" s="190" t="s">
        <v>329</v>
      </c>
      <c r="J17" s="203"/>
      <c r="K17" s="203"/>
      <c r="L17" s="203"/>
      <c r="M17" s="203"/>
      <c r="N17" s="203"/>
      <c r="O17" s="203"/>
      <c r="P17" s="203"/>
      <c r="Q17" s="210"/>
      <c r="R17" s="14"/>
    </row>
    <row r="18" spans="1:18" ht="26.1" customHeight="1" thickBot="1">
      <c r="A18" s="195"/>
      <c r="B18" s="196"/>
      <c r="C18" s="197"/>
      <c r="D18" s="113" t="s">
        <v>330</v>
      </c>
      <c r="E18" s="113" t="s">
        <v>331</v>
      </c>
      <c r="F18" s="113" t="s">
        <v>332</v>
      </c>
      <c r="G18" s="113" t="s">
        <v>333</v>
      </c>
      <c r="H18" s="191"/>
      <c r="J18" s="203"/>
      <c r="K18" s="203"/>
      <c r="L18" s="203"/>
      <c r="M18" s="156"/>
      <c r="N18" s="156"/>
      <c r="O18" s="156"/>
      <c r="P18" s="156"/>
      <c r="Q18" s="210"/>
      <c r="R18" s="14"/>
    </row>
    <row r="19" spans="1:18" ht="26.1" customHeight="1">
      <c r="A19" s="205" t="s">
        <v>148</v>
      </c>
      <c r="B19" s="206"/>
      <c r="C19" s="207"/>
      <c r="D19" s="130">
        <f>D20+D23+D27</f>
        <v>1814</v>
      </c>
      <c r="E19" s="130">
        <f>E20+E23+E27</f>
        <v>1814</v>
      </c>
      <c r="F19" s="130">
        <f>F20+F23+F27</f>
        <v>1814</v>
      </c>
      <c r="G19" s="169">
        <f>G20+G23+G27</f>
        <v>1814</v>
      </c>
      <c r="H19" s="131"/>
      <c r="J19" s="204"/>
      <c r="K19" s="204"/>
      <c r="L19" s="204"/>
      <c r="M19" s="158"/>
      <c r="N19" s="158"/>
      <c r="O19" s="158"/>
      <c r="P19" s="158"/>
      <c r="Q19" s="159"/>
      <c r="R19" s="14"/>
    </row>
    <row r="20" spans="1:18" ht="26.1" customHeight="1">
      <c r="A20" s="185" t="s">
        <v>334</v>
      </c>
      <c r="B20" s="111"/>
      <c r="C20" s="114" t="s">
        <v>4</v>
      </c>
      <c r="D20" s="121">
        <f>SUM(D21:D22)</f>
        <v>546</v>
      </c>
      <c r="E20" s="121">
        <f>SUM(E21:E22)</f>
        <v>546</v>
      </c>
      <c r="F20" s="121">
        <f>SUM(F21:F22)</f>
        <v>546</v>
      </c>
      <c r="G20" s="170">
        <f>SUM(G21:G22)</f>
        <v>546</v>
      </c>
      <c r="H20" s="125"/>
      <c r="J20" s="201"/>
      <c r="K20" s="152"/>
      <c r="L20" s="157"/>
      <c r="M20" s="158"/>
      <c r="N20" s="158"/>
      <c r="O20" s="158"/>
      <c r="P20" s="158"/>
      <c r="Q20" s="159"/>
      <c r="R20" s="14"/>
    </row>
    <row r="21" spans="1:18" ht="26.1" customHeight="1">
      <c r="A21" s="208"/>
      <c r="B21" s="116"/>
      <c r="C21" s="117" t="s">
        <v>410</v>
      </c>
      <c r="D21" s="122">
        <f>'관광용수량(남당)'!G25</f>
        <v>473</v>
      </c>
      <c r="E21" s="122">
        <f t="shared" ref="E21:G22" si="4">D21</f>
        <v>473</v>
      </c>
      <c r="F21" s="122">
        <f t="shared" si="4"/>
        <v>473</v>
      </c>
      <c r="G21" s="155">
        <f t="shared" si="4"/>
        <v>473</v>
      </c>
      <c r="H21" s="112" t="s">
        <v>501</v>
      </c>
      <c r="I21" t="s">
        <v>399</v>
      </c>
      <c r="J21" s="201"/>
      <c r="K21" s="116"/>
      <c r="L21" s="160"/>
      <c r="M21" s="161"/>
      <c r="N21" s="153"/>
      <c r="O21" s="153"/>
      <c r="P21" s="153"/>
      <c r="Q21" s="154"/>
      <c r="R21" s="14"/>
    </row>
    <row r="22" spans="1:18" ht="26.1" customHeight="1">
      <c r="A22" s="209"/>
      <c r="B22" s="116"/>
      <c r="C22" s="151" t="s">
        <v>411</v>
      </c>
      <c r="D22" s="122">
        <f>'관광용수량(옥암지구 온천)'!G26</f>
        <v>73</v>
      </c>
      <c r="E22" s="122">
        <f t="shared" si="4"/>
        <v>73</v>
      </c>
      <c r="F22" s="122">
        <f t="shared" si="4"/>
        <v>73</v>
      </c>
      <c r="G22" s="155">
        <f t="shared" si="4"/>
        <v>73</v>
      </c>
      <c r="H22" s="112" t="s">
        <v>502</v>
      </c>
      <c r="I22" t="s">
        <v>413</v>
      </c>
      <c r="J22" s="201"/>
      <c r="K22" s="116"/>
      <c r="L22" s="162"/>
      <c r="M22" s="161"/>
      <c r="N22" s="153"/>
      <c r="O22" s="153"/>
      <c r="P22" s="153"/>
      <c r="Q22" s="154"/>
      <c r="R22" s="14"/>
    </row>
    <row r="23" spans="1:18" ht="26.1" customHeight="1">
      <c r="A23" s="187" t="s">
        <v>335</v>
      </c>
      <c r="B23" s="188" t="s">
        <v>4</v>
      </c>
      <c r="C23" s="189"/>
      <c r="D23" s="123">
        <f>SUM(D24:D26)</f>
        <v>1084</v>
      </c>
      <c r="E23" s="123">
        <f>SUM(E24:E26)</f>
        <v>1084</v>
      </c>
      <c r="F23" s="123">
        <f>SUM(F24:F26)</f>
        <v>1084</v>
      </c>
      <c r="G23" s="171">
        <f>SUM(G24:G26)</f>
        <v>1084</v>
      </c>
      <c r="H23" s="126"/>
      <c r="J23" s="201"/>
      <c r="K23" s="202"/>
      <c r="L23" s="202"/>
      <c r="M23" s="164"/>
      <c r="N23" s="164"/>
      <c r="O23" s="164"/>
      <c r="P23" s="164"/>
      <c r="Q23" s="165"/>
      <c r="R23" s="14"/>
    </row>
    <row r="24" spans="1:18" ht="26.1" customHeight="1">
      <c r="A24" s="187"/>
      <c r="B24" s="118"/>
      <c r="C24" s="117" t="s">
        <v>395</v>
      </c>
      <c r="D24" s="122">
        <f>대학용수량!G36</f>
        <v>685</v>
      </c>
      <c r="E24" s="122">
        <f>D24</f>
        <v>685</v>
      </c>
      <c r="F24" s="122">
        <f t="shared" ref="F24:G26" si="5">E24</f>
        <v>685</v>
      </c>
      <c r="G24" s="155">
        <f t="shared" si="5"/>
        <v>685</v>
      </c>
      <c r="H24" s="112" t="s">
        <v>502</v>
      </c>
      <c r="I24" t="s">
        <v>413</v>
      </c>
      <c r="J24" s="201"/>
      <c r="K24" s="166"/>
      <c r="L24" s="160"/>
      <c r="M24" s="161"/>
      <c r="N24" s="153"/>
      <c r="O24" s="153"/>
      <c r="P24" s="153"/>
      <c r="Q24" s="154"/>
      <c r="R24" s="14"/>
    </row>
    <row r="25" spans="1:18" ht="26.1" customHeight="1">
      <c r="A25" s="187"/>
      <c r="B25" s="118"/>
      <c r="C25" s="117" t="s">
        <v>396</v>
      </c>
      <c r="D25" s="122">
        <f>대학용수량!J36</f>
        <v>348</v>
      </c>
      <c r="E25" s="122">
        <f>D25</f>
        <v>348</v>
      </c>
      <c r="F25" s="122">
        <f t="shared" si="5"/>
        <v>348</v>
      </c>
      <c r="G25" s="155">
        <f t="shared" si="5"/>
        <v>348</v>
      </c>
      <c r="H25" s="112" t="s">
        <v>502</v>
      </c>
      <c r="I25" t="s">
        <v>413</v>
      </c>
      <c r="J25" s="201"/>
      <c r="K25" s="166"/>
      <c r="L25" s="160"/>
      <c r="M25" s="161"/>
      <c r="N25" s="153"/>
      <c r="O25" s="153"/>
      <c r="P25" s="153"/>
      <c r="Q25" s="154"/>
      <c r="R25" s="14"/>
    </row>
    <row r="26" spans="1:18" ht="26.1" customHeight="1">
      <c r="A26" s="187"/>
      <c r="B26" s="119"/>
      <c r="C26" s="120" t="s">
        <v>397</v>
      </c>
      <c r="D26" s="122">
        <f>대학용수량!M36</f>
        <v>51</v>
      </c>
      <c r="E26" s="122">
        <f>D26</f>
        <v>51</v>
      </c>
      <c r="F26" s="122">
        <f t="shared" si="5"/>
        <v>51</v>
      </c>
      <c r="G26" s="155">
        <f t="shared" si="5"/>
        <v>51</v>
      </c>
      <c r="H26" s="112" t="s">
        <v>502</v>
      </c>
      <c r="I26" t="s">
        <v>503</v>
      </c>
      <c r="J26" s="201"/>
      <c r="K26" s="166"/>
      <c r="L26" s="162"/>
      <c r="M26" s="161"/>
      <c r="N26" s="153"/>
      <c r="O26" s="153"/>
      <c r="P26" s="153"/>
      <c r="Q26" s="154"/>
      <c r="R26" s="14"/>
    </row>
    <row r="27" spans="1:18" ht="26.1" customHeight="1">
      <c r="A27" s="185" t="s">
        <v>398</v>
      </c>
      <c r="B27" s="124"/>
      <c r="C27" s="115" t="s">
        <v>4</v>
      </c>
      <c r="D27" s="123">
        <f>SUM(D28)</f>
        <v>184</v>
      </c>
      <c r="E27" s="123">
        <f>SUM(E28)</f>
        <v>184</v>
      </c>
      <c r="F27" s="123">
        <f>SUM(F28)</f>
        <v>184</v>
      </c>
      <c r="G27" s="171">
        <f>SUM(G28)</f>
        <v>184</v>
      </c>
      <c r="H27" s="112"/>
      <c r="J27" s="201"/>
      <c r="K27" s="14"/>
      <c r="L27" s="163"/>
      <c r="M27" s="164"/>
      <c r="N27" s="164"/>
      <c r="O27" s="164"/>
      <c r="P27" s="164"/>
      <c r="Q27" s="154"/>
      <c r="R27" s="14"/>
    </row>
    <row r="28" spans="1:18" ht="26.1" customHeight="1" thickBot="1">
      <c r="A28" s="186"/>
      <c r="B28" s="127"/>
      <c r="C28" s="132" t="s">
        <v>336</v>
      </c>
      <c r="D28" s="128">
        <f>교도소용수량!C68</f>
        <v>184</v>
      </c>
      <c r="E28" s="128">
        <f>교도소용수량!D68</f>
        <v>184</v>
      </c>
      <c r="F28" s="128">
        <f>교도소용수량!E68</f>
        <v>184</v>
      </c>
      <c r="G28" s="128">
        <f>교도소용수량!F68</f>
        <v>184</v>
      </c>
      <c r="H28" s="129" t="s">
        <v>502</v>
      </c>
      <c r="I28" t="s">
        <v>399</v>
      </c>
      <c r="J28" s="201"/>
      <c r="K28" s="14"/>
      <c r="L28" s="152"/>
      <c r="M28" s="153"/>
      <c r="N28" s="153"/>
      <c r="O28" s="153"/>
      <c r="P28" s="153"/>
      <c r="Q28" s="154"/>
      <c r="R28" s="14"/>
    </row>
    <row r="29" spans="1:18" ht="30.75" customHeight="1">
      <c r="A29" s="92"/>
      <c r="B29" s="92"/>
      <c r="C29" s="82"/>
      <c r="D29" s="81"/>
      <c r="E29" s="81"/>
      <c r="F29" s="81"/>
      <c r="G29" s="81"/>
      <c r="H29" s="81"/>
    </row>
    <row r="30" spans="1:18" ht="30.75" customHeight="1">
      <c r="A30" s="92"/>
      <c r="B30" s="92"/>
      <c r="C30" s="82"/>
      <c r="D30" s="81"/>
      <c r="E30" s="81"/>
      <c r="F30" s="81"/>
      <c r="G30" s="81"/>
      <c r="H30" s="81"/>
    </row>
    <row r="31" spans="1:18" ht="30.75" customHeight="1"/>
    <row r="32" spans="1:18" ht="30.75" customHeight="1"/>
    <row r="33" spans="1:8" ht="30.75" customHeight="1"/>
    <row r="34" spans="1:8" ht="30.75" customHeight="1"/>
    <row r="35" spans="1:8" ht="30.75" customHeight="1"/>
    <row r="36" spans="1:8" ht="30.75" customHeight="1"/>
    <row r="37" spans="1:8" ht="30.75" customHeight="1"/>
    <row r="38" spans="1:8" ht="30.75" customHeight="1"/>
    <row r="39" spans="1:8" ht="30.75" customHeight="1"/>
    <row r="40" spans="1:8" ht="30.75" customHeight="1"/>
    <row r="41" spans="1:8" ht="30.75" customHeight="1"/>
    <row r="42" spans="1:8" ht="30.75" hidden="1" customHeight="1"/>
    <row r="43" spans="1:8" ht="30.75" hidden="1" customHeight="1"/>
    <row r="44" spans="1:8" ht="30.75" customHeight="1"/>
    <row r="45" spans="1:8" ht="30.75" customHeight="1"/>
    <row r="46" spans="1:8" ht="30.75" customHeight="1">
      <c r="A46" s="116"/>
      <c r="B46" s="14"/>
      <c r="C46" s="152"/>
      <c r="D46" s="153"/>
      <c r="E46" s="153"/>
      <c r="F46" s="153"/>
      <c r="G46" s="153"/>
      <c r="H46" s="154"/>
    </row>
    <row r="58" hidden="1"/>
    <row r="59" hidden="1"/>
  </sheetData>
  <mergeCells count="32">
    <mergeCell ref="A19:C19"/>
    <mergeCell ref="A20:A22"/>
    <mergeCell ref="M17:P17"/>
    <mergeCell ref="Q17:Q18"/>
    <mergeCell ref="H3:H4"/>
    <mergeCell ref="A5:C5"/>
    <mergeCell ref="A6:A8"/>
    <mergeCell ref="A9:A12"/>
    <mergeCell ref="B9:C9"/>
    <mergeCell ref="A3:C4"/>
    <mergeCell ref="D3:G3"/>
    <mergeCell ref="J3:L4"/>
    <mergeCell ref="M3:P3"/>
    <mergeCell ref="Q3:Q4"/>
    <mergeCell ref="J5:L5"/>
    <mergeCell ref="J6:J8"/>
    <mergeCell ref="A27:A28"/>
    <mergeCell ref="A23:A26"/>
    <mergeCell ref="B23:C23"/>
    <mergeCell ref="J9:J12"/>
    <mergeCell ref="K9:L9"/>
    <mergeCell ref="H17:H18"/>
    <mergeCell ref="A17:C18"/>
    <mergeCell ref="D17:G17"/>
    <mergeCell ref="J23:J26"/>
    <mergeCell ref="K23:L23"/>
    <mergeCell ref="J27:J28"/>
    <mergeCell ref="J13:J14"/>
    <mergeCell ref="J17:L18"/>
    <mergeCell ref="J19:L19"/>
    <mergeCell ref="J20:J22"/>
    <mergeCell ref="A13:A14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S43"/>
  <sheetViews>
    <sheetView showGridLines="0" view="pageBreakPreview" zoomScaleNormal="90" workbookViewId="0">
      <selection activeCell="X25" sqref="X25"/>
    </sheetView>
  </sheetViews>
  <sheetFormatPr defaultRowHeight="24.95" customHeight="1"/>
  <cols>
    <col min="1" max="1" width="7.109375" style="67" customWidth="1"/>
    <col min="2" max="2" width="11.33203125" style="67" customWidth="1"/>
    <col min="3" max="3" width="6.88671875" style="67" hidden="1" customWidth="1"/>
    <col min="4" max="4" width="7.77734375" style="42" customWidth="1"/>
    <col min="5" max="5" width="7.33203125" style="66" customWidth="1"/>
    <col min="6" max="6" width="7.77734375" style="66" customWidth="1"/>
    <col min="7" max="7" width="6.5546875" style="42" customWidth="1"/>
    <col min="8" max="8" width="7.109375" style="42" customWidth="1"/>
    <col min="9" max="9" width="7.77734375" style="66" customWidth="1"/>
    <col min="10" max="11" width="7.21875" style="66" customWidth="1"/>
    <col min="12" max="12" width="7.33203125" style="66" customWidth="1"/>
    <col min="13" max="13" width="7.77734375" style="42" hidden="1" customWidth="1"/>
    <col min="14" max="14" width="7.21875" style="42" hidden="1" customWidth="1"/>
    <col min="15" max="15" width="6.88671875" style="42" hidden="1" customWidth="1"/>
    <col min="16" max="16" width="7.77734375" style="42" hidden="1" customWidth="1"/>
    <col min="17" max="17" width="7.77734375" style="66" hidden="1" customWidth="1"/>
    <col min="18" max="18" width="8.5546875" style="66" hidden="1" customWidth="1"/>
    <col min="19" max="19" width="17.109375" style="65" customWidth="1"/>
    <col min="20" max="16384" width="8.88671875" style="42"/>
  </cols>
  <sheetData>
    <row r="1" spans="1:19" ht="24.95" customHeight="1">
      <c r="A1" s="427" t="s">
        <v>423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</row>
    <row r="2" spans="1:19" ht="24.95" customHeight="1">
      <c r="A2" s="428" t="s">
        <v>421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</row>
    <row r="3" spans="1:19" ht="24.95" customHeight="1">
      <c r="A3" s="167" t="s">
        <v>422</v>
      </c>
    </row>
    <row r="4" spans="1:19" ht="24.95" customHeight="1">
      <c r="A4" s="14" t="s">
        <v>187</v>
      </c>
    </row>
    <row r="5" spans="1:19" ht="20.100000000000001" customHeight="1">
      <c r="A5" s="426"/>
      <c r="B5" s="426"/>
      <c r="C5" s="424"/>
      <c r="D5" s="421"/>
      <c r="E5" s="421"/>
      <c r="F5" s="43" t="s">
        <v>133</v>
      </c>
      <c r="G5" s="424" t="s">
        <v>131</v>
      </c>
      <c r="H5" s="44" t="s">
        <v>132</v>
      </c>
      <c r="I5" s="43" t="s">
        <v>129</v>
      </c>
      <c r="J5" s="44" t="s">
        <v>22</v>
      </c>
      <c r="K5" s="44" t="s">
        <v>23</v>
      </c>
      <c r="L5" s="44" t="s">
        <v>130</v>
      </c>
      <c r="M5" s="45" t="s">
        <v>22</v>
      </c>
      <c r="N5" s="45" t="s">
        <v>23</v>
      </c>
      <c r="O5" s="45" t="s">
        <v>134</v>
      </c>
      <c r="P5" s="44" t="s">
        <v>135</v>
      </c>
      <c r="Q5" s="44" t="s">
        <v>136</v>
      </c>
      <c r="R5" s="44" t="s">
        <v>137</v>
      </c>
      <c r="S5" s="423"/>
    </row>
    <row r="6" spans="1:19" ht="20.100000000000001" customHeight="1">
      <c r="A6" s="426"/>
      <c r="B6" s="426"/>
      <c r="C6" s="425"/>
      <c r="D6" s="421"/>
      <c r="E6" s="421"/>
      <c r="F6" s="46" t="s">
        <v>138</v>
      </c>
      <c r="G6" s="425"/>
      <c r="H6" s="47" t="s">
        <v>141</v>
      </c>
      <c r="I6" s="46" t="s">
        <v>138</v>
      </c>
      <c r="J6" s="47" t="s">
        <v>139</v>
      </c>
      <c r="K6" s="47" t="s">
        <v>139</v>
      </c>
      <c r="L6" s="47" t="s">
        <v>140</v>
      </c>
      <c r="M6" s="48" t="s">
        <v>142</v>
      </c>
      <c r="N6" s="48" t="s">
        <v>142</v>
      </c>
      <c r="O6" s="48" t="s">
        <v>143</v>
      </c>
      <c r="P6" s="48" t="s">
        <v>142</v>
      </c>
      <c r="Q6" s="48" t="s">
        <v>142</v>
      </c>
      <c r="R6" s="48" t="s">
        <v>142</v>
      </c>
      <c r="S6" s="423"/>
    </row>
    <row r="7" spans="1:19" ht="19.5" customHeight="1">
      <c r="A7" s="426"/>
      <c r="B7" s="426"/>
      <c r="C7" s="41" t="s">
        <v>144</v>
      </c>
      <c r="D7" s="41" t="s">
        <v>144</v>
      </c>
      <c r="E7" s="49" t="s">
        <v>128</v>
      </c>
      <c r="F7" s="50" t="s">
        <v>145</v>
      </c>
      <c r="G7" s="41" t="s">
        <v>147</v>
      </c>
      <c r="H7" s="41" t="s">
        <v>147</v>
      </c>
      <c r="I7" s="50" t="s">
        <v>145</v>
      </c>
      <c r="J7" s="49" t="s">
        <v>146</v>
      </c>
      <c r="K7" s="49" t="s">
        <v>146</v>
      </c>
      <c r="L7" s="49" t="s">
        <v>146</v>
      </c>
      <c r="M7" s="49" t="s">
        <v>146</v>
      </c>
      <c r="N7" s="49" t="s">
        <v>146</v>
      </c>
      <c r="O7" s="49" t="s">
        <v>146</v>
      </c>
      <c r="P7" s="49" t="s">
        <v>146</v>
      </c>
      <c r="Q7" s="49" t="s">
        <v>146</v>
      </c>
      <c r="R7" s="49" t="s">
        <v>146</v>
      </c>
      <c r="S7" s="423"/>
    </row>
    <row r="8" spans="1:19" s="54" customFormat="1" ht="21.95" customHeight="1">
      <c r="A8" s="420" t="s">
        <v>148</v>
      </c>
      <c r="B8" s="420"/>
      <c r="C8" s="51"/>
      <c r="D8" s="52">
        <f>D16+D34+D37+D40+D42</f>
        <v>80862</v>
      </c>
      <c r="E8" s="52">
        <f>E16+E34+E37+E40+E42</f>
        <v>896</v>
      </c>
      <c r="F8" s="53"/>
      <c r="G8" s="52"/>
      <c r="H8" s="52"/>
      <c r="I8" s="53"/>
      <c r="J8" s="52">
        <f>ROUND(J16+J34+J37+J40+J42,0)</f>
        <v>1175</v>
      </c>
      <c r="K8" s="52">
        <f>ROUND(K16+K34+K37+K40+K42,1)</f>
        <v>1586</v>
      </c>
      <c r="L8" s="52">
        <f>L16+L34+L37+L40+L42</f>
        <v>3172</v>
      </c>
      <c r="M8" s="52">
        <f>M16+M34+M37+M40+M42</f>
        <v>944.6</v>
      </c>
      <c r="N8" s="52" t="e">
        <f>N16+N34+N37+N40+N42+#REF!</f>
        <v>#REF!</v>
      </c>
      <c r="O8" s="52" t="e">
        <f>O16+O34+O37+O40+O42+#REF!</f>
        <v>#REF!</v>
      </c>
      <c r="P8" s="52" t="e">
        <f>P16+P34+P37+P40+P42+#REF!</f>
        <v>#REF!</v>
      </c>
      <c r="Q8" s="52" t="e">
        <f>Q16+Q34+Q37+Q40+Q42+#REF!</f>
        <v>#REF!</v>
      </c>
      <c r="R8" s="52" t="e">
        <f>R16+R34+R37+R40+R42+#REF!</f>
        <v>#REF!</v>
      </c>
      <c r="S8" s="52"/>
    </row>
    <row r="9" spans="1:19" ht="21.95" customHeight="1">
      <c r="A9" s="422" t="s">
        <v>149</v>
      </c>
      <c r="B9" s="55" t="s">
        <v>150</v>
      </c>
      <c r="C9" s="56">
        <v>1056.07</v>
      </c>
      <c r="D9" s="57">
        <f>ROUNDUP(C9*1.3,0)</f>
        <v>1373</v>
      </c>
      <c r="E9" s="57">
        <f>ROUND(18*4,0)</f>
        <v>72</v>
      </c>
      <c r="F9" s="58">
        <v>250</v>
      </c>
      <c r="G9" s="57">
        <v>85</v>
      </c>
      <c r="H9" s="57">
        <v>87</v>
      </c>
      <c r="I9" s="58">
        <f t="shared" ref="I9:I15" si="0">ROUND((F9/(G9/100))/(H9/100),0)</f>
        <v>338</v>
      </c>
      <c r="J9" s="57">
        <f t="shared" ref="J9:J15" si="1">ROUND(K9/1.35,0)</f>
        <v>18</v>
      </c>
      <c r="K9" s="57">
        <f>ROUND(($E9*I9/1000),1)</f>
        <v>24.3</v>
      </c>
      <c r="L9" s="57">
        <f t="shared" ref="L9:L15" si="2">ROUND(K9*2,1)</f>
        <v>48.6</v>
      </c>
      <c r="M9" s="57">
        <f t="shared" ref="M9:M15" si="3">ROUND(N9*0.8,1)</f>
        <v>14.4</v>
      </c>
      <c r="N9" s="57">
        <f t="shared" ref="N9:N15" si="4">ROUND($E9*F9/1000,0)</f>
        <v>18</v>
      </c>
      <c r="O9" s="57">
        <f t="shared" ref="O9:O15" si="5">ROUND(N9*0.1,0)</f>
        <v>2</v>
      </c>
      <c r="P9" s="57">
        <f t="shared" ref="P9:P15" si="6">ROUND(M9+O9,1)</f>
        <v>16.399999999999999</v>
      </c>
      <c r="Q9" s="57">
        <f t="shared" ref="Q9:Q15" si="7">SUM(N9:O9)</f>
        <v>20</v>
      </c>
      <c r="R9" s="57">
        <f t="shared" ref="R9:R15" si="8">ROUND(N9*1.5+O9,2)</f>
        <v>29</v>
      </c>
      <c r="S9" s="57" t="s">
        <v>151</v>
      </c>
    </row>
    <row r="10" spans="1:19" ht="21.95" customHeight="1">
      <c r="A10" s="422"/>
      <c r="B10" s="55" t="s">
        <v>152</v>
      </c>
      <c r="C10" s="56">
        <v>1291.8499999999999</v>
      </c>
      <c r="D10" s="57">
        <f>ROUNDUP(C10*1.3,0)</f>
        <v>1680</v>
      </c>
      <c r="E10" s="57">
        <f>ROUND(19*4,0)</f>
        <v>76</v>
      </c>
      <c r="F10" s="58">
        <v>250</v>
      </c>
      <c r="G10" s="57">
        <v>85</v>
      </c>
      <c r="H10" s="57">
        <v>87</v>
      </c>
      <c r="I10" s="58">
        <f t="shared" si="0"/>
        <v>338</v>
      </c>
      <c r="J10" s="57">
        <f t="shared" si="1"/>
        <v>19</v>
      </c>
      <c r="K10" s="57">
        <f>ROUND(($E10*I10/1000),1)</f>
        <v>25.7</v>
      </c>
      <c r="L10" s="57">
        <f t="shared" si="2"/>
        <v>51.4</v>
      </c>
      <c r="M10" s="57">
        <f t="shared" si="3"/>
        <v>15.2</v>
      </c>
      <c r="N10" s="57">
        <f t="shared" si="4"/>
        <v>19</v>
      </c>
      <c r="O10" s="57">
        <f t="shared" si="5"/>
        <v>2</v>
      </c>
      <c r="P10" s="57">
        <f t="shared" si="6"/>
        <v>17.2</v>
      </c>
      <c r="Q10" s="57">
        <f t="shared" si="7"/>
        <v>21</v>
      </c>
      <c r="R10" s="57">
        <f t="shared" si="8"/>
        <v>30.5</v>
      </c>
      <c r="S10" s="57" t="s">
        <v>151</v>
      </c>
    </row>
    <row r="11" spans="1:19" ht="21.95" customHeight="1">
      <c r="A11" s="422"/>
      <c r="B11" s="55" t="s">
        <v>153</v>
      </c>
      <c r="C11" s="56">
        <v>1914.73</v>
      </c>
      <c r="D11" s="57">
        <f>ROUND(C11*1.3,0)</f>
        <v>2489</v>
      </c>
      <c r="E11" s="57">
        <f>ROUND(30*4,0)</f>
        <v>120</v>
      </c>
      <c r="F11" s="58">
        <v>250</v>
      </c>
      <c r="G11" s="57">
        <v>85</v>
      </c>
      <c r="H11" s="57">
        <v>87</v>
      </c>
      <c r="I11" s="58">
        <f t="shared" si="0"/>
        <v>338</v>
      </c>
      <c r="J11" s="57">
        <f t="shared" si="1"/>
        <v>30</v>
      </c>
      <c r="K11" s="57">
        <f>ROUNDDOWN(($E11*I11/1000),0)</f>
        <v>40</v>
      </c>
      <c r="L11" s="57">
        <f t="shared" si="2"/>
        <v>80</v>
      </c>
      <c r="M11" s="57">
        <f t="shared" si="3"/>
        <v>24</v>
      </c>
      <c r="N11" s="57">
        <f t="shared" si="4"/>
        <v>30</v>
      </c>
      <c r="O11" s="57">
        <f t="shared" si="5"/>
        <v>3</v>
      </c>
      <c r="P11" s="57">
        <f t="shared" si="6"/>
        <v>27</v>
      </c>
      <c r="Q11" s="57">
        <f t="shared" si="7"/>
        <v>33</v>
      </c>
      <c r="R11" s="57">
        <f t="shared" si="8"/>
        <v>48</v>
      </c>
      <c r="S11" s="57" t="s">
        <v>151</v>
      </c>
    </row>
    <row r="12" spans="1:19" ht="21.95" customHeight="1">
      <c r="A12" s="422"/>
      <c r="B12" s="55" t="s">
        <v>154</v>
      </c>
      <c r="C12" s="56">
        <v>1929.99</v>
      </c>
      <c r="D12" s="57">
        <f>ROUND(C12*1.3,0)</f>
        <v>2509</v>
      </c>
      <c r="E12" s="57">
        <f>ROUND(30*4,0)</f>
        <v>120</v>
      </c>
      <c r="F12" s="58">
        <v>250</v>
      </c>
      <c r="G12" s="57">
        <v>85</v>
      </c>
      <c r="H12" s="57">
        <v>87</v>
      </c>
      <c r="I12" s="58">
        <f t="shared" si="0"/>
        <v>338</v>
      </c>
      <c r="J12" s="57">
        <f t="shared" si="1"/>
        <v>30</v>
      </c>
      <c r="K12" s="57">
        <f>ROUNDDOWN(($E12*I12/1000),1)</f>
        <v>40.5</v>
      </c>
      <c r="L12" s="57">
        <f t="shared" si="2"/>
        <v>81</v>
      </c>
      <c r="M12" s="57">
        <f t="shared" si="3"/>
        <v>24</v>
      </c>
      <c r="N12" s="57">
        <f t="shared" si="4"/>
        <v>30</v>
      </c>
      <c r="O12" s="57">
        <f t="shared" si="5"/>
        <v>3</v>
      </c>
      <c r="P12" s="57">
        <f t="shared" si="6"/>
        <v>27</v>
      </c>
      <c r="Q12" s="57">
        <f t="shared" si="7"/>
        <v>33</v>
      </c>
      <c r="R12" s="57">
        <f t="shared" si="8"/>
        <v>48</v>
      </c>
      <c r="S12" s="57" t="s">
        <v>151</v>
      </c>
    </row>
    <row r="13" spans="1:19" ht="21.95" customHeight="1">
      <c r="A13" s="422"/>
      <c r="B13" s="55" t="s">
        <v>155</v>
      </c>
      <c r="C13" s="56">
        <v>1958.75</v>
      </c>
      <c r="D13" s="57">
        <f>ROUND(C13*1.3,0)</f>
        <v>2546</v>
      </c>
      <c r="E13" s="57">
        <f>ROUND(31*4,0)</f>
        <v>124</v>
      </c>
      <c r="F13" s="58">
        <v>250</v>
      </c>
      <c r="G13" s="57">
        <v>85</v>
      </c>
      <c r="H13" s="57">
        <v>87</v>
      </c>
      <c r="I13" s="58">
        <f t="shared" si="0"/>
        <v>338</v>
      </c>
      <c r="J13" s="57">
        <f t="shared" si="1"/>
        <v>31</v>
      </c>
      <c r="K13" s="57">
        <f>ROUND(($E13*I13/1000),1)</f>
        <v>41.9</v>
      </c>
      <c r="L13" s="57">
        <f t="shared" si="2"/>
        <v>83.8</v>
      </c>
      <c r="M13" s="57">
        <f t="shared" si="3"/>
        <v>24.8</v>
      </c>
      <c r="N13" s="57">
        <f t="shared" si="4"/>
        <v>31</v>
      </c>
      <c r="O13" s="57">
        <f t="shared" si="5"/>
        <v>3</v>
      </c>
      <c r="P13" s="57">
        <f t="shared" si="6"/>
        <v>27.8</v>
      </c>
      <c r="Q13" s="57">
        <f t="shared" si="7"/>
        <v>34</v>
      </c>
      <c r="R13" s="57">
        <f t="shared" si="8"/>
        <v>49.5</v>
      </c>
      <c r="S13" s="57" t="s">
        <v>151</v>
      </c>
    </row>
    <row r="14" spans="1:19" ht="21.95" customHeight="1">
      <c r="A14" s="422"/>
      <c r="B14" s="55" t="s">
        <v>117</v>
      </c>
      <c r="C14" s="56">
        <v>1953.79</v>
      </c>
      <c r="D14" s="57">
        <f>ROUND(C14*1.3,0)</f>
        <v>2540</v>
      </c>
      <c r="E14" s="57">
        <f>ROUND(30*4,0)</f>
        <v>120</v>
      </c>
      <c r="F14" s="58">
        <v>250</v>
      </c>
      <c r="G14" s="57">
        <v>85</v>
      </c>
      <c r="H14" s="57">
        <v>87</v>
      </c>
      <c r="I14" s="58">
        <f t="shared" si="0"/>
        <v>338</v>
      </c>
      <c r="J14" s="57">
        <f t="shared" si="1"/>
        <v>30</v>
      </c>
      <c r="K14" s="57">
        <f>ROUND(($E14*I14/1000),1)</f>
        <v>40.6</v>
      </c>
      <c r="L14" s="57">
        <f t="shared" si="2"/>
        <v>81.2</v>
      </c>
      <c r="M14" s="57">
        <f t="shared" si="3"/>
        <v>24</v>
      </c>
      <c r="N14" s="57">
        <f t="shared" si="4"/>
        <v>30</v>
      </c>
      <c r="O14" s="57">
        <f t="shared" si="5"/>
        <v>3</v>
      </c>
      <c r="P14" s="57">
        <f t="shared" si="6"/>
        <v>27</v>
      </c>
      <c r="Q14" s="57">
        <f t="shared" si="7"/>
        <v>33</v>
      </c>
      <c r="R14" s="57">
        <f t="shared" si="8"/>
        <v>48</v>
      </c>
      <c r="S14" s="57" t="s">
        <v>151</v>
      </c>
    </row>
    <row r="15" spans="1:19" ht="21.95" customHeight="1">
      <c r="A15" s="422"/>
      <c r="B15" s="55" t="s">
        <v>156</v>
      </c>
      <c r="C15" s="56">
        <v>4260.0600000000004</v>
      </c>
      <c r="D15" s="57">
        <f>ROUND(C15*1.3,0)</f>
        <v>5538</v>
      </c>
      <c r="E15" s="57">
        <f>ROUND(66*4,0)</f>
        <v>264</v>
      </c>
      <c r="F15" s="58">
        <v>300</v>
      </c>
      <c r="G15" s="57">
        <v>85</v>
      </c>
      <c r="H15" s="57">
        <v>87</v>
      </c>
      <c r="I15" s="58">
        <f t="shared" si="0"/>
        <v>406</v>
      </c>
      <c r="J15" s="57">
        <f t="shared" si="1"/>
        <v>79</v>
      </c>
      <c r="K15" s="57">
        <f>ROUND(($E15*I15/1000),1)</f>
        <v>107.2</v>
      </c>
      <c r="L15" s="57">
        <f t="shared" si="2"/>
        <v>214.4</v>
      </c>
      <c r="M15" s="57">
        <f t="shared" si="3"/>
        <v>63.2</v>
      </c>
      <c r="N15" s="57">
        <f t="shared" si="4"/>
        <v>79</v>
      </c>
      <c r="O15" s="57">
        <f t="shared" si="5"/>
        <v>8</v>
      </c>
      <c r="P15" s="57">
        <f t="shared" si="6"/>
        <v>71.2</v>
      </c>
      <c r="Q15" s="57">
        <f t="shared" si="7"/>
        <v>87</v>
      </c>
      <c r="R15" s="57">
        <f t="shared" si="8"/>
        <v>126.5</v>
      </c>
      <c r="S15" s="57" t="s">
        <v>157</v>
      </c>
    </row>
    <row r="16" spans="1:19" s="54" customFormat="1" ht="21.95" customHeight="1">
      <c r="A16" s="422"/>
      <c r="B16" s="59" t="s">
        <v>115</v>
      </c>
      <c r="C16" s="60"/>
      <c r="D16" s="61">
        <f>SUM(D9:D15)</f>
        <v>18675</v>
      </c>
      <c r="E16" s="61">
        <f>SUM(E9:E15)</f>
        <v>896</v>
      </c>
      <c r="F16" s="62"/>
      <c r="G16" s="61"/>
      <c r="H16" s="61"/>
      <c r="I16" s="62"/>
      <c r="J16" s="61">
        <f>SUM(J9:J15)</f>
        <v>237</v>
      </c>
      <c r="K16" s="61">
        <f t="shared" ref="K16:Q16" si="9">ROUND(SUM(K9:K15),1)</f>
        <v>320.2</v>
      </c>
      <c r="L16" s="61">
        <f t="shared" si="9"/>
        <v>640.4</v>
      </c>
      <c r="M16" s="61">
        <f t="shared" si="9"/>
        <v>189.6</v>
      </c>
      <c r="N16" s="61">
        <f t="shared" si="9"/>
        <v>237</v>
      </c>
      <c r="O16" s="61">
        <f t="shared" si="9"/>
        <v>24</v>
      </c>
      <c r="P16" s="61">
        <f t="shared" si="9"/>
        <v>213.6</v>
      </c>
      <c r="Q16" s="61">
        <f t="shared" si="9"/>
        <v>261</v>
      </c>
      <c r="R16" s="61">
        <f>ROUND(SUM(R9:R15),2)</f>
        <v>379.5</v>
      </c>
      <c r="S16" s="61"/>
    </row>
    <row r="17" spans="1:19" ht="21.95" customHeight="1">
      <c r="A17" s="422" t="s">
        <v>158</v>
      </c>
      <c r="B17" s="55" t="s">
        <v>159</v>
      </c>
      <c r="C17" s="56">
        <v>1507.43</v>
      </c>
      <c r="D17" s="57">
        <f t="shared" ref="D17:D33" si="10">ROUND(C17*1.3,0)</f>
        <v>1960</v>
      </c>
      <c r="E17" s="57"/>
      <c r="F17" s="58">
        <v>15</v>
      </c>
      <c r="G17" s="57">
        <v>85</v>
      </c>
      <c r="H17" s="57">
        <v>87</v>
      </c>
      <c r="I17" s="58">
        <f t="shared" ref="I17:I33" si="11">ROUND((F17/(G17/100))/(H17/100),0)</f>
        <v>20</v>
      </c>
      <c r="J17" s="57">
        <f>ROUNDUP(K17/1.35,0)</f>
        <v>30</v>
      </c>
      <c r="K17" s="57">
        <f t="shared" ref="K17:K26" si="12">ROUND($D17*I17/1000,1)</f>
        <v>39.200000000000003</v>
      </c>
      <c r="L17" s="57">
        <f t="shared" ref="L17:L33" si="13">ROUND(K17*2,1)</f>
        <v>78.400000000000006</v>
      </c>
      <c r="M17" s="57">
        <f t="shared" ref="M17:M33" si="14">ROUND(N17*0.8,0)</f>
        <v>23</v>
      </c>
      <c r="N17" s="57">
        <f t="shared" ref="N17:N27" si="15">ROUND($D17*F17/1000,0)</f>
        <v>29</v>
      </c>
      <c r="O17" s="57">
        <f t="shared" ref="O17:O23" si="16">ROUND(N17*0.1,0)</f>
        <v>3</v>
      </c>
      <c r="P17" s="57">
        <f t="shared" ref="P17:P33" si="17">ROUND(M17+O17,1)</f>
        <v>26</v>
      </c>
      <c r="Q17" s="57">
        <f t="shared" ref="Q17:Q33" si="18">SUM(N17:O17)</f>
        <v>32</v>
      </c>
      <c r="R17" s="57">
        <f t="shared" ref="R17:R33" si="19">ROUND(N17*1.5+O17,2)</f>
        <v>46.5</v>
      </c>
      <c r="S17" s="57" t="s">
        <v>160</v>
      </c>
    </row>
    <row r="18" spans="1:19" ht="21.95" customHeight="1">
      <c r="A18" s="422"/>
      <c r="B18" s="55" t="s">
        <v>118</v>
      </c>
      <c r="C18" s="56">
        <v>1759.5</v>
      </c>
      <c r="D18" s="57">
        <f t="shared" si="10"/>
        <v>2287</v>
      </c>
      <c r="E18" s="57"/>
      <c r="F18" s="58">
        <v>15</v>
      </c>
      <c r="G18" s="57">
        <v>85</v>
      </c>
      <c r="H18" s="57">
        <v>87</v>
      </c>
      <c r="I18" s="58">
        <f t="shared" si="11"/>
        <v>20</v>
      </c>
      <c r="J18" s="57">
        <f t="shared" ref="J18:J33" si="20">ROUND(K18/1.35,0)</f>
        <v>34</v>
      </c>
      <c r="K18" s="57">
        <f t="shared" si="12"/>
        <v>45.7</v>
      </c>
      <c r="L18" s="57">
        <f t="shared" si="13"/>
        <v>91.4</v>
      </c>
      <c r="M18" s="57">
        <f t="shared" si="14"/>
        <v>27</v>
      </c>
      <c r="N18" s="57">
        <f t="shared" si="15"/>
        <v>34</v>
      </c>
      <c r="O18" s="57">
        <f t="shared" si="16"/>
        <v>3</v>
      </c>
      <c r="P18" s="57">
        <f t="shared" si="17"/>
        <v>30</v>
      </c>
      <c r="Q18" s="57">
        <f t="shared" si="18"/>
        <v>37</v>
      </c>
      <c r="R18" s="57">
        <f t="shared" si="19"/>
        <v>54</v>
      </c>
      <c r="S18" s="57"/>
    </row>
    <row r="19" spans="1:19" ht="21.95" customHeight="1">
      <c r="A19" s="422"/>
      <c r="B19" s="55" t="s">
        <v>161</v>
      </c>
      <c r="C19" s="56">
        <v>2130.9</v>
      </c>
      <c r="D19" s="57">
        <f t="shared" si="10"/>
        <v>2770</v>
      </c>
      <c r="E19" s="57"/>
      <c r="F19" s="58">
        <v>15</v>
      </c>
      <c r="G19" s="57">
        <v>85</v>
      </c>
      <c r="H19" s="57">
        <v>87</v>
      </c>
      <c r="I19" s="58">
        <f t="shared" si="11"/>
        <v>20</v>
      </c>
      <c r="J19" s="57">
        <f t="shared" si="20"/>
        <v>41</v>
      </c>
      <c r="K19" s="57">
        <f t="shared" si="12"/>
        <v>55.4</v>
      </c>
      <c r="L19" s="57">
        <f t="shared" si="13"/>
        <v>110.8</v>
      </c>
      <c r="M19" s="57">
        <f t="shared" si="14"/>
        <v>34</v>
      </c>
      <c r="N19" s="57">
        <f t="shared" si="15"/>
        <v>42</v>
      </c>
      <c r="O19" s="57">
        <f t="shared" si="16"/>
        <v>4</v>
      </c>
      <c r="P19" s="57">
        <f t="shared" si="17"/>
        <v>38</v>
      </c>
      <c r="Q19" s="57">
        <f t="shared" si="18"/>
        <v>46</v>
      </c>
      <c r="R19" s="57">
        <f t="shared" si="19"/>
        <v>67</v>
      </c>
      <c r="S19" s="57" t="s">
        <v>160</v>
      </c>
    </row>
    <row r="20" spans="1:19" ht="21.95" customHeight="1">
      <c r="A20" s="422"/>
      <c r="B20" s="55" t="s">
        <v>119</v>
      </c>
      <c r="C20" s="56">
        <v>2192.9299999999998</v>
      </c>
      <c r="D20" s="57">
        <f t="shared" si="10"/>
        <v>2851</v>
      </c>
      <c r="E20" s="57"/>
      <c r="F20" s="58">
        <v>15</v>
      </c>
      <c r="G20" s="57">
        <v>85</v>
      </c>
      <c r="H20" s="57">
        <v>87</v>
      </c>
      <c r="I20" s="58">
        <f t="shared" si="11"/>
        <v>20</v>
      </c>
      <c r="J20" s="57">
        <f t="shared" si="20"/>
        <v>42</v>
      </c>
      <c r="K20" s="57">
        <f t="shared" si="12"/>
        <v>57</v>
      </c>
      <c r="L20" s="57">
        <f t="shared" si="13"/>
        <v>114</v>
      </c>
      <c r="M20" s="57">
        <f t="shared" si="14"/>
        <v>34</v>
      </c>
      <c r="N20" s="57">
        <f t="shared" si="15"/>
        <v>43</v>
      </c>
      <c r="O20" s="57">
        <f t="shared" si="16"/>
        <v>4</v>
      </c>
      <c r="P20" s="57">
        <f t="shared" si="17"/>
        <v>38</v>
      </c>
      <c r="Q20" s="57">
        <f t="shared" si="18"/>
        <v>47</v>
      </c>
      <c r="R20" s="57">
        <f t="shared" si="19"/>
        <v>68.5</v>
      </c>
      <c r="S20" s="57"/>
    </row>
    <row r="21" spans="1:19" ht="21.95" customHeight="1">
      <c r="A21" s="422"/>
      <c r="B21" s="55" t="s">
        <v>162</v>
      </c>
      <c r="C21" s="56">
        <v>3019.38</v>
      </c>
      <c r="D21" s="57">
        <f t="shared" si="10"/>
        <v>3925</v>
      </c>
      <c r="E21" s="57"/>
      <c r="F21" s="58">
        <v>15</v>
      </c>
      <c r="G21" s="57">
        <v>85</v>
      </c>
      <c r="H21" s="57">
        <v>87</v>
      </c>
      <c r="I21" s="58">
        <f t="shared" si="11"/>
        <v>20</v>
      </c>
      <c r="J21" s="57">
        <f t="shared" si="20"/>
        <v>58</v>
      </c>
      <c r="K21" s="57">
        <f t="shared" si="12"/>
        <v>78.5</v>
      </c>
      <c r="L21" s="57">
        <f t="shared" si="13"/>
        <v>157</v>
      </c>
      <c r="M21" s="57">
        <f t="shared" si="14"/>
        <v>47</v>
      </c>
      <c r="N21" s="57">
        <f t="shared" si="15"/>
        <v>59</v>
      </c>
      <c r="O21" s="57">
        <f t="shared" si="16"/>
        <v>6</v>
      </c>
      <c r="P21" s="57">
        <f t="shared" si="17"/>
        <v>53</v>
      </c>
      <c r="Q21" s="57">
        <f t="shared" si="18"/>
        <v>65</v>
      </c>
      <c r="R21" s="57">
        <f t="shared" si="19"/>
        <v>94.5</v>
      </c>
      <c r="S21" s="57" t="s">
        <v>160</v>
      </c>
    </row>
    <row r="22" spans="1:19" ht="21.95" customHeight="1">
      <c r="A22" s="422"/>
      <c r="B22" s="55" t="s">
        <v>120</v>
      </c>
      <c r="C22" s="56">
        <v>2744.22</v>
      </c>
      <c r="D22" s="57">
        <f t="shared" si="10"/>
        <v>3567</v>
      </c>
      <c r="E22" s="57"/>
      <c r="F22" s="58">
        <v>15</v>
      </c>
      <c r="G22" s="57">
        <v>85</v>
      </c>
      <c r="H22" s="57">
        <v>87</v>
      </c>
      <c r="I22" s="58">
        <f t="shared" si="11"/>
        <v>20</v>
      </c>
      <c r="J22" s="57">
        <f t="shared" si="20"/>
        <v>53</v>
      </c>
      <c r="K22" s="57">
        <f t="shared" si="12"/>
        <v>71.3</v>
      </c>
      <c r="L22" s="57">
        <f t="shared" si="13"/>
        <v>142.6</v>
      </c>
      <c r="M22" s="57">
        <f t="shared" si="14"/>
        <v>43</v>
      </c>
      <c r="N22" s="57">
        <f t="shared" si="15"/>
        <v>54</v>
      </c>
      <c r="O22" s="57">
        <f t="shared" si="16"/>
        <v>5</v>
      </c>
      <c r="P22" s="57">
        <f t="shared" si="17"/>
        <v>48</v>
      </c>
      <c r="Q22" s="57">
        <f t="shared" si="18"/>
        <v>59</v>
      </c>
      <c r="R22" s="57">
        <f t="shared" si="19"/>
        <v>86</v>
      </c>
      <c r="S22" s="57"/>
    </row>
    <row r="23" spans="1:19" ht="21.95" customHeight="1">
      <c r="A23" s="422"/>
      <c r="B23" s="55" t="s">
        <v>163</v>
      </c>
      <c r="C23" s="56">
        <v>2423.0300000000002</v>
      </c>
      <c r="D23" s="57">
        <f t="shared" si="10"/>
        <v>3150</v>
      </c>
      <c r="E23" s="57"/>
      <c r="F23" s="58">
        <v>15</v>
      </c>
      <c r="G23" s="57">
        <v>85</v>
      </c>
      <c r="H23" s="57">
        <v>87</v>
      </c>
      <c r="I23" s="58">
        <f t="shared" si="11"/>
        <v>20</v>
      </c>
      <c r="J23" s="57">
        <f t="shared" si="20"/>
        <v>47</v>
      </c>
      <c r="K23" s="57">
        <f t="shared" si="12"/>
        <v>63</v>
      </c>
      <c r="L23" s="57">
        <f t="shared" si="13"/>
        <v>126</v>
      </c>
      <c r="M23" s="57">
        <f t="shared" si="14"/>
        <v>38</v>
      </c>
      <c r="N23" s="57">
        <f t="shared" si="15"/>
        <v>47</v>
      </c>
      <c r="O23" s="57">
        <f t="shared" si="16"/>
        <v>5</v>
      </c>
      <c r="P23" s="57">
        <f t="shared" si="17"/>
        <v>43</v>
      </c>
      <c r="Q23" s="57">
        <f t="shared" si="18"/>
        <v>52</v>
      </c>
      <c r="R23" s="57">
        <f t="shared" si="19"/>
        <v>75.5</v>
      </c>
      <c r="S23" s="57" t="s">
        <v>160</v>
      </c>
    </row>
    <row r="24" spans="1:19" ht="21.95" customHeight="1">
      <c r="A24" s="422"/>
      <c r="B24" s="55" t="s">
        <v>121</v>
      </c>
      <c r="C24" s="56">
        <v>2299.4499999999998</v>
      </c>
      <c r="D24" s="57">
        <f t="shared" si="10"/>
        <v>2989</v>
      </c>
      <c r="E24" s="57"/>
      <c r="F24" s="58">
        <v>15</v>
      </c>
      <c r="G24" s="57">
        <v>85</v>
      </c>
      <c r="H24" s="57">
        <v>87</v>
      </c>
      <c r="I24" s="58">
        <f t="shared" si="11"/>
        <v>20</v>
      </c>
      <c r="J24" s="57">
        <f t="shared" si="20"/>
        <v>44</v>
      </c>
      <c r="K24" s="57">
        <f t="shared" si="12"/>
        <v>59.8</v>
      </c>
      <c r="L24" s="57">
        <f t="shared" si="13"/>
        <v>119.6</v>
      </c>
      <c r="M24" s="57">
        <f t="shared" si="14"/>
        <v>36</v>
      </c>
      <c r="N24" s="57">
        <f t="shared" si="15"/>
        <v>45</v>
      </c>
      <c r="O24" s="57">
        <f>ROUNDDOWN(N24*0.1,0)</f>
        <v>4</v>
      </c>
      <c r="P24" s="57">
        <f t="shared" si="17"/>
        <v>40</v>
      </c>
      <c r="Q24" s="57">
        <f t="shared" si="18"/>
        <v>49</v>
      </c>
      <c r="R24" s="57">
        <f t="shared" si="19"/>
        <v>71.5</v>
      </c>
      <c r="S24" s="57"/>
    </row>
    <row r="25" spans="1:19" ht="21.95" customHeight="1">
      <c r="A25" s="422"/>
      <c r="B25" s="55" t="s">
        <v>164</v>
      </c>
      <c r="C25" s="56">
        <v>1297.92</v>
      </c>
      <c r="D25" s="57">
        <f t="shared" si="10"/>
        <v>1687</v>
      </c>
      <c r="E25" s="57"/>
      <c r="F25" s="58">
        <v>15</v>
      </c>
      <c r="G25" s="57">
        <v>85</v>
      </c>
      <c r="H25" s="57">
        <v>87</v>
      </c>
      <c r="I25" s="58">
        <f t="shared" si="11"/>
        <v>20</v>
      </c>
      <c r="J25" s="57">
        <f t="shared" si="20"/>
        <v>25</v>
      </c>
      <c r="K25" s="57">
        <f t="shared" si="12"/>
        <v>33.700000000000003</v>
      </c>
      <c r="L25" s="57">
        <f t="shared" si="13"/>
        <v>67.400000000000006</v>
      </c>
      <c r="M25" s="57">
        <f t="shared" si="14"/>
        <v>20</v>
      </c>
      <c r="N25" s="57">
        <f t="shared" si="15"/>
        <v>25</v>
      </c>
      <c r="O25" s="57">
        <f>ROUND(N25*0.1,0)</f>
        <v>3</v>
      </c>
      <c r="P25" s="57">
        <f t="shared" si="17"/>
        <v>23</v>
      </c>
      <c r="Q25" s="57">
        <f t="shared" si="18"/>
        <v>28</v>
      </c>
      <c r="R25" s="57">
        <f t="shared" si="19"/>
        <v>40.5</v>
      </c>
      <c r="S25" s="57" t="s">
        <v>160</v>
      </c>
    </row>
    <row r="26" spans="1:19" ht="21.95" customHeight="1">
      <c r="A26" s="422"/>
      <c r="B26" s="55" t="s">
        <v>122</v>
      </c>
      <c r="C26" s="56">
        <v>1298.1400000000001</v>
      </c>
      <c r="D26" s="57">
        <f t="shared" si="10"/>
        <v>1688</v>
      </c>
      <c r="E26" s="57"/>
      <c r="F26" s="58">
        <v>15</v>
      </c>
      <c r="G26" s="57">
        <v>85</v>
      </c>
      <c r="H26" s="57">
        <v>87</v>
      </c>
      <c r="I26" s="58">
        <f t="shared" si="11"/>
        <v>20</v>
      </c>
      <c r="J26" s="57">
        <f t="shared" si="20"/>
        <v>25</v>
      </c>
      <c r="K26" s="57">
        <f t="shared" si="12"/>
        <v>33.799999999999997</v>
      </c>
      <c r="L26" s="57">
        <f t="shared" si="13"/>
        <v>67.599999999999994</v>
      </c>
      <c r="M26" s="57">
        <f t="shared" si="14"/>
        <v>20</v>
      </c>
      <c r="N26" s="57">
        <f t="shared" si="15"/>
        <v>25</v>
      </c>
      <c r="O26" s="57">
        <f>ROUNDDOWN(N26*0.1,0)</f>
        <v>2</v>
      </c>
      <c r="P26" s="57">
        <f t="shared" si="17"/>
        <v>22</v>
      </c>
      <c r="Q26" s="57">
        <f t="shared" si="18"/>
        <v>27</v>
      </c>
      <c r="R26" s="57">
        <f t="shared" si="19"/>
        <v>39.5</v>
      </c>
      <c r="S26" s="57"/>
    </row>
    <row r="27" spans="1:19" ht="21.95" customHeight="1">
      <c r="A27" s="422"/>
      <c r="B27" s="55" t="s">
        <v>123</v>
      </c>
      <c r="C27" s="56">
        <v>1035.02</v>
      </c>
      <c r="D27" s="57">
        <f t="shared" si="10"/>
        <v>1346</v>
      </c>
      <c r="E27" s="57"/>
      <c r="F27" s="58">
        <v>15</v>
      </c>
      <c r="G27" s="57">
        <v>85</v>
      </c>
      <c r="H27" s="57">
        <v>87</v>
      </c>
      <c r="I27" s="58">
        <f t="shared" si="11"/>
        <v>20</v>
      </c>
      <c r="J27" s="57">
        <f t="shared" si="20"/>
        <v>19</v>
      </c>
      <c r="K27" s="57">
        <f>ROUNDDOWN($D27*I27/1000,0)</f>
        <v>26</v>
      </c>
      <c r="L27" s="57">
        <f t="shared" si="13"/>
        <v>52</v>
      </c>
      <c r="M27" s="57">
        <f t="shared" si="14"/>
        <v>16</v>
      </c>
      <c r="N27" s="57">
        <f t="shared" si="15"/>
        <v>20</v>
      </c>
      <c r="O27" s="57">
        <f>ROUND(N27*0.1,0)</f>
        <v>2</v>
      </c>
      <c r="P27" s="57">
        <f t="shared" si="17"/>
        <v>18</v>
      </c>
      <c r="Q27" s="57">
        <f t="shared" si="18"/>
        <v>22</v>
      </c>
      <c r="R27" s="57">
        <f t="shared" si="19"/>
        <v>32</v>
      </c>
      <c r="S27" s="57"/>
    </row>
    <row r="28" spans="1:19" ht="21.95" customHeight="1">
      <c r="A28" s="422"/>
      <c r="B28" s="55" t="s">
        <v>165</v>
      </c>
      <c r="C28" s="56">
        <v>1877.49</v>
      </c>
      <c r="D28" s="57">
        <f t="shared" si="10"/>
        <v>2441</v>
      </c>
      <c r="E28" s="57"/>
      <c r="F28" s="58">
        <v>15</v>
      </c>
      <c r="G28" s="57">
        <v>85</v>
      </c>
      <c r="H28" s="57">
        <v>87</v>
      </c>
      <c r="I28" s="58">
        <f t="shared" si="11"/>
        <v>20</v>
      </c>
      <c r="J28" s="57">
        <f t="shared" si="20"/>
        <v>36</v>
      </c>
      <c r="K28" s="57">
        <f t="shared" ref="K28:K33" si="21">ROUND($D28*I28/1000,1)</f>
        <v>48.8</v>
      </c>
      <c r="L28" s="57">
        <f t="shared" si="13"/>
        <v>97.6</v>
      </c>
      <c r="M28" s="57">
        <f t="shared" si="14"/>
        <v>29</v>
      </c>
      <c r="N28" s="57">
        <f>ROUNDDOWN($D28*F28/1000,0)</f>
        <v>36</v>
      </c>
      <c r="O28" s="57">
        <f>ROUND(N28*0.1,0)</f>
        <v>4</v>
      </c>
      <c r="P28" s="57">
        <f t="shared" si="17"/>
        <v>33</v>
      </c>
      <c r="Q28" s="57">
        <f t="shared" si="18"/>
        <v>40</v>
      </c>
      <c r="R28" s="57">
        <f t="shared" si="19"/>
        <v>58</v>
      </c>
      <c r="S28" s="57" t="s">
        <v>160</v>
      </c>
    </row>
    <row r="29" spans="1:19" ht="21.95" customHeight="1">
      <c r="A29" s="422"/>
      <c r="B29" s="55" t="s">
        <v>124</v>
      </c>
      <c r="C29" s="56">
        <v>1782.41</v>
      </c>
      <c r="D29" s="57">
        <f t="shared" si="10"/>
        <v>2317</v>
      </c>
      <c r="E29" s="57"/>
      <c r="F29" s="58">
        <v>15</v>
      </c>
      <c r="G29" s="57">
        <v>85</v>
      </c>
      <c r="H29" s="57">
        <v>87</v>
      </c>
      <c r="I29" s="58">
        <f t="shared" si="11"/>
        <v>20</v>
      </c>
      <c r="J29" s="57">
        <f t="shared" si="20"/>
        <v>34</v>
      </c>
      <c r="K29" s="57">
        <f t="shared" si="21"/>
        <v>46.3</v>
      </c>
      <c r="L29" s="57">
        <f t="shared" si="13"/>
        <v>92.6</v>
      </c>
      <c r="M29" s="57">
        <f t="shared" si="14"/>
        <v>28</v>
      </c>
      <c r="N29" s="57">
        <f>ROUND($D29*F29/1000,0)</f>
        <v>35</v>
      </c>
      <c r="O29" s="57">
        <f>ROUNDDOWN(N29*0.1,0)</f>
        <v>3</v>
      </c>
      <c r="P29" s="57">
        <f t="shared" si="17"/>
        <v>31</v>
      </c>
      <c r="Q29" s="57">
        <f t="shared" si="18"/>
        <v>38</v>
      </c>
      <c r="R29" s="57">
        <f t="shared" si="19"/>
        <v>55.5</v>
      </c>
      <c r="S29" s="57"/>
    </row>
    <row r="30" spans="1:19" ht="21.95" customHeight="1">
      <c r="A30" s="422"/>
      <c r="B30" s="55" t="s">
        <v>125</v>
      </c>
      <c r="C30" s="56">
        <v>2643.16</v>
      </c>
      <c r="D30" s="57">
        <f t="shared" si="10"/>
        <v>3436</v>
      </c>
      <c r="E30" s="57"/>
      <c r="F30" s="58">
        <v>15</v>
      </c>
      <c r="G30" s="57">
        <v>85</v>
      </c>
      <c r="H30" s="57">
        <v>87</v>
      </c>
      <c r="I30" s="58">
        <f t="shared" si="11"/>
        <v>20</v>
      </c>
      <c r="J30" s="57">
        <f t="shared" si="20"/>
        <v>51</v>
      </c>
      <c r="K30" s="57">
        <f t="shared" si="21"/>
        <v>68.7</v>
      </c>
      <c r="L30" s="57">
        <f t="shared" si="13"/>
        <v>137.4</v>
      </c>
      <c r="M30" s="57">
        <f t="shared" si="14"/>
        <v>42</v>
      </c>
      <c r="N30" s="57">
        <f>ROUND($D30*F30/1000,0)</f>
        <v>52</v>
      </c>
      <c r="O30" s="57">
        <f>ROUND(N30*0.1,0)</f>
        <v>5</v>
      </c>
      <c r="P30" s="57">
        <f t="shared" si="17"/>
        <v>47</v>
      </c>
      <c r="Q30" s="57">
        <f t="shared" si="18"/>
        <v>57</v>
      </c>
      <c r="R30" s="57">
        <f t="shared" si="19"/>
        <v>83</v>
      </c>
      <c r="S30" s="57"/>
    </row>
    <row r="31" spans="1:19" ht="21.95" customHeight="1">
      <c r="A31" s="422"/>
      <c r="B31" s="55" t="s">
        <v>166</v>
      </c>
      <c r="C31" s="56">
        <v>1412.64</v>
      </c>
      <c r="D31" s="57">
        <f t="shared" si="10"/>
        <v>1836</v>
      </c>
      <c r="E31" s="57"/>
      <c r="F31" s="58">
        <v>15</v>
      </c>
      <c r="G31" s="57">
        <v>85</v>
      </c>
      <c r="H31" s="57">
        <v>87</v>
      </c>
      <c r="I31" s="58">
        <f t="shared" si="11"/>
        <v>20</v>
      </c>
      <c r="J31" s="57">
        <f t="shared" si="20"/>
        <v>27</v>
      </c>
      <c r="K31" s="57">
        <f t="shared" si="21"/>
        <v>36.700000000000003</v>
      </c>
      <c r="L31" s="57">
        <f t="shared" si="13"/>
        <v>73.400000000000006</v>
      </c>
      <c r="M31" s="57">
        <f t="shared" si="14"/>
        <v>22</v>
      </c>
      <c r="N31" s="57">
        <f>ROUND($D31*F31/1000,0)</f>
        <v>28</v>
      </c>
      <c r="O31" s="57">
        <f>ROUND(N31*0.1,0)</f>
        <v>3</v>
      </c>
      <c r="P31" s="57">
        <f t="shared" si="17"/>
        <v>25</v>
      </c>
      <c r="Q31" s="57">
        <f t="shared" si="18"/>
        <v>31</v>
      </c>
      <c r="R31" s="57">
        <f t="shared" si="19"/>
        <v>45</v>
      </c>
      <c r="S31" s="57" t="s">
        <v>160</v>
      </c>
    </row>
    <row r="32" spans="1:19" ht="21.95" customHeight="1">
      <c r="A32" s="422"/>
      <c r="B32" s="55" t="s">
        <v>126</v>
      </c>
      <c r="C32" s="56">
        <v>1024.55</v>
      </c>
      <c r="D32" s="57">
        <f t="shared" si="10"/>
        <v>1332</v>
      </c>
      <c r="E32" s="57"/>
      <c r="F32" s="58">
        <v>15</v>
      </c>
      <c r="G32" s="57">
        <v>85</v>
      </c>
      <c r="H32" s="57">
        <v>87</v>
      </c>
      <c r="I32" s="58">
        <f t="shared" si="11"/>
        <v>20</v>
      </c>
      <c r="J32" s="57">
        <f t="shared" si="20"/>
        <v>20</v>
      </c>
      <c r="K32" s="57">
        <f t="shared" si="21"/>
        <v>26.6</v>
      </c>
      <c r="L32" s="57">
        <f t="shared" si="13"/>
        <v>53.2</v>
      </c>
      <c r="M32" s="57">
        <f t="shared" si="14"/>
        <v>16</v>
      </c>
      <c r="N32" s="57">
        <f>ROUND($D32*F32/1000,0)</f>
        <v>20</v>
      </c>
      <c r="O32" s="57">
        <f>ROUND(N32*0.1,0)</f>
        <v>2</v>
      </c>
      <c r="P32" s="57">
        <f t="shared" si="17"/>
        <v>18</v>
      </c>
      <c r="Q32" s="57">
        <f t="shared" si="18"/>
        <v>22</v>
      </c>
      <c r="R32" s="57">
        <f t="shared" si="19"/>
        <v>32</v>
      </c>
      <c r="S32" s="57"/>
    </row>
    <row r="33" spans="1:19" ht="21.95" customHeight="1">
      <c r="A33" s="422"/>
      <c r="B33" s="55" t="s">
        <v>127</v>
      </c>
      <c r="C33" s="56">
        <v>980.45</v>
      </c>
      <c r="D33" s="57">
        <f t="shared" si="10"/>
        <v>1275</v>
      </c>
      <c r="E33" s="57"/>
      <c r="F33" s="58">
        <v>15</v>
      </c>
      <c r="G33" s="57">
        <v>85</v>
      </c>
      <c r="H33" s="57">
        <v>87</v>
      </c>
      <c r="I33" s="58">
        <f t="shared" si="11"/>
        <v>20</v>
      </c>
      <c r="J33" s="57">
        <f t="shared" si="20"/>
        <v>19</v>
      </c>
      <c r="K33" s="57">
        <f t="shared" si="21"/>
        <v>25.5</v>
      </c>
      <c r="L33" s="57">
        <f t="shared" si="13"/>
        <v>51</v>
      </c>
      <c r="M33" s="57">
        <f t="shared" si="14"/>
        <v>15</v>
      </c>
      <c r="N33" s="57">
        <f>ROUND($D33*F33/1000,0)</f>
        <v>19</v>
      </c>
      <c r="O33" s="57">
        <f>ROUND(N33*0.1,0)</f>
        <v>2</v>
      </c>
      <c r="P33" s="57">
        <f t="shared" si="17"/>
        <v>17</v>
      </c>
      <c r="Q33" s="57">
        <f t="shared" si="18"/>
        <v>21</v>
      </c>
      <c r="R33" s="57">
        <f t="shared" si="19"/>
        <v>30.5</v>
      </c>
      <c r="S33" s="57" t="s">
        <v>160</v>
      </c>
    </row>
    <row r="34" spans="1:19" s="54" customFormat="1" ht="21.95" customHeight="1">
      <c r="A34" s="422"/>
      <c r="B34" s="59" t="s">
        <v>115</v>
      </c>
      <c r="C34" s="60"/>
      <c r="D34" s="63">
        <f>SUM(D17:D33)</f>
        <v>40857</v>
      </c>
      <c r="E34" s="61"/>
      <c r="F34" s="62"/>
      <c r="G34" s="61"/>
      <c r="H34" s="61"/>
      <c r="I34" s="62"/>
      <c r="J34" s="61">
        <f>SUM(J17:J33)</f>
        <v>605</v>
      </c>
      <c r="K34" s="61">
        <f t="shared" ref="K34:Q34" si="22">ROUND(SUM(K17:K33),1)</f>
        <v>816</v>
      </c>
      <c r="L34" s="61">
        <f t="shared" si="22"/>
        <v>1632</v>
      </c>
      <c r="M34" s="61">
        <f t="shared" si="22"/>
        <v>490</v>
      </c>
      <c r="N34" s="61">
        <f t="shared" si="22"/>
        <v>613</v>
      </c>
      <c r="O34" s="61">
        <f t="shared" si="22"/>
        <v>60</v>
      </c>
      <c r="P34" s="61">
        <f t="shared" si="22"/>
        <v>550</v>
      </c>
      <c r="Q34" s="61">
        <f t="shared" si="22"/>
        <v>673</v>
      </c>
      <c r="R34" s="61">
        <f>ROUND(SUM(R17:R33),2)</f>
        <v>979.5</v>
      </c>
      <c r="S34" s="61"/>
    </row>
    <row r="35" spans="1:19" ht="21.95" customHeight="1">
      <c r="A35" s="422" t="s">
        <v>167</v>
      </c>
      <c r="B35" s="55" t="s">
        <v>168</v>
      </c>
      <c r="C35" s="56"/>
      <c r="D35" s="64">
        <v>3210</v>
      </c>
      <c r="E35" s="57"/>
      <c r="F35" s="58">
        <v>16</v>
      </c>
      <c r="G35" s="57">
        <v>85</v>
      </c>
      <c r="H35" s="57">
        <v>87</v>
      </c>
      <c r="I35" s="58">
        <f>ROUND((F35/(G35/100))/(H35/100),0)</f>
        <v>22</v>
      </c>
      <c r="J35" s="57">
        <f>ROUND(K35/1.35,0)</f>
        <v>52</v>
      </c>
      <c r="K35" s="57">
        <f>ROUND($D35*I35/1000,1)</f>
        <v>70.599999999999994</v>
      </c>
      <c r="L35" s="57">
        <f>ROUND(K35*2,1)</f>
        <v>141.19999999999999</v>
      </c>
      <c r="M35" s="57">
        <f>ROUND(N35*0.8,0)</f>
        <v>41</v>
      </c>
      <c r="N35" s="57">
        <f>ROUND($D35*F35/1000,0)</f>
        <v>51</v>
      </c>
      <c r="O35" s="57">
        <f>ROUND(N35*0.1,0)</f>
        <v>5</v>
      </c>
      <c r="P35" s="57">
        <f>ROUND(M35+O35,1)</f>
        <v>46</v>
      </c>
      <c r="Q35" s="57">
        <f>SUM(N35:O35)</f>
        <v>56</v>
      </c>
      <c r="R35" s="57">
        <f>ROUND(N35*1.5+O35,2)</f>
        <v>81.5</v>
      </c>
      <c r="S35" s="57" t="s">
        <v>169</v>
      </c>
    </row>
    <row r="36" spans="1:19" ht="21.95" customHeight="1">
      <c r="A36" s="422"/>
      <c r="B36" s="55" t="s">
        <v>170</v>
      </c>
      <c r="C36" s="56"/>
      <c r="D36" s="64">
        <v>8190</v>
      </c>
      <c r="E36" s="57"/>
      <c r="F36" s="58">
        <v>16</v>
      </c>
      <c r="G36" s="57">
        <v>85</v>
      </c>
      <c r="H36" s="57">
        <v>87</v>
      </c>
      <c r="I36" s="58">
        <f>ROUND((F36/(G36/100))/(H36/100),0)</f>
        <v>22</v>
      </c>
      <c r="J36" s="57">
        <f>ROUND(K36/1.35,0)</f>
        <v>133</v>
      </c>
      <c r="K36" s="57">
        <f>ROUND($D36*I36/1000,1)</f>
        <v>180.2</v>
      </c>
      <c r="L36" s="57">
        <f>ROUND(K36*2,1)</f>
        <v>360.4</v>
      </c>
      <c r="M36" s="57">
        <f>ROUND(N36*0.8,0)</f>
        <v>105</v>
      </c>
      <c r="N36" s="57">
        <f>ROUND($D36*F36/1000,0)</f>
        <v>131</v>
      </c>
      <c r="O36" s="57">
        <f>ROUND(N36*0.1,0)</f>
        <v>13</v>
      </c>
      <c r="P36" s="57">
        <f>ROUND(M36+O36,1)</f>
        <v>118</v>
      </c>
      <c r="Q36" s="57">
        <f>SUM(N36:O36)</f>
        <v>144</v>
      </c>
      <c r="R36" s="57">
        <f>ROUND(N36*1.5+O36,2)</f>
        <v>209.5</v>
      </c>
      <c r="S36" s="57" t="s">
        <v>169</v>
      </c>
    </row>
    <row r="37" spans="1:19" s="54" customFormat="1" ht="21.95" customHeight="1">
      <c r="A37" s="422"/>
      <c r="B37" s="59" t="s">
        <v>115</v>
      </c>
      <c r="C37" s="60"/>
      <c r="D37" s="63">
        <f>SUM(D35:D36)</f>
        <v>11400</v>
      </c>
      <c r="E37" s="61"/>
      <c r="F37" s="62"/>
      <c r="G37" s="61"/>
      <c r="H37" s="61"/>
      <c r="I37" s="62"/>
      <c r="J37" s="61">
        <f>SUM(J35:J36)</f>
        <v>185</v>
      </c>
      <c r="K37" s="61">
        <f t="shared" ref="K37:Q37" si="23">ROUND(SUM(K35:K36),1)</f>
        <v>250.8</v>
      </c>
      <c r="L37" s="61">
        <f t="shared" si="23"/>
        <v>501.6</v>
      </c>
      <c r="M37" s="61">
        <f t="shared" si="23"/>
        <v>146</v>
      </c>
      <c r="N37" s="61">
        <f t="shared" si="23"/>
        <v>182</v>
      </c>
      <c r="O37" s="61">
        <f t="shared" si="23"/>
        <v>18</v>
      </c>
      <c r="P37" s="61">
        <f t="shared" si="23"/>
        <v>164</v>
      </c>
      <c r="Q37" s="61">
        <f t="shared" si="23"/>
        <v>200</v>
      </c>
      <c r="R37" s="61">
        <f>ROUND(SUM(R35:R36),2)</f>
        <v>291</v>
      </c>
      <c r="S37" s="61"/>
    </row>
    <row r="38" spans="1:19" ht="21.95" customHeight="1">
      <c r="A38" s="422" t="s">
        <v>171</v>
      </c>
      <c r="B38" s="55" t="s">
        <v>172</v>
      </c>
      <c r="C38" s="56"/>
      <c r="D38" s="64">
        <v>2333</v>
      </c>
      <c r="E38" s="57"/>
      <c r="F38" s="58">
        <v>15</v>
      </c>
      <c r="G38" s="57">
        <v>85</v>
      </c>
      <c r="H38" s="57">
        <v>87</v>
      </c>
      <c r="I38" s="58">
        <f>ROUND((F38/(G38/100))/(H38/100),0)</f>
        <v>20</v>
      </c>
      <c r="J38" s="57">
        <f>ROUND(K38/1.35,0)</f>
        <v>35</v>
      </c>
      <c r="K38" s="57">
        <f>ROUND($D38*I38/1000,1)</f>
        <v>46.7</v>
      </c>
      <c r="L38" s="57">
        <f>ROUND(K38*2,1)</f>
        <v>93.4</v>
      </c>
      <c r="M38" s="57">
        <f>ROUND(N38*0.8,0)</f>
        <v>28</v>
      </c>
      <c r="N38" s="57">
        <f>ROUND($D38*F38/1000,0)</f>
        <v>35</v>
      </c>
      <c r="O38" s="57">
        <f>ROUND(N38*0.1,0)</f>
        <v>4</v>
      </c>
      <c r="P38" s="57">
        <f>ROUND(M38+O38,1)</f>
        <v>32</v>
      </c>
      <c r="Q38" s="57">
        <f>SUM(N38:O38)</f>
        <v>39</v>
      </c>
      <c r="R38" s="57">
        <f>ROUND(N38*1.5+O38,2)</f>
        <v>56.5</v>
      </c>
      <c r="S38" s="57" t="s">
        <v>173</v>
      </c>
    </row>
    <row r="39" spans="1:19" ht="21.95" customHeight="1">
      <c r="A39" s="422"/>
      <c r="B39" s="55" t="s">
        <v>174</v>
      </c>
      <c r="C39" s="56"/>
      <c r="D39" s="64">
        <v>914</v>
      </c>
      <c r="E39" s="57"/>
      <c r="F39" s="58">
        <v>15</v>
      </c>
      <c r="G39" s="57">
        <v>85</v>
      </c>
      <c r="H39" s="57">
        <v>87</v>
      </c>
      <c r="I39" s="58">
        <f>ROUND((F39/(G39/100))/(H39/100),0)</f>
        <v>20</v>
      </c>
      <c r="J39" s="57">
        <f>ROUND(K39/1.35,0)</f>
        <v>14</v>
      </c>
      <c r="K39" s="57">
        <f>ROUND($D39*I39/1000,1)</f>
        <v>18.3</v>
      </c>
      <c r="L39" s="57">
        <f>ROUND(K39*2,1)</f>
        <v>36.6</v>
      </c>
      <c r="M39" s="57">
        <f>ROUND(N39*0.8,0)</f>
        <v>11</v>
      </c>
      <c r="N39" s="57">
        <f>ROUND($D39*F39/1000,0)</f>
        <v>14</v>
      </c>
      <c r="O39" s="57">
        <f>ROUND(N39*0.1,0)</f>
        <v>1</v>
      </c>
      <c r="P39" s="57">
        <f>ROUND(M39+O39,1)</f>
        <v>12</v>
      </c>
      <c r="Q39" s="57">
        <f>SUM(N39:O39)</f>
        <v>15</v>
      </c>
      <c r="R39" s="57">
        <f>ROUND(N39*1.5+O39,2)</f>
        <v>22</v>
      </c>
      <c r="S39" s="57" t="s">
        <v>173</v>
      </c>
    </row>
    <row r="40" spans="1:19" s="54" customFormat="1" ht="21.95" customHeight="1">
      <c r="A40" s="422"/>
      <c r="B40" s="59" t="s">
        <v>115</v>
      </c>
      <c r="C40" s="60"/>
      <c r="D40" s="63">
        <f>SUM(D38:D39)</f>
        <v>3247</v>
      </c>
      <c r="E40" s="61"/>
      <c r="F40" s="62"/>
      <c r="G40" s="61"/>
      <c r="H40" s="61"/>
      <c r="I40" s="62"/>
      <c r="J40" s="61">
        <f>SUM(J38:J39)</f>
        <v>49</v>
      </c>
      <c r="K40" s="61">
        <f t="shared" ref="K40:Q40" si="24">ROUND(SUM(K38:K39),1)</f>
        <v>65</v>
      </c>
      <c r="L40" s="61">
        <f t="shared" si="24"/>
        <v>130</v>
      </c>
      <c r="M40" s="61">
        <f t="shared" si="24"/>
        <v>39</v>
      </c>
      <c r="N40" s="61">
        <f t="shared" si="24"/>
        <v>49</v>
      </c>
      <c r="O40" s="61">
        <f t="shared" si="24"/>
        <v>5</v>
      </c>
      <c r="P40" s="61">
        <f t="shared" si="24"/>
        <v>44</v>
      </c>
      <c r="Q40" s="61">
        <f t="shared" si="24"/>
        <v>54</v>
      </c>
      <c r="R40" s="61">
        <f>ROUND(SUM(R38:R39),2)</f>
        <v>78.5</v>
      </c>
      <c r="S40" s="61"/>
    </row>
    <row r="41" spans="1:19" ht="21.95" customHeight="1">
      <c r="A41" s="421" t="s">
        <v>175</v>
      </c>
      <c r="B41" s="55" t="s">
        <v>176</v>
      </c>
      <c r="C41" s="56"/>
      <c r="D41" s="64">
        <v>6683</v>
      </c>
      <c r="E41" s="57"/>
      <c r="F41" s="58">
        <v>15</v>
      </c>
      <c r="G41" s="57">
        <v>85</v>
      </c>
      <c r="H41" s="57">
        <v>87</v>
      </c>
      <c r="I41" s="58">
        <f>ROUND((F41/(G41/100))/(H41/100),0)</f>
        <v>20</v>
      </c>
      <c r="J41" s="57">
        <f>ROUND(K41/1.35,0)</f>
        <v>99</v>
      </c>
      <c r="K41" s="57">
        <f>ROUND($D41*I41/1000,0)</f>
        <v>134</v>
      </c>
      <c r="L41" s="57">
        <f>ROUND(K41*2,0)</f>
        <v>268</v>
      </c>
      <c r="M41" s="57">
        <f>ROUND(N41*0.8,0)</f>
        <v>80</v>
      </c>
      <c r="N41" s="57">
        <f>ROUND($D41*F41/1000,0)</f>
        <v>100</v>
      </c>
      <c r="O41" s="57">
        <f>ROUND(N41*0.1,0)</f>
        <v>10</v>
      </c>
      <c r="P41" s="57">
        <f>ROUND(M41+O41,1)</f>
        <v>90</v>
      </c>
      <c r="Q41" s="57">
        <f>SUM(N41:O41)</f>
        <v>110</v>
      </c>
      <c r="R41" s="57">
        <f>ROUND(N41*1.5+O41,2)</f>
        <v>160</v>
      </c>
      <c r="S41" s="57"/>
    </row>
    <row r="42" spans="1:19" s="54" customFormat="1" ht="21.95" customHeight="1">
      <c r="A42" s="421"/>
      <c r="B42" s="59" t="s">
        <v>115</v>
      </c>
      <c r="C42" s="60"/>
      <c r="D42" s="63">
        <f>SUM(D41:D41)</f>
        <v>6683</v>
      </c>
      <c r="E42" s="61"/>
      <c r="F42" s="62"/>
      <c r="G42" s="61"/>
      <c r="H42" s="61"/>
      <c r="I42" s="62"/>
      <c r="J42" s="61">
        <f>ROUND(K42*0.74074074,0)</f>
        <v>99</v>
      </c>
      <c r="K42" s="61">
        <f>SUM(K41:K41)</f>
        <v>134</v>
      </c>
      <c r="L42" s="61">
        <f>SUM(L41:L41)</f>
        <v>268</v>
      </c>
      <c r="M42" s="61">
        <f t="shared" ref="M42:R42" si="25">SUM(M41:M41)</f>
        <v>80</v>
      </c>
      <c r="N42" s="61">
        <f t="shared" si="25"/>
        <v>100</v>
      </c>
      <c r="O42" s="61">
        <f t="shared" si="25"/>
        <v>10</v>
      </c>
      <c r="P42" s="61">
        <f t="shared" si="25"/>
        <v>90</v>
      </c>
      <c r="Q42" s="61">
        <f t="shared" si="25"/>
        <v>110</v>
      </c>
      <c r="R42" s="61">
        <f t="shared" si="25"/>
        <v>160</v>
      </c>
      <c r="S42" s="61"/>
    </row>
    <row r="43" spans="1:19" ht="24.95" customHeight="1">
      <c r="K43" s="68"/>
      <c r="L43" s="68"/>
    </row>
  </sheetData>
  <mergeCells count="14">
    <mergeCell ref="S5:S7"/>
    <mergeCell ref="G5:G6"/>
    <mergeCell ref="A5:B7"/>
    <mergeCell ref="C5:C6"/>
    <mergeCell ref="A1:S1"/>
    <mergeCell ref="A2:S2"/>
    <mergeCell ref="D5:D6"/>
    <mergeCell ref="E5:E6"/>
    <mergeCell ref="A8:B8"/>
    <mergeCell ref="A41:A42"/>
    <mergeCell ref="A9:A16"/>
    <mergeCell ref="A17:A34"/>
    <mergeCell ref="A35:A37"/>
    <mergeCell ref="A38:A40"/>
  </mergeCells>
  <phoneticPr fontId="2" type="noConversion"/>
  <printOptions horizontalCentered="1"/>
  <pageMargins left="0.39370078740157483" right="0.39370078740157483" top="0.83" bottom="0.59055118110236227" header="0.70866141732283472" footer="0.31496062992125984"/>
  <pageSetup paperSize="9" scale="7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S41"/>
  <sheetViews>
    <sheetView showGridLines="0" view="pageBreakPreview" zoomScaleNormal="90" workbookViewId="0">
      <selection activeCell="I7" sqref="I7"/>
    </sheetView>
  </sheetViews>
  <sheetFormatPr defaultRowHeight="24.95" customHeight="1"/>
  <cols>
    <col min="1" max="1" width="7.109375" style="67" customWidth="1"/>
    <col min="2" max="2" width="11.33203125" style="67" customWidth="1"/>
    <col min="3" max="3" width="6.88671875" style="67" customWidth="1"/>
    <col min="4" max="4" width="7.77734375" style="42" customWidth="1"/>
    <col min="5" max="5" width="7.33203125" style="66" customWidth="1"/>
    <col min="6" max="6" width="7.77734375" style="66" customWidth="1"/>
    <col min="7" max="7" width="6.5546875" style="42" customWidth="1"/>
    <col min="8" max="8" width="7.109375" style="42" customWidth="1"/>
    <col min="9" max="9" width="7.77734375" style="66" customWidth="1"/>
    <col min="10" max="11" width="7.21875" style="66" customWidth="1"/>
    <col min="12" max="12" width="7.33203125" style="66" customWidth="1"/>
    <col min="13" max="13" width="7.77734375" style="42" hidden="1" customWidth="1"/>
    <col min="14" max="14" width="7.21875" style="42" hidden="1" customWidth="1"/>
    <col min="15" max="15" width="6.88671875" style="42" hidden="1" customWidth="1"/>
    <col min="16" max="16" width="7.77734375" style="42" hidden="1" customWidth="1"/>
    <col min="17" max="17" width="7.77734375" style="66" hidden="1" customWidth="1"/>
    <col min="18" max="18" width="8.5546875" style="66" hidden="1" customWidth="1"/>
    <col min="19" max="19" width="17.109375" style="65" customWidth="1"/>
    <col min="20" max="16384" width="8.88671875" style="42"/>
  </cols>
  <sheetData>
    <row r="1" spans="1:19" ht="24.95" customHeight="1">
      <c r="A1" s="167" t="s">
        <v>419</v>
      </c>
    </row>
    <row r="2" spans="1:19" ht="24.95" customHeight="1">
      <c r="A2" s="14" t="s">
        <v>178</v>
      </c>
    </row>
    <row r="3" spans="1:19" ht="20.100000000000001" customHeight="1">
      <c r="A3" s="426"/>
      <c r="B3" s="426"/>
      <c r="C3" s="424"/>
      <c r="D3" s="421"/>
      <c r="E3" s="421"/>
      <c r="F3" s="43" t="s">
        <v>133</v>
      </c>
      <c r="G3" s="424" t="s">
        <v>131</v>
      </c>
      <c r="H3" s="44" t="s">
        <v>132</v>
      </c>
      <c r="I3" s="43" t="s">
        <v>129</v>
      </c>
      <c r="J3" s="44" t="s">
        <v>22</v>
      </c>
      <c r="K3" s="44" t="s">
        <v>23</v>
      </c>
      <c r="L3" s="44" t="s">
        <v>130</v>
      </c>
      <c r="M3" s="45" t="s">
        <v>22</v>
      </c>
      <c r="N3" s="45" t="s">
        <v>23</v>
      </c>
      <c r="O3" s="45" t="s">
        <v>134</v>
      </c>
      <c r="P3" s="44" t="s">
        <v>135</v>
      </c>
      <c r="Q3" s="44" t="s">
        <v>136</v>
      </c>
      <c r="R3" s="44" t="s">
        <v>137</v>
      </c>
      <c r="S3" s="423"/>
    </row>
    <row r="4" spans="1:19" ht="20.100000000000001" customHeight="1">
      <c r="A4" s="426"/>
      <c r="B4" s="426"/>
      <c r="C4" s="425"/>
      <c r="D4" s="421"/>
      <c r="E4" s="421"/>
      <c r="F4" s="46" t="s">
        <v>138</v>
      </c>
      <c r="G4" s="425"/>
      <c r="H4" s="47" t="s">
        <v>141</v>
      </c>
      <c r="I4" s="46" t="s">
        <v>138</v>
      </c>
      <c r="J4" s="47" t="s">
        <v>139</v>
      </c>
      <c r="K4" s="47" t="s">
        <v>139</v>
      </c>
      <c r="L4" s="47" t="s">
        <v>140</v>
      </c>
      <c r="M4" s="48" t="s">
        <v>142</v>
      </c>
      <c r="N4" s="48" t="s">
        <v>142</v>
      </c>
      <c r="O4" s="48" t="s">
        <v>143</v>
      </c>
      <c r="P4" s="48" t="s">
        <v>142</v>
      </c>
      <c r="Q4" s="48" t="s">
        <v>142</v>
      </c>
      <c r="R4" s="48" t="s">
        <v>142</v>
      </c>
      <c r="S4" s="423"/>
    </row>
    <row r="5" spans="1:19" ht="19.5" customHeight="1">
      <c r="A5" s="426"/>
      <c r="B5" s="426"/>
      <c r="C5" s="41" t="s">
        <v>144</v>
      </c>
      <c r="D5" s="41" t="s">
        <v>144</v>
      </c>
      <c r="E5" s="49" t="s">
        <v>128</v>
      </c>
      <c r="F5" s="50" t="s">
        <v>145</v>
      </c>
      <c r="G5" s="41" t="s">
        <v>147</v>
      </c>
      <c r="H5" s="41" t="s">
        <v>147</v>
      </c>
      <c r="I5" s="50" t="s">
        <v>145</v>
      </c>
      <c r="J5" s="49" t="s">
        <v>146</v>
      </c>
      <c r="K5" s="49" t="s">
        <v>146</v>
      </c>
      <c r="L5" s="49" t="s">
        <v>146</v>
      </c>
      <c r="M5" s="49" t="s">
        <v>146</v>
      </c>
      <c r="N5" s="49" t="s">
        <v>146</v>
      </c>
      <c r="O5" s="49" t="s">
        <v>146</v>
      </c>
      <c r="P5" s="49" t="s">
        <v>146</v>
      </c>
      <c r="Q5" s="49" t="s">
        <v>146</v>
      </c>
      <c r="R5" s="49" t="s">
        <v>146</v>
      </c>
      <c r="S5" s="423"/>
    </row>
    <row r="6" spans="1:19" s="54" customFormat="1" ht="21.95" customHeight="1">
      <c r="A6" s="420" t="s">
        <v>148</v>
      </c>
      <c r="B6" s="420"/>
      <c r="C6" s="51"/>
      <c r="D6" s="52">
        <f>D14+D32+D35+D38+D40</f>
        <v>80862</v>
      </c>
      <c r="E6" s="52">
        <f>E14+E32+E35+E38+E40</f>
        <v>896</v>
      </c>
      <c r="F6" s="53"/>
      <c r="G6" s="52"/>
      <c r="H6" s="52"/>
      <c r="I6" s="53"/>
      <c r="J6" s="52">
        <f>ROUND(J14+J32+J35+J38+J40,0)</f>
        <v>1040</v>
      </c>
      <c r="K6" s="52">
        <f>ROUND(K14+K32+K35+K38+K40,1)</f>
        <v>1404.1</v>
      </c>
      <c r="L6" s="52">
        <f>L14+L32+L35+L38+L40</f>
        <v>2808.2</v>
      </c>
      <c r="M6" s="52">
        <f>M14+M32+M35+M38+M40</f>
        <v>755</v>
      </c>
      <c r="N6" s="52" t="e">
        <f>N14+N32+N35+N38+N40+#REF!</f>
        <v>#REF!</v>
      </c>
      <c r="O6" s="52" t="e">
        <f>O14+O32+O35+O38+O40+#REF!</f>
        <v>#REF!</v>
      </c>
      <c r="P6" s="52" t="e">
        <f>P14+P32+P35+P38+P40+#REF!</f>
        <v>#REF!</v>
      </c>
      <c r="Q6" s="52" t="e">
        <f>Q14+Q32+Q35+Q38+Q40+#REF!</f>
        <v>#REF!</v>
      </c>
      <c r="R6" s="52" t="e">
        <f>R14+R32+R35+R38+R40+#REF!</f>
        <v>#REF!</v>
      </c>
      <c r="S6" s="52"/>
    </row>
    <row r="7" spans="1:19" ht="21.95" customHeight="1">
      <c r="A7" s="422" t="s">
        <v>149</v>
      </c>
      <c r="B7" s="55" t="s">
        <v>150</v>
      </c>
      <c r="C7" s="56">
        <v>1056.07</v>
      </c>
      <c r="D7" s="57">
        <f>ROUNDUP(C7*1.3,0)</f>
        <v>1373</v>
      </c>
      <c r="E7" s="57">
        <f>ROUND(18*4,0)</f>
        <v>72</v>
      </c>
      <c r="F7" s="58"/>
      <c r="G7" s="57"/>
      <c r="H7" s="57"/>
      <c r="I7" s="58">
        <f>310*50/100</f>
        <v>155</v>
      </c>
      <c r="J7" s="57">
        <f t="shared" ref="J7:J13" si="0">ROUND(K7/1.35,0)</f>
        <v>8</v>
      </c>
      <c r="K7" s="57">
        <f>ROUND(($E7*I7/1000),1)</f>
        <v>11.2</v>
      </c>
      <c r="L7" s="57">
        <f t="shared" ref="L7:L13" si="1">ROUND(K7*2,1)</f>
        <v>22.4</v>
      </c>
      <c r="M7" s="57">
        <f t="shared" ref="M7:M13" si="2">ROUND(N7*0.8,1)</f>
        <v>0</v>
      </c>
      <c r="N7" s="57">
        <f t="shared" ref="N7:N13" si="3">ROUND($E7*F7/1000,0)</f>
        <v>0</v>
      </c>
      <c r="O7" s="57">
        <f t="shared" ref="O7:O13" si="4">ROUND(N7*0.1,0)</f>
        <v>0</v>
      </c>
      <c r="P7" s="57">
        <f t="shared" ref="P7:P13" si="5">ROUND(M7+O7,1)</f>
        <v>0</v>
      </c>
      <c r="Q7" s="57">
        <f t="shared" ref="Q7:Q13" si="6">SUM(N7:O7)</f>
        <v>0</v>
      </c>
      <c r="R7" s="57">
        <f t="shared" ref="R7:R13" si="7">ROUND(N7*1.5+O7,2)</f>
        <v>0</v>
      </c>
      <c r="S7" s="57" t="s">
        <v>151</v>
      </c>
    </row>
    <row r="8" spans="1:19" ht="21.95" customHeight="1">
      <c r="A8" s="422"/>
      <c r="B8" s="55" t="s">
        <v>152</v>
      </c>
      <c r="C8" s="56">
        <v>1291.8499999999999</v>
      </c>
      <c r="D8" s="57">
        <f>ROUNDUP(C8*1.3,0)</f>
        <v>1680</v>
      </c>
      <c r="E8" s="57">
        <f>ROUND(19*4,0)</f>
        <v>76</v>
      </c>
      <c r="F8" s="58"/>
      <c r="G8" s="57"/>
      <c r="H8" s="57"/>
      <c r="I8" s="58">
        <f>I7</f>
        <v>155</v>
      </c>
      <c r="J8" s="57">
        <f t="shared" si="0"/>
        <v>9</v>
      </c>
      <c r="K8" s="57">
        <f>ROUND(($E8*I8/1000),1)</f>
        <v>11.8</v>
      </c>
      <c r="L8" s="57">
        <f t="shared" si="1"/>
        <v>23.6</v>
      </c>
      <c r="M8" s="57">
        <f t="shared" si="2"/>
        <v>0</v>
      </c>
      <c r="N8" s="57">
        <f t="shared" si="3"/>
        <v>0</v>
      </c>
      <c r="O8" s="57">
        <f t="shared" si="4"/>
        <v>0</v>
      </c>
      <c r="P8" s="57">
        <f t="shared" si="5"/>
        <v>0</v>
      </c>
      <c r="Q8" s="57">
        <f t="shared" si="6"/>
        <v>0</v>
      </c>
      <c r="R8" s="57">
        <f t="shared" si="7"/>
        <v>0</v>
      </c>
      <c r="S8" s="57" t="s">
        <v>151</v>
      </c>
    </row>
    <row r="9" spans="1:19" ht="21.95" customHeight="1">
      <c r="A9" s="422"/>
      <c r="B9" s="55" t="s">
        <v>153</v>
      </c>
      <c r="C9" s="56">
        <v>1914.73</v>
      </c>
      <c r="D9" s="57">
        <f>ROUND(C9*1.3,0)</f>
        <v>2489</v>
      </c>
      <c r="E9" s="57">
        <f>ROUND(30*4,0)</f>
        <v>120</v>
      </c>
      <c r="F9" s="58"/>
      <c r="G9" s="57"/>
      <c r="H9" s="57"/>
      <c r="I9" s="58">
        <f>I7</f>
        <v>155</v>
      </c>
      <c r="J9" s="57">
        <f t="shared" si="0"/>
        <v>13</v>
      </c>
      <c r="K9" s="57">
        <f>ROUNDDOWN(($E9*I9/1000),0)</f>
        <v>18</v>
      </c>
      <c r="L9" s="57">
        <f t="shared" si="1"/>
        <v>36</v>
      </c>
      <c r="M9" s="57">
        <f t="shared" si="2"/>
        <v>0</v>
      </c>
      <c r="N9" s="57">
        <f t="shared" si="3"/>
        <v>0</v>
      </c>
      <c r="O9" s="57">
        <f t="shared" si="4"/>
        <v>0</v>
      </c>
      <c r="P9" s="57">
        <f t="shared" si="5"/>
        <v>0</v>
      </c>
      <c r="Q9" s="57">
        <f t="shared" si="6"/>
        <v>0</v>
      </c>
      <c r="R9" s="57">
        <f t="shared" si="7"/>
        <v>0</v>
      </c>
      <c r="S9" s="57" t="s">
        <v>151</v>
      </c>
    </row>
    <row r="10" spans="1:19" ht="21.95" customHeight="1">
      <c r="A10" s="422"/>
      <c r="B10" s="55" t="s">
        <v>154</v>
      </c>
      <c r="C10" s="56">
        <v>1929.99</v>
      </c>
      <c r="D10" s="57">
        <f>ROUND(C10*1.3,0)</f>
        <v>2509</v>
      </c>
      <c r="E10" s="57">
        <f>ROUND(30*4,0)</f>
        <v>120</v>
      </c>
      <c r="F10" s="58"/>
      <c r="G10" s="57"/>
      <c r="H10" s="57"/>
      <c r="I10" s="58">
        <f>I7</f>
        <v>155</v>
      </c>
      <c r="J10" s="57">
        <f t="shared" si="0"/>
        <v>14</v>
      </c>
      <c r="K10" s="57">
        <f>ROUNDDOWN(($E10*I10/1000),1)</f>
        <v>18.600000000000001</v>
      </c>
      <c r="L10" s="57">
        <f t="shared" si="1"/>
        <v>37.200000000000003</v>
      </c>
      <c r="M10" s="57">
        <f t="shared" si="2"/>
        <v>0</v>
      </c>
      <c r="N10" s="57">
        <f t="shared" si="3"/>
        <v>0</v>
      </c>
      <c r="O10" s="57">
        <f t="shared" si="4"/>
        <v>0</v>
      </c>
      <c r="P10" s="57">
        <f t="shared" si="5"/>
        <v>0</v>
      </c>
      <c r="Q10" s="57">
        <f t="shared" si="6"/>
        <v>0</v>
      </c>
      <c r="R10" s="57">
        <f t="shared" si="7"/>
        <v>0</v>
      </c>
      <c r="S10" s="57" t="s">
        <v>151</v>
      </c>
    </row>
    <row r="11" spans="1:19" ht="21.95" customHeight="1">
      <c r="A11" s="422"/>
      <c r="B11" s="55" t="s">
        <v>155</v>
      </c>
      <c r="C11" s="56">
        <v>1958.75</v>
      </c>
      <c r="D11" s="57">
        <f>ROUND(C11*1.3,0)</f>
        <v>2546</v>
      </c>
      <c r="E11" s="57">
        <f>ROUND(31*4,0)</f>
        <v>124</v>
      </c>
      <c r="F11" s="58"/>
      <c r="G11" s="57"/>
      <c r="H11" s="57"/>
      <c r="I11" s="58">
        <f>I7</f>
        <v>155</v>
      </c>
      <c r="J11" s="57">
        <f t="shared" si="0"/>
        <v>14</v>
      </c>
      <c r="K11" s="57">
        <f>ROUND(($E11*I11/1000),1)</f>
        <v>19.2</v>
      </c>
      <c r="L11" s="57">
        <f t="shared" si="1"/>
        <v>38.4</v>
      </c>
      <c r="M11" s="57">
        <f t="shared" si="2"/>
        <v>0</v>
      </c>
      <c r="N11" s="57">
        <f t="shared" si="3"/>
        <v>0</v>
      </c>
      <c r="O11" s="57">
        <f t="shared" si="4"/>
        <v>0</v>
      </c>
      <c r="P11" s="57">
        <f t="shared" si="5"/>
        <v>0</v>
      </c>
      <c r="Q11" s="57">
        <f t="shared" si="6"/>
        <v>0</v>
      </c>
      <c r="R11" s="57">
        <f t="shared" si="7"/>
        <v>0</v>
      </c>
      <c r="S11" s="57" t="s">
        <v>151</v>
      </c>
    </row>
    <row r="12" spans="1:19" ht="21.95" customHeight="1">
      <c r="A12" s="422"/>
      <c r="B12" s="55" t="s">
        <v>117</v>
      </c>
      <c r="C12" s="56">
        <v>1953.79</v>
      </c>
      <c r="D12" s="57">
        <f>ROUND(C12*1.3,0)</f>
        <v>2540</v>
      </c>
      <c r="E12" s="57">
        <f>ROUND(30*4,0)</f>
        <v>120</v>
      </c>
      <c r="F12" s="58"/>
      <c r="G12" s="57"/>
      <c r="H12" s="57"/>
      <c r="I12" s="58">
        <f>I7</f>
        <v>155</v>
      </c>
      <c r="J12" s="57">
        <f t="shared" si="0"/>
        <v>14</v>
      </c>
      <c r="K12" s="57">
        <f>ROUND(($E12*I12/1000),1)</f>
        <v>18.600000000000001</v>
      </c>
      <c r="L12" s="57">
        <f t="shared" si="1"/>
        <v>37.200000000000003</v>
      </c>
      <c r="M12" s="57">
        <f t="shared" si="2"/>
        <v>0</v>
      </c>
      <c r="N12" s="57">
        <f t="shared" si="3"/>
        <v>0</v>
      </c>
      <c r="O12" s="57">
        <f t="shared" si="4"/>
        <v>0</v>
      </c>
      <c r="P12" s="57">
        <f t="shared" si="5"/>
        <v>0</v>
      </c>
      <c r="Q12" s="57">
        <f t="shared" si="6"/>
        <v>0</v>
      </c>
      <c r="R12" s="57">
        <f t="shared" si="7"/>
        <v>0</v>
      </c>
      <c r="S12" s="57" t="s">
        <v>151</v>
      </c>
    </row>
    <row r="13" spans="1:19" ht="21.95" customHeight="1">
      <c r="A13" s="422"/>
      <c r="B13" s="55" t="s">
        <v>156</v>
      </c>
      <c r="C13" s="56">
        <v>4260.0600000000004</v>
      </c>
      <c r="D13" s="57">
        <f>ROUND(C13*1.3,0)</f>
        <v>5538</v>
      </c>
      <c r="E13" s="57">
        <f>ROUND(66*4,0)</f>
        <v>264</v>
      </c>
      <c r="F13" s="58"/>
      <c r="G13" s="57"/>
      <c r="H13" s="57"/>
      <c r="I13" s="58">
        <f>I7</f>
        <v>155</v>
      </c>
      <c r="J13" s="57">
        <f t="shared" si="0"/>
        <v>30</v>
      </c>
      <c r="K13" s="57">
        <f>ROUND(($E13*I13/1000),1)</f>
        <v>40.9</v>
      </c>
      <c r="L13" s="57">
        <f t="shared" si="1"/>
        <v>81.8</v>
      </c>
      <c r="M13" s="57">
        <f t="shared" si="2"/>
        <v>0</v>
      </c>
      <c r="N13" s="57">
        <f t="shared" si="3"/>
        <v>0</v>
      </c>
      <c r="O13" s="57">
        <f t="shared" si="4"/>
        <v>0</v>
      </c>
      <c r="P13" s="57">
        <f t="shared" si="5"/>
        <v>0</v>
      </c>
      <c r="Q13" s="57">
        <f t="shared" si="6"/>
        <v>0</v>
      </c>
      <c r="R13" s="57">
        <f t="shared" si="7"/>
        <v>0</v>
      </c>
      <c r="S13" s="57" t="s">
        <v>157</v>
      </c>
    </row>
    <row r="14" spans="1:19" s="54" customFormat="1" ht="21.95" customHeight="1">
      <c r="A14" s="422"/>
      <c r="B14" s="59" t="s">
        <v>115</v>
      </c>
      <c r="C14" s="60"/>
      <c r="D14" s="61">
        <f>SUM(D7:D13)</f>
        <v>18675</v>
      </c>
      <c r="E14" s="61">
        <f>SUM(E7:E13)</f>
        <v>896</v>
      </c>
      <c r="F14" s="62"/>
      <c r="G14" s="61"/>
      <c r="H14" s="61"/>
      <c r="I14" s="62"/>
      <c r="J14" s="61">
        <f>SUM(J7:J13)</f>
        <v>102</v>
      </c>
      <c r="K14" s="61">
        <f t="shared" ref="K14:Q14" si="8">ROUND(SUM(K7:K13),1)</f>
        <v>138.30000000000001</v>
      </c>
      <c r="L14" s="61">
        <f t="shared" si="8"/>
        <v>276.60000000000002</v>
      </c>
      <c r="M14" s="61">
        <f t="shared" si="8"/>
        <v>0</v>
      </c>
      <c r="N14" s="61">
        <f t="shared" si="8"/>
        <v>0</v>
      </c>
      <c r="O14" s="61">
        <f t="shared" si="8"/>
        <v>0</v>
      </c>
      <c r="P14" s="61">
        <f t="shared" si="8"/>
        <v>0</v>
      </c>
      <c r="Q14" s="61">
        <f t="shared" si="8"/>
        <v>0</v>
      </c>
      <c r="R14" s="61">
        <f>ROUND(SUM(R7:R13),2)</f>
        <v>0</v>
      </c>
      <c r="S14" s="61"/>
    </row>
    <row r="15" spans="1:19" ht="21.95" customHeight="1">
      <c r="A15" s="422" t="s">
        <v>158</v>
      </c>
      <c r="B15" s="55" t="s">
        <v>159</v>
      </c>
      <c r="C15" s="56">
        <v>1507.43</v>
      </c>
      <c r="D15" s="57">
        <f t="shared" ref="D15:D31" si="9">ROUND(C15*1.3,0)</f>
        <v>1960</v>
      </c>
      <c r="E15" s="57"/>
      <c r="F15" s="58">
        <v>15</v>
      </c>
      <c r="G15" s="57">
        <v>85</v>
      </c>
      <c r="H15" s="57">
        <v>87</v>
      </c>
      <c r="I15" s="58">
        <f t="shared" ref="I15:I31" si="10">ROUND((F15/(G15/100))/(H15/100),0)</f>
        <v>20</v>
      </c>
      <c r="J15" s="57">
        <f>ROUNDUP(K15/1.35,0)</f>
        <v>30</v>
      </c>
      <c r="K15" s="57">
        <f t="shared" ref="K15:K24" si="11">ROUND($D15*I15/1000,1)</f>
        <v>39.200000000000003</v>
      </c>
      <c r="L15" s="57">
        <f t="shared" ref="L15:L31" si="12">ROUND(K15*2,1)</f>
        <v>78.400000000000006</v>
      </c>
      <c r="M15" s="57">
        <f t="shared" ref="M15:M31" si="13">ROUND(N15*0.8,0)</f>
        <v>23</v>
      </c>
      <c r="N15" s="57">
        <f t="shared" ref="N15:N25" si="14">ROUND($D15*F15/1000,0)</f>
        <v>29</v>
      </c>
      <c r="O15" s="57">
        <f t="shared" ref="O15:O21" si="15">ROUND(N15*0.1,0)</f>
        <v>3</v>
      </c>
      <c r="P15" s="57">
        <f t="shared" ref="P15:P31" si="16">ROUND(M15+O15,1)</f>
        <v>26</v>
      </c>
      <c r="Q15" s="57">
        <f t="shared" ref="Q15:Q31" si="17">SUM(N15:O15)</f>
        <v>32</v>
      </c>
      <c r="R15" s="57">
        <f t="shared" ref="R15:R31" si="18">ROUND(N15*1.5+O15,2)</f>
        <v>46.5</v>
      </c>
      <c r="S15" s="57" t="s">
        <v>160</v>
      </c>
    </row>
    <row r="16" spans="1:19" ht="21.95" customHeight="1">
      <c r="A16" s="422"/>
      <c r="B16" s="55" t="s">
        <v>118</v>
      </c>
      <c r="C16" s="56">
        <v>1759.5</v>
      </c>
      <c r="D16" s="57">
        <f t="shared" si="9"/>
        <v>2287</v>
      </c>
      <c r="E16" s="57"/>
      <c r="F16" s="58">
        <v>15</v>
      </c>
      <c r="G16" s="57">
        <v>85</v>
      </c>
      <c r="H16" s="57">
        <v>87</v>
      </c>
      <c r="I16" s="58">
        <f t="shared" si="10"/>
        <v>20</v>
      </c>
      <c r="J16" s="57">
        <f t="shared" ref="J16:J31" si="19">ROUND(K16/1.35,0)</f>
        <v>34</v>
      </c>
      <c r="K16" s="57">
        <f t="shared" si="11"/>
        <v>45.7</v>
      </c>
      <c r="L16" s="57">
        <f t="shared" si="12"/>
        <v>91.4</v>
      </c>
      <c r="M16" s="57">
        <f t="shared" si="13"/>
        <v>27</v>
      </c>
      <c r="N16" s="57">
        <f t="shared" si="14"/>
        <v>34</v>
      </c>
      <c r="O16" s="57">
        <f t="shared" si="15"/>
        <v>3</v>
      </c>
      <c r="P16" s="57">
        <f t="shared" si="16"/>
        <v>30</v>
      </c>
      <c r="Q16" s="57">
        <f t="shared" si="17"/>
        <v>37</v>
      </c>
      <c r="R16" s="57">
        <f t="shared" si="18"/>
        <v>54</v>
      </c>
      <c r="S16" s="57"/>
    </row>
    <row r="17" spans="1:19" ht="21.95" customHeight="1">
      <c r="A17" s="422"/>
      <c r="B17" s="55" t="s">
        <v>161</v>
      </c>
      <c r="C17" s="56">
        <v>2130.9</v>
      </c>
      <c r="D17" s="57">
        <f t="shared" si="9"/>
        <v>2770</v>
      </c>
      <c r="E17" s="57"/>
      <c r="F17" s="58">
        <v>15</v>
      </c>
      <c r="G17" s="57">
        <v>85</v>
      </c>
      <c r="H17" s="57">
        <v>87</v>
      </c>
      <c r="I17" s="58">
        <f t="shared" si="10"/>
        <v>20</v>
      </c>
      <c r="J17" s="57">
        <f t="shared" si="19"/>
        <v>41</v>
      </c>
      <c r="K17" s="57">
        <f t="shared" si="11"/>
        <v>55.4</v>
      </c>
      <c r="L17" s="57">
        <f t="shared" si="12"/>
        <v>110.8</v>
      </c>
      <c r="M17" s="57">
        <f t="shared" si="13"/>
        <v>34</v>
      </c>
      <c r="N17" s="57">
        <f t="shared" si="14"/>
        <v>42</v>
      </c>
      <c r="O17" s="57">
        <f t="shared" si="15"/>
        <v>4</v>
      </c>
      <c r="P17" s="57">
        <f t="shared" si="16"/>
        <v>38</v>
      </c>
      <c r="Q17" s="57">
        <f t="shared" si="17"/>
        <v>46</v>
      </c>
      <c r="R17" s="57">
        <f t="shared" si="18"/>
        <v>67</v>
      </c>
      <c r="S17" s="57" t="s">
        <v>160</v>
      </c>
    </row>
    <row r="18" spans="1:19" ht="21.95" customHeight="1">
      <c r="A18" s="422"/>
      <c r="B18" s="55" t="s">
        <v>119</v>
      </c>
      <c r="C18" s="56">
        <v>2192.9299999999998</v>
      </c>
      <c r="D18" s="57">
        <f t="shared" si="9"/>
        <v>2851</v>
      </c>
      <c r="E18" s="57"/>
      <c r="F18" s="58">
        <v>15</v>
      </c>
      <c r="G18" s="57">
        <v>85</v>
      </c>
      <c r="H18" s="57">
        <v>87</v>
      </c>
      <c r="I18" s="58">
        <f t="shared" si="10"/>
        <v>20</v>
      </c>
      <c r="J18" s="57">
        <f t="shared" si="19"/>
        <v>42</v>
      </c>
      <c r="K18" s="57">
        <f t="shared" si="11"/>
        <v>57</v>
      </c>
      <c r="L18" s="57">
        <f t="shared" si="12"/>
        <v>114</v>
      </c>
      <c r="M18" s="57">
        <f t="shared" si="13"/>
        <v>34</v>
      </c>
      <c r="N18" s="57">
        <f t="shared" si="14"/>
        <v>43</v>
      </c>
      <c r="O18" s="57">
        <f t="shared" si="15"/>
        <v>4</v>
      </c>
      <c r="P18" s="57">
        <f t="shared" si="16"/>
        <v>38</v>
      </c>
      <c r="Q18" s="57">
        <f t="shared" si="17"/>
        <v>47</v>
      </c>
      <c r="R18" s="57">
        <f t="shared" si="18"/>
        <v>68.5</v>
      </c>
      <c r="S18" s="57"/>
    </row>
    <row r="19" spans="1:19" ht="21.95" customHeight="1">
      <c r="A19" s="422"/>
      <c r="B19" s="55" t="s">
        <v>162</v>
      </c>
      <c r="C19" s="56">
        <v>3019.38</v>
      </c>
      <c r="D19" s="57">
        <f t="shared" si="9"/>
        <v>3925</v>
      </c>
      <c r="E19" s="57"/>
      <c r="F19" s="58">
        <v>15</v>
      </c>
      <c r="G19" s="57">
        <v>85</v>
      </c>
      <c r="H19" s="57">
        <v>87</v>
      </c>
      <c r="I19" s="58">
        <f t="shared" si="10"/>
        <v>20</v>
      </c>
      <c r="J19" s="57">
        <f t="shared" si="19"/>
        <v>58</v>
      </c>
      <c r="K19" s="57">
        <f t="shared" si="11"/>
        <v>78.5</v>
      </c>
      <c r="L19" s="57">
        <f t="shared" si="12"/>
        <v>157</v>
      </c>
      <c r="M19" s="57">
        <f t="shared" si="13"/>
        <v>47</v>
      </c>
      <c r="N19" s="57">
        <f t="shared" si="14"/>
        <v>59</v>
      </c>
      <c r="O19" s="57">
        <f t="shared" si="15"/>
        <v>6</v>
      </c>
      <c r="P19" s="57">
        <f t="shared" si="16"/>
        <v>53</v>
      </c>
      <c r="Q19" s="57">
        <f t="shared" si="17"/>
        <v>65</v>
      </c>
      <c r="R19" s="57">
        <f t="shared" si="18"/>
        <v>94.5</v>
      </c>
      <c r="S19" s="57" t="s">
        <v>160</v>
      </c>
    </row>
    <row r="20" spans="1:19" ht="21.95" customHeight="1">
      <c r="A20" s="422"/>
      <c r="B20" s="55" t="s">
        <v>120</v>
      </c>
      <c r="C20" s="56">
        <v>2744.22</v>
      </c>
      <c r="D20" s="57">
        <f t="shared" si="9"/>
        <v>3567</v>
      </c>
      <c r="E20" s="57"/>
      <c r="F20" s="58">
        <v>15</v>
      </c>
      <c r="G20" s="57">
        <v>85</v>
      </c>
      <c r="H20" s="57">
        <v>87</v>
      </c>
      <c r="I20" s="58">
        <f t="shared" si="10"/>
        <v>20</v>
      </c>
      <c r="J20" s="57">
        <f t="shared" si="19"/>
        <v>53</v>
      </c>
      <c r="K20" s="57">
        <f t="shared" si="11"/>
        <v>71.3</v>
      </c>
      <c r="L20" s="57">
        <f t="shared" si="12"/>
        <v>142.6</v>
      </c>
      <c r="M20" s="57">
        <f t="shared" si="13"/>
        <v>43</v>
      </c>
      <c r="N20" s="57">
        <f t="shared" si="14"/>
        <v>54</v>
      </c>
      <c r="O20" s="57">
        <f t="shared" si="15"/>
        <v>5</v>
      </c>
      <c r="P20" s="57">
        <f t="shared" si="16"/>
        <v>48</v>
      </c>
      <c r="Q20" s="57">
        <f t="shared" si="17"/>
        <v>59</v>
      </c>
      <c r="R20" s="57">
        <f t="shared" si="18"/>
        <v>86</v>
      </c>
      <c r="S20" s="57"/>
    </row>
    <row r="21" spans="1:19" ht="21.95" customHeight="1">
      <c r="A21" s="422"/>
      <c r="B21" s="55" t="s">
        <v>163</v>
      </c>
      <c r="C21" s="56">
        <v>2423.0300000000002</v>
      </c>
      <c r="D21" s="57">
        <f t="shared" si="9"/>
        <v>3150</v>
      </c>
      <c r="E21" s="57"/>
      <c r="F21" s="58">
        <v>15</v>
      </c>
      <c r="G21" s="57">
        <v>85</v>
      </c>
      <c r="H21" s="57">
        <v>87</v>
      </c>
      <c r="I21" s="58">
        <f t="shared" si="10"/>
        <v>20</v>
      </c>
      <c r="J21" s="57">
        <f t="shared" si="19"/>
        <v>47</v>
      </c>
      <c r="K21" s="57">
        <f t="shared" si="11"/>
        <v>63</v>
      </c>
      <c r="L21" s="57">
        <f t="shared" si="12"/>
        <v>126</v>
      </c>
      <c r="M21" s="57">
        <f t="shared" si="13"/>
        <v>38</v>
      </c>
      <c r="N21" s="57">
        <f t="shared" si="14"/>
        <v>47</v>
      </c>
      <c r="O21" s="57">
        <f t="shared" si="15"/>
        <v>5</v>
      </c>
      <c r="P21" s="57">
        <f t="shared" si="16"/>
        <v>43</v>
      </c>
      <c r="Q21" s="57">
        <f t="shared" si="17"/>
        <v>52</v>
      </c>
      <c r="R21" s="57">
        <f t="shared" si="18"/>
        <v>75.5</v>
      </c>
      <c r="S21" s="57" t="s">
        <v>160</v>
      </c>
    </row>
    <row r="22" spans="1:19" ht="21.95" customHeight="1">
      <c r="A22" s="422"/>
      <c r="B22" s="55" t="s">
        <v>121</v>
      </c>
      <c r="C22" s="56">
        <v>2299.4499999999998</v>
      </c>
      <c r="D22" s="57">
        <f t="shared" si="9"/>
        <v>2989</v>
      </c>
      <c r="E22" s="57"/>
      <c r="F22" s="58">
        <v>15</v>
      </c>
      <c r="G22" s="57">
        <v>85</v>
      </c>
      <c r="H22" s="57">
        <v>87</v>
      </c>
      <c r="I22" s="58">
        <f t="shared" si="10"/>
        <v>20</v>
      </c>
      <c r="J22" s="57">
        <f t="shared" si="19"/>
        <v>44</v>
      </c>
      <c r="K22" s="57">
        <f t="shared" si="11"/>
        <v>59.8</v>
      </c>
      <c r="L22" s="57">
        <f t="shared" si="12"/>
        <v>119.6</v>
      </c>
      <c r="M22" s="57">
        <f t="shared" si="13"/>
        <v>36</v>
      </c>
      <c r="N22" s="57">
        <f t="shared" si="14"/>
        <v>45</v>
      </c>
      <c r="O22" s="57">
        <f>ROUNDDOWN(N22*0.1,0)</f>
        <v>4</v>
      </c>
      <c r="P22" s="57">
        <f t="shared" si="16"/>
        <v>40</v>
      </c>
      <c r="Q22" s="57">
        <f t="shared" si="17"/>
        <v>49</v>
      </c>
      <c r="R22" s="57">
        <f t="shared" si="18"/>
        <v>71.5</v>
      </c>
      <c r="S22" s="57"/>
    </row>
    <row r="23" spans="1:19" ht="21.95" customHeight="1">
      <c r="A23" s="422"/>
      <c r="B23" s="55" t="s">
        <v>164</v>
      </c>
      <c r="C23" s="56">
        <v>1297.92</v>
      </c>
      <c r="D23" s="57">
        <f t="shared" si="9"/>
        <v>1687</v>
      </c>
      <c r="E23" s="57"/>
      <c r="F23" s="58">
        <v>15</v>
      </c>
      <c r="G23" s="57">
        <v>85</v>
      </c>
      <c r="H23" s="57">
        <v>87</v>
      </c>
      <c r="I23" s="58">
        <f t="shared" si="10"/>
        <v>20</v>
      </c>
      <c r="J23" s="57">
        <f t="shared" si="19"/>
        <v>25</v>
      </c>
      <c r="K23" s="57">
        <f t="shared" si="11"/>
        <v>33.700000000000003</v>
      </c>
      <c r="L23" s="57">
        <f t="shared" si="12"/>
        <v>67.400000000000006</v>
      </c>
      <c r="M23" s="57">
        <f t="shared" si="13"/>
        <v>20</v>
      </c>
      <c r="N23" s="57">
        <f t="shared" si="14"/>
        <v>25</v>
      </c>
      <c r="O23" s="57">
        <f>ROUND(N23*0.1,0)</f>
        <v>3</v>
      </c>
      <c r="P23" s="57">
        <f t="shared" si="16"/>
        <v>23</v>
      </c>
      <c r="Q23" s="57">
        <f t="shared" si="17"/>
        <v>28</v>
      </c>
      <c r="R23" s="57">
        <f t="shared" si="18"/>
        <v>40.5</v>
      </c>
      <c r="S23" s="57" t="s">
        <v>160</v>
      </c>
    </row>
    <row r="24" spans="1:19" ht="21.95" customHeight="1">
      <c r="A24" s="422"/>
      <c r="B24" s="55" t="s">
        <v>122</v>
      </c>
      <c r="C24" s="56">
        <v>1298.1400000000001</v>
      </c>
      <c r="D24" s="57">
        <f t="shared" si="9"/>
        <v>1688</v>
      </c>
      <c r="E24" s="57"/>
      <c r="F24" s="58">
        <v>15</v>
      </c>
      <c r="G24" s="57">
        <v>85</v>
      </c>
      <c r="H24" s="57">
        <v>87</v>
      </c>
      <c r="I24" s="58">
        <f t="shared" si="10"/>
        <v>20</v>
      </c>
      <c r="J24" s="57">
        <f t="shared" si="19"/>
        <v>25</v>
      </c>
      <c r="K24" s="57">
        <f t="shared" si="11"/>
        <v>33.799999999999997</v>
      </c>
      <c r="L24" s="57">
        <f t="shared" si="12"/>
        <v>67.599999999999994</v>
      </c>
      <c r="M24" s="57">
        <f t="shared" si="13"/>
        <v>20</v>
      </c>
      <c r="N24" s="57">
        <f t="shared" si="14"/>
        <v>25</v>
      </c>
      <c r="O24" s="57">
        <f>ROUNDDOWN(N24*0.1,0)</f>
        <v>2</v>
      </c>
      <c r="P24" s="57">
        <f t="shared" si="16"/>
        <v>22</v>
      </c>
      <c r="Q24" s="57">
        <f t="shared" si="17"/>
        <v>27</v>
      </c>
      <c r="R24" s="57">
        <f t="shared" si="18"/>
        <v>39.5</v>
      </c>
      <c r="S24" s="57"/>
    </row>
    <row r="25" spans="1:19" ht="21.95" customHeight="1">
      <c r="A25" s="422"/>
      <c r="B25" s="55" t="s">
        <v>123</v>
      </c>
      <c r="C25" s="56">
        <v>1035.02</v>
      </c>
      <c r="D25" s="57">
        <f t="shared" si="9"/>
        <v>1346</v>
      </c>
      <c r="E25" s="57"/>
      <c r="F25" s="58">
        <v>15</v>
      </c>
      <c r="G25" s="57">
        <v>85</v>
      </c>
      <c r="H25" s="57">
        <v>87</v>
      </c>
      <c r="I25" s="58">
        <f t="shared" si="10"/>
        <v>20</v>
      </c>
      <c r="J25" s="57">
        <f t="shared" si="19"/>
        <v>19</v>
      </c>
      <c r="K25" s="57">
        <f>ROUNDDOWN($D25*I25/1000,0)</f>
        <v>26</v>
      </c>
      <c r="L25" s="57">
        <f t="shared" si="12"/>
        <v>52</v>
      </c>
      <c r="M25" s="57">
        <f t="shared" si="13"/>
        <v>16</v>
      </c>
      <c r="N25" s="57">
        <f t="shared" si="14"/>
        <v>20</v>
      </c>
      <c r="O25" s="57">
        <f>ROUND(N25*0.1,0)</f>
        <v>2</v>
      </c>
      <c r="P25" s="57">
        <f t="shared" si="16"/>
        <v>18</v>
      </c>
      <c r="Q25" s="57">
        <f t="shared" si="17"/>
        <v>22</v>
      </c>
      <c r="R25" s="57">
        <f t="shared" si="18"/>
        <v>32</v>
      </c>
      <c r="S25" s="57"/>
    </row>
    <row r="26" spans="1:19" ht="21.95" customHeight="1">
      <c r="A26" s="422"/>
      <c r="B26" s="55" t="s">
        <v>165</v>
      </c>
      <c r="C26" s="56">
        <v>1877.49</v>
      </c>
      <c r="D26" s="57">
        <f t="shared" si="9"/>
        <v>2441</v>
      </c>
      <c r="E26" s="57"/>
      <c r="F26" s="58">
        <v>15</v>
      </c>
      <c r="G26" s="57">
        <v>85</v>
      </c>
      <c r="H26" s="57">
        <v>87</v>
      </c>
      <c r="I26" s="58">
        <f t="shared" si="10"/>
        <v>20</v>
      </c>
      <c r="J26" s="57">
        <f t="shared" si="19"/>
        <v>36</v>
      </c>
      <c r="K26" s="57">
        <f t="shared" ref="K26:K31" si="20">ROUND($D26*I26/1000,1)</f>
        <v>48.8</v>
      </c>
      <c r="L26" s="57">
        <f t="shared" si="12"/>
        <v>97.6</v>
      </c>
      <c r="M26" s="57">
        <f t="shared" si="13"/>
        <v>29</v>
      </c>
      <c r="N26" s="57">
        <f>ROUNDDOWN($D26*F26/1000,0)</f>
        <v>36</v>
      </c>
      <c r="O26" s="57">
        <f>ROUND(N26*0.1,0)</f>
        <v>4</v>
      </c>
      <c r="P26" s="57">
        <f t="shared" si="16"/>
        <v>33</v>
      </c>
      <c r="Q26" s="57">
        <f t="shared" si="17"/>
        <v>40</v>
      </c>
      <c r="R26" s="57">
        <f t="shared" si="18"/>
        <v>58</v>
      </c>
      <c r="S26" s="57" t="s">
        <v>160</v>
      </c>
    </row>
    <row r="27" spans="1:19" ht="21.95" customHeight="1">
      <c r="A27" s="422"/>
      <c r="B27" s="55" t="s">
        <v>124</v>
      </c>
      <c r="C27" s="56">
        <v>1782.41</v>
      </c>
      <c r="D27" s="57">
        <f t="shared" si="9"/>
        <v>2317</v>
      </c>
      <c r="E27" s="57"/>
      <c r="F27" s="58">
        <v>15</v>
      </c>
      <c r="G27" s="57">
        <v>85</v>
      </c>
      <c r="H27" s="57">
        <v>87</v>
      </c>
      <c r="I27" s="58">
        <f t="shared" si="10"/>
        <v>20</v>
      </c>
      <c r="J27" s="57">
        <f t="shared" si="19"/>
        <v>34</v>
      </c>
      <c r="K27" s="57">
        <f t="shared" si="20"/>
        <v>46.3</v>
      </c>
      <c r="L27" s="57">
        <f t="shared" si="12"/>
        <v>92.6</v>
      </c>
      <c r="M27" s="57">
        <f t="shared" si="13"/>
        <v>28</v>
      </c>
      <c r="N27" s="57">
        <f>ROUND($D27*F27/1000,0)</f>
        <v>35</v>
      </c>
      <c r="O27" s="57">
        <f>ROUNDDOWN(N27*0.1,0)</f>
        <v>3</v>
      </c>
      <c r="P27" s="57">
        <f t="shared" si="16"/>
        <v>31</v>
      </c>
      <c r="Q27" s="57">
        <f t="shared" si="17"/>
        <v>38</v>
      </c>
      <c r="R27" s="57">
        <f t="shared" si="18"/>
        <v>55.5</v>
      </c>
      <c r="S27" s="57"/>
    </row>
    <row r="28" spans="1:19" ht="21.95" customHeight="1">
      <c r="A28" s="422"/>
      <c r="B28" s="55" t="s">
        <v>125</v>
      </c>
      <c r="C28" s="56">
        <v>2643.16</v>
      </c>
      <c r="D28" s="57">
        <f t="shared" si="9"/>
        <v>3436</v>
      </c>
      <c r="E28" s="57"/>
      <c r="F28" s="58">
        <v>15</v>
      </c>
      <c r="G28" s="57">
        <v>85</v>
      </c>
      <c r="H28" s="57">
        <v>87</v>
      </c>
      <c r="I28" s="58">
        <f t="shared" si="10"/>
        <v>20</v>
      </c>
      <c r="J28" s="57">
        <f t="shared" si="19"/>
        <v>51</v>
      </c>
      <c r="K28" s="57">
        <f t="shared" si="20"/>
        <v>68.7</v>
      </c>
      <c r="L28" s="57">
        <f t="shared" si="12"/>
        <v>137.4</v>
      </c>
      <c r="M28" s="57">
        <f t="shared" si="13"/>
        <v>42</v>
      </c>
      <c r="N28" s="57">
        <f>ROUND($D28*F28/1000,0)</f>
        <v>52</v>
      </c>
      <c r="O28" s="57">
        <f>ROUND(N28*0.1,0)</f>
        <v>5</v>
      </c>
      <c r="P28" s="57">
        <f t="shared" si="16"/>
        <v>47</v>
      </c>
      <c r="Q28" s="57">
        <f t="shared" si="17"/>
        <v>57</v>
      </c>
      <c r="R28" s="57">
        <f t="shared" si="18"/>
        <v>83</v>
      </c>
      <c r="S28" s="57"/>
    </row>
    <row r="29" spans="1:19" ht="21.95" customHeight="1">
      <c r="A29" s="422"/>
      <c r="B29" s="55" t="s">
        <v>166</v>
      </c>
      <c r="C29" s="56">
        <v>1412.64</v>
      </c>
      <c r="D29" s="57">
        <f t="shared" si="9"/>
        <v>1836</v>
      </c>
      <c r="E29" s="57"/>
      <c r="F29" s="58">
        <v>15</v>
      </c>
      <c r="G29" s="57">
        <v>85</v>
      </c>
      <c r="H29" s="57">
        <v>87</v>
      </c>
      <c r="I29" s="58">
        <f t="shared" si="10"/>
        <v>20</v>
      </c>
      <c r="J29" s="57">
        <f t="shared" si="19"/>
        <v>27</v>
      </c>
      <c r="K29" s="57">
        <f t="shared" si="20"/>
        <v>36.700000000000003</v>
      </c>
      <c r="L29" s="57">
        <f t="shared" si="12"/>
        <v>73.400000000000006</v>
      </c>
      <c r="M29" s="57">
        <f t="shared" si="13"/>
        <v>22</v>
      </c>
      <c r="N29" s="57">
        <f>ROUND($D29*F29/1000,0)</f>
        <v>28</v>
      </c>
      <c r="O29" s="57">
        <f>ROUND(N29*0.1,0)</f>
        <v>3</v>
      </c>
      <c r="P29" s="57">
        <f t="shared" si="16"/>
        <v>25</v>
      </c>
      <c r="Q29" s="57">
        <f t="shared" si="17"/>
        <v>31</v>
      </c>
      <c r="R29" s="57">
        <f t="shared" si="18"/>
        <v>45</v>
      </c>
      <c r="S29" s="57" t="s">
        <v>160</v>
      </c>
    </row>
    <row r="30" spans="1:19" ht="21.95" customHeight="1">
      <c r="A30" s="422"/>
      <c r="B30" s="55" t="s">
        <v>126</v>
      </c>
      <c r="C30" s="56">
        <v>1024.55</v>
      </c>
      <c r="D30" s="57">
        <f t="shared" si="9"/>
        <v>1332</v>
      </c>
      <c r="E30" s="57"/>
      <c r="F30" s="58">
        <v>15</v>
      </c>
      <c r="G30" s="57">
        <v>85</v>
      </c>
      <c r="H30" s="57">
        <v>87</v>
      </c>
      <c r="I30" s="58">
        <f t="shared" si="10"/>
        <v>20</v>
      </c>
      <c r="J30" s="57">
        <f t="shared" si="19"/>
        <v>20</v>
      </c>
      <c r="K30" s="57">
        <f t="shared" si="20"/>
        <v>26.6</v>
      </c>
      <c r="L30" s="57">
        <f t="shared" si="12"/>
        <v>53.2</v>
      </c>
      <c r="M30" s="57">
        <f t="shared" si="13"/>
        <v>16</v>
      </c>
      <c r="N30" s="57">
        <f>ROUND($D30*F30/1000,0)</f>
        <v>20</v>
      </c>
      <c r="O30" s="57">
        <f>ROUND(N30*0.1,0)</f>
        <v>2</v>
      </c>
      <c r="P30" s="57">
        <f t="shared" si="16"/>
        <v>18</v>
      </c>
      <c r="Q30" s="57">
        <f t="shared" si="17"/>
        <v>22</v>
      </c>
      <c r="R30" s="57">
        <f t="shared" si="18"/>
        <v>32</v>
      </c>
      <c r="S30" s="57"/>
    </row>
    <row r="31" spans="1:19" ht="21.95" customHeight="1">
      <c r="A31" s="422"/>
      <c r="B31" s="55" t="s">
        <v>127</v>
      </c>
      <c r="C31" s="56">
        <v>980.45</v>
      </c>
      <c r="D31" s="57">
        <f t="shared" si="9"/>
        <v>1275</v>
      </c>
      <c r="E31" s="57"/>
      <c r="F31" s="58">
        <v>15</v>
      </c>
      <c r="G31" s="57">
        <v>85</v>
      </c>
      <c r="H31" s="57">
        <v>87</v>
      </c>
      <c r="I31" s="58">
        <f t="shared" si="10"/>
        <v>20</v>
      </c>
      <c r="J31" s="57">
        <f t="shared" si="19"/>
        <v>19</v>
      </c>
      <c r="K31" s="57">
        <f t="shared" si="20"/>
        <v>25.5</v>
      </c>
      <c r="L31" s="57">
        <f t="shared" si="12"/>
        <v>51</v>
      </c>
      <c r="M31" s="57">
        <f t="shared" si="13"/>
        <v>15</v>
      </c>
      <c r="N31" s="57">
        <f>ROUND($D31*F31/1000,0)</f>
        <v>19</v>
      </c>
      <c r="O31" s="57">
        <f>ROUND(N31*0.1,0)</f>
        <v>2</v>
      </c>
      <c r="P31" s="57">
        <f t="shared" si="16"/>
        <v>17</v>
      </c>
      <c r="Q31" s="57">
        <f t="shared" si="17"/>
        <v>21</v>
      </c>
      <c r="R31" s="57">
        <f t="shared" si="18"/>
        <v>30.5</v>
      </c>
      <c r="S31" s="57" t="s">
        <v>160</v>
      </c>
    </row>
    <row r="32" spans="1:19" s="54" customFormat="1" ht="21.95" customHeight="1">
      <c r="A32" s="422"/>
      <c r="B32" s="59" t="s">
        <v>115</v>
      </c>
      <c r="C32" s="60"/>
      <c r="D32" s="63">
        <f>SUM(D15:D31)</f>
        <v>40857</v>
      </c>
      <c r="E32" s="61"/>
      <c r="F32" s="62"/>
      <c r="G32" s="61"/>
      <c r="H32" s="61"/>
      <c r="I32" s="62"/>
      <c r="J32" s="61">
        <f>SUM(J15:J31)</f>
        <v>605</v>
      </c>
      <c r="K32" s="61">
        <f t="shared" ref="K32:Q32" si="21">ROUND(SUM(K15:K31),1)</f>
        <v>816</v>
      </c>
      <c r="L32" s="61">
        <f t="shared" si="21"/>
        <v>1632</v>
      </c>
      <c r="M32" s="61">
        <f t="shared" si="21"/>
        <v>490</v>
      </c>
      <c r="N32" s="61">
        <f t="shared" si="21"/>
        <v>613</v>
      </c>
      <c r="O32" s="61">
        <f t="shared" si="21"/>
        <v>60</v>
      </c>
      <c r="P32" s="61">
        <f t="shared" si="21"/>
        <v>550</v>
      </c>
      <c r="Q32" s="61">
        <f t="shared" si="21"/>
        <v>673</v>
      </c>
      <c r="R32" s="61">
        <f>ROUND(SUM(R15:R31),2)</f>
        <v>979.5</v>
      </c>
      <c r="S32" s="61"/>
    </row>
    <row r="33" spans="1:19" ht="21.95" customHeight="1">
      <c r="A33" s="422" t="s">
        <v>167</v>
      </c>
      <c r="B33" s="55" t="s">
        <v>168</v>
      </c>
      <c r="C33" s="56"/>
      <c r="D33" s="64">
        <v>3210</v>
      </c>
      <c r="E33" s="57"/>
      <c r="F33" s="58">
        <v>16</v>
      </c>
      <c r="G33" s="57">
        <v>85</v>
      </c>
      <c r="H33" s="57">
        <v>87</v>
      </c>
      <c r="I33" s="58">
        <f>ROUND((F33/(G33/100))/(H33/100),0)</f>
        <v>22</v>
      </c>
      <c r="J33" s="57">
        <f>ROUND(K33/1.35,0)</f>
        <v>52</v>
      </c>
      <c r="K33" s="57">
        <f>ROUND($D33*I33/1000,1)</f>
        <v>70.599999999999994</v>
      </c>
      <c r="L33" s="57">
        <f>ROUND(K33*2,1)</f>
        <v>141.19999999999999</v>
      </c>
      <c r="M33" s="57">
        <f>ROUND(N33*0.8,0)</f>
        <v>41</v>
      </c>
      <c r="N33" s="57">
        <f>ROUND($D33*F33/1000,0)</f>
        <v>51</v>
      </c>
      <c r="O33" s="57">
        <f>ROUND(N33*0.1,0)</f>
        <v>5</v>
      </c>
      <c r="P33" s="57">
        <f>ROUND(M33+O33,1)</f>
        <v>46</v>
      </c>
      <c r="Q33" s="57">
        <f>SUM(N33:O33)</f>
        <v>56</v>
      </c>
      <c r="R33" s="57">
        <f>ROUND(N33*1.5+O33,2)</f>
        <v>81.5</v>
      </c>
      <c r="S33" s="57" t="s">
        <v>169</v>
      </c>
    </row>
    <row r="34" spans="1:19" ht="21.95" customHeight="1">
      <c r="A34" s="422"/>
      <c r="B34" s="55" t="s">
        <v>170</v>
      </c>
      <c r="C34" s="56"/>
      <c r="D34" s="64">
        <v>8190</v>
      </c>
      <c r="E34" s="57"/>
      <c r="F34" s="58">
        <v>16</v>
      </c>
      <c r="G34" s="57">
        <v>85</v>
      </c>
      <c r="H34" s="57">
        <v>87</v>
      </c>
      <c r="I34" s="58">
        <f>ROUND((F34/(G34/100))/(H34/100),0)</f>
        <v>22</v>
      </c>
      <c r="J34" s="57">
        <f>ROUND(K34/1.35,0)</f>
        <v>133</v>
      </c>
      <c r="K34" s="57">
        <f>ROUND($D34*I34/1000,1)</f>
        <v>180.2</v>
      </c>
      <c r="L34" s="57">
        <f>ROUND(K34*2,1)</f>
        <v>360.4</v>
      </c>
      <c r="M34" s="57">
        <f>ROUND(N34*0.8,0)</f>
        <v>105</v>
      </c>
      <c r="N34" s="57">
        <f>ROUND($D34*F34/1000,0)</f>
        <v>131</v>
      </c>
      <c r="O34" s="57">
        <f>ROUND(N34*0.1,0)</f>
        <v>13</v>
      </c>
      <c r="P34" s="57">
        <f>ROUND(M34+O34,1)</f>
        <v>118</v>
      </c>
      <c r="Q34" s="57">
        <f>SUM(N34:O34)</f>
        <v>144</v>
      </c>
      <c r="R34" s="57">
        <f>ROUND(N34*1.5+O34,2)</f>
        <v>209.5</v>
      </c>
      <c r="S34" s="57" t="s">
        <v>169</v>
      </c>
    </row>
    <row r="35" spans="1:19" s="54" customFormat="1" ht="21.95" customHeight="1">
      <c r="A35" s="422"/>
      <c r="B35" s="59" t="s">
        <v>115</v>
      </c>
      <c r="C35" s="60"/>
      <c r="D35" s="63">
        <f>SUM(D33:D34)</f>
        <v>11400</v>
      </c>
      <c r="E35" s="61"/>
      <c r="F35" s="62"/>
      <c r="G35" s="61"/>
      <c r="H35" s="61"/>
      <c r="I35" s="62"/>
      <c r="J35" s="61">
        <f>SUM(J33:J34)</f>
        <v>185</v>
      </c>
      <c r="K35" s="61">
        <f t="shared" ref="K35:Q35" si="22">ROUND(SUM(K33:K34),1)</f>
        <v>250.8</v>
      </c>
      <c r="L35" s="61">
        <f t="shared" si="22"/>
        <v>501.6</v>
      </c>
      <c r="M35" s="61">
        <f t="shared" si="22"/>
        <v>146</v>
      </c>
      <c r="N35" s="61">
        <f t="shared" si="22"/>
        <v>182</v>
      </c>
      <c r="O35" s="61">
        <f t="shared" si="22"/>
        <v>18</v>
      </c>
      <c r="P35" s="61">
        <f t="shared" si="22"/>
        <v>164</v>
      </c>
      <c r="Q35" s="61">
        <f t="shared" si="22"/>
        <v>200</v>
      </c>
      <c r="R35" s="61">
        <f>ROUND(SUM(R33:R34),2)</f>
        <v>291</v>
      </c>
      <c r="S35" s="61"/>
    </row>
    <row r="36" spans="1:19" ht="21.95" customHeight="1">
      <c r="A36" s="422" t="s">
        <v>171</v>
      </c>
      <c r="B36" s="55" t="s">
        <v>172</v>
      </c>
      <c r="C36" s="56"/>
      <c r="D36" s="64">
        <v>2333</v>
      </c>
      <c r="E36" s="57"/>
      <c r="F36" s="58">
        <v>15</v>
      </c>
      <c r="G36" s="57">
        <v>85</v>
      </c>
      <c r="H36" s="57">
        <v>87</v>
      </c>
      <c r="I36" s="58">
        <f>ROUND((F36/(G36/100))/(H36/100),0)</f>
        <v>20</v>
      </c>
      <c r="J36" s="57">
        <f>ROUND(K36/1.35,0)</f>
        <v>35</v>
      </c>
      <c r="K36" s="57">
        <f>ROUND($D36*I36/1000,1)</f>
        <v>46.7</v>
      </c>
      <c r="L36" s="57">
        <f>ROUND(K36*2,1)</f>
        <v>93.4</v>
      </c>
      <c r="M36" s="57">
        <f>ROUND(N36*0.8,0)</f>
        <v>28</v>
      </c>
      <c r="N36" s="57">
        <f>ROUND($D36*F36/1000,0)</f>
        <v>35</v>
      </c>
      <c r="O36" s="57">
        <f>ROUND(N36*0.1,0)</f>
        <v>4</v>
      </c>
      <c r="P36" s="57">
        <f>ROUND(M36+O36,1)</f>
        <v>32</v>
      </c>
      <c r="Q36" s="57">
        <f>SUM(N36:O36)</f>
        <v>39</v>
      </c>
      <c r="R36" s="57">
        <f>ROUND(N36*1.5+O36,2)</f>
        <v>56.5</v>
      </c>
      <c r="S36" s="57" t="s">
        <v>173</v>
      </c>
    </row>
    <row r="37" spans="1:19" ht="21.95" customHeight="1">
      <c r="A37" s="422"/>
      <c r="B37" s="55" t="s">
        <v>174</v>
      </c>
      <c r="C37" s="56"/>
      <c r="D37" s="64">
        <v>914</v>
      </c>
      <c r="E37" s="57"/>
      <c r="F37" s="58">
        <v>15</v>
      </c>
      <c r="G37" s="57">
        <v>85</v>
      </c>
      <c r="H37" s="57">
        <v>87</v>
      </c>
      <c r="I37" s="58">
        <f>ROUND((F37/(G37/100))/(H37/100),0)</f>
        <v>20</v>
      </c>
      <c r="J37" s="57">
        <f>ROUND(K37/1.35,0)</f>
        <v>14</v>
      </c>
      <c r="K37" s="57">
        <f>ROUND($D37*I37/1000,1)</f>
        <v>18.3</v>
      </c>
      <c r="L37" s="57">
        <f>ROUND(K37*2,1)</f>
        <v>36.6</v>
      </c>
      <c r="M37" s="57">
        <f>ROUND(N37*0.8,0)</f>
        <v>11</v>
      </c>
      <c r="N37" s="57">
        <f>ROUND($D37*F37/1000,0)</f>
        <v>14</v>
      </c>
      <c r="O37" s="57">
        <f>ROUND(N37*0.1,0)</f>
        <v>1</v>
      </c>
      <c r="P37" s="57">
        <f>ROUND(M37+O37,1)</f>
        <v>12</v>
      </c>
      <c r="Q37" s="57">
        <f>SUM(N37:O37)</f>
        <v>15</v>
      </c>
      <c r="R37" s="57">
        <f>ROUND(N37*1.5+O37,2)</f>
        <v>22</v>
      </c>
      <c r="S37" s="57" t="s">
        <v>173</v>
      </c>
    </row>
    <row r="38" spans="1:19" s="54" customFormat="1" ht="21.95" customHeight="1">
      <c r="A38" s="422"/>
      <c r="B38" s="59" t="s">
        <v>115</v>
      </c>
      <c r="C38" s="60"/>
      <c r="D38" s="63">
        <f>SUM(D36:D37)</f>
        <v>3247</v>
      </c>
      <c r="E38" s="61"/>
      <c r="F38" s="62"/>
      <c r="G38" s="61"/>
      <c r="H38" s="61"/>
      <c r="I38" s="62"/>
      <c r="J38" s="61">
        <f>SUM(J36:J37)</f>
        <v>49</v>
      </c>
      <c r="K38" s="61">
        <f t="shared" ref="K38:Q38" si="23">ROUND(SUM(K36:K37),1)</f>
        <v>65</v>
      </c>
      <c r="L38" s="61">
        <f t="shared" si="23"/>
        <v>130</v>
      </c>
      <c r="M38" s="61">
        <f t="shared" si="23"/>
        <v>39</v>
      </c>
      <c r="N38" s="61">
        <f t="shared" si="23"/>
        <v>49</v>
      </c>
      <c r="O38" s="61">
        <f t="shared" si="23"/>
        <v>5</v>
      </c>
      <c r="P38" s="61">
        <f t="shared" si="23"/>
        <v>44</v>
      </c>
      <c r="Q38" s="61">
        <f t="shared" si="23"/>
        <v>54</v>
      </c>
      <c r="R38" s="61">
        <f>ROUND(SUM(R36:R37),2)</f>
        <v>78.5</v>
      </c>
      <c r="S38" s="61"/>
    </row>
    <row r="39" spans="1:19" ht="21.95" customHeight="1">
      <c r="A39" s="421" t="s">
        <v>175</v>
      </c>
      <c r="B39" s="55" t="s">
        <v>176</v>
      </c>
      <c r="C39" s="56"/>
      <c r="D39" s="64">
        <v>6683</v>
      </c>
      <c r="E39" s="57"/>
      <c r="F39" s="58">
        <v>15</v>
      </c>
      <c r="G39" s="57">
        <v>85</v>
      </c>
      <c r="H39" s="57">
        <v>87</v>
      </c>
      <c r="I39" s="58">
        <f>ROUND((F39/(G39/100))/(H39/100),0)</f>
        <v>20</v>
      </c>
      <c r="J39" s="57">
        <f>ROUND(K39/1.35,0)</f>
        <v>99</v>
      </c>
      <c r="K39" s="57">
        <f>ROUND($D39*I39/1000,0)</f>
        <v>134</v>
      </c>
      <c r="L39" s="57">
        <f>ROUND(K39*2,0)</f>
        <v>268</v>
      </c>
      <c r="M39" s="57">
        <f>ROUND(N39*0.8,0)</f>
        <v>80</v>
      </c>
      <c r="N39" s="57">
        <f>ROUND($D39*F39/1000,0)</f>
        <v>100</v>
      </c>
      <c r="O39" s="57">
        <f>ROUND(N39*0.1,0)</f>
        <v>10</v>
      </c>
      <c r="P39" s="57">
        <f>ROUND(M39+O39,1)</f>
        <v>90</v>
      </c>
      <c r="Q39" s="57">
        <f>SUM(N39:O39)</f>
        <v>110</v>
      </c>
      <c r="R39" s="57">
        <f>ROUND(N39*1.5+O39,2)</f>
        <v>160</v>
      </c>
      <c r="S39" s="57"/>
    </row>
    <row r="40" spans="1:19" s="54" customFormat="1" ht="21.95" customHeight="1">
      <c r="A40" s="421"/>
      <c r="B40" s="59" t="s">
        <v>115</v>
      </c>
      <c r="C40" s="60"/>
      <c r="D40" s="63">
        <f>SUM(D39:D39)</f>
        <v>6683</v>
      </c>
      <c r="E40" s="61"/>
      <c r="F40" s="62"/>
      <c r="G40" s="61"/>
      <c r="H40" s="61"/>
      <c r="I40" s="62"/>
      <c r="J40" s="61">
        <f>ROUND(K40*0.74074074,0)</f>
        <v>99</v>
      </c>
      <c r="K40" s="61">
        <f t="shared" ref="K40:R40" si="24">SUM(K39:K39)</f>
        <v>134</v>
      </c>
      <c r="L40" s="61">
        <f t="shared" si="24"/>
        <v>268</v>
      </c>
      <c r="M40" s="61">
        <f t="shared" si="24"/>
        <v>80</v>
      </c>
      <c r="N40" s="61">
        <f t="shared" si="24"/>
        <v>100</v>
      </c>
      <c r="O40" s="61">
        <f t="shared" si="24"/>
        <v>10</v>
      </c>
      <c r="P40" s="61">
        <f t="shared" si="24"/>
        <v>90</v>
      </c>
      <c r="Q40" s="61">
        <f t="shared" si="24"/>
        <v>110</v>
      </c>
      <c r="R40" s="61">
        <f t="shared" si="24"/>
        <v>160</v>
      </c>
      <c r="S40" s="61"/>
    </row>
    <row r="41" spans="1:19" ht="24.95" customHeight="1">
      <c r="K41" s="68"/>
      <c r="L41" s="68"/>
    </row>
  </sheetData>
  <mergeCells count="12">
    <mergeCell ref="A6:B6"/>
    <mergeCell ref="A39:A40"/>
    <mergeCell ref="A7:A14"/>
    <mergeCell ref="A15:A32"/>
    <mergeCell ref="A33:A35"/>
    <mergeCell ref="A36:A38"/>
    <mergeCell ref="D3:D4"/>
    <mergeCell ref="E3:E4"/>
    <mergeCell ref="S3:S5"/>
    <mergeCell ref="G3:G4"/>
    <mergeCell ref="A3:B5"/>
    <mergeCell ref="C3:C4"/>
  </mergeCells>
  <phoneticPr fontId="2" type="noConversion"/>
  <printOptions horizontalCentered="1"/>
  <pageMargins left="0.39370078740157483" right="0.39370078740157483" top="0.83" bottom="0.59055118110236227" header="0.70866141732283472" footer="0.31496062992125984"/>
  <pageSetup paperSize="9" scale="75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M6"/>
  <sheetViews>
    <sheetView showGridLines="0" view="pageBreakPreview" workbookViewId="0"/>
  </sheetViews>
  <sheetFormatPr defaultRowHeight="30" customHeight="1"/>
  <cols>
    <col min="1" max="2" width="7.109375" style="6" customWidth="1"/>
    <col min="3" max="12" width="5.21875" style="6" customWidth="1"/>
    <col min="13" max="13" width="8.44140625" style="6" customWidth="1"/>
    <col min="14" max="14" width="2.88671875" style="2" customWidth="1"/>
    <col min="15" max="16" width="8.88671875" style="2"/>
    <col min="17" max="17" width="9.44140625" style="2" bestFit="1" customWidth="1"/>
    <col min="18" max="16384" width="8.88671875" style="2"/>
  </cols>
  <sheetData>
    <row r="1" spans="1:11" ht="30" customHeight="1">
      <c r="A1" s="167" t="s">
        <v>420</v>
      </c>
    </row>
    <row r="2" spans="1:11" ht="30" customHeight="1">
      <c r="A2" s="39" t="s">
        <v>185</v>
      </c>
    </row>
    <row r="3" spans="1:11" ht="30" customHeight="1">
      <c r="A3" s="39" t="s">
        <v>186</v>
      </c>
    </row>
    <row r="4" spans="1:11" ht="30" customHeight="1">
      <c r="A4" s="433" t="s">
        <v>177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</row>
    <row r="5" spans="1:11" ht="30" customHeight="1">
      <c r="A5" s="429" t="s">
        <v>179</v>
      </c>
      <c r="B5" s="429"/>
      <c r="C5" s="429"/>
      <c r="D5" s="429" t="s">
        <v>180</v>
      </c>
      <c r="E5" s="430"/>
      <c r="F5" s="431" t="s">
        <v>181</v>
      </c>
      <c r="G5" s="431"/>
      <c r="H5" s="429" t="s">
        <v>182</v>
      </c>
      <c r="I5" s="430"/>
      <c r="J5" s="429" t="s">
        <v>183</v>
      </c>
      <c r="K5" s="429"/>
    </row>
    <row r="6" spans="1:11" ht="30" customHeight="1">
      <c r="A6" s="434" t="s">
        <v>184</v>
      </c>
      <c r="B6" s="434"/>
      <c r="C6" s="434"/>
      <c r="D6" s="430">
        <f>'관광용수량(남당)(숙박단위조정)'!J6</f>
        <v>1040</v>
      </c>
      <c r="E6" s="430"/>
      <c r="F6" s="431">
        <f>'관광용수량(남당)(숙박단위조정)'!K6</f>
        <v>1404.1</v>
      </c>
      <c r="G6" s="431"/>
      <c r="H6" s="430">
        <f>'관광용수량(남당)(숙박단위조정)'!L6</f>
        <v>2808.2</v>
      </c>
      <c r="I6" s="430"/>
      <c r="J6" s="432"/>
      <c r="K6" s="432"/>
    </row>
  </sheetData>
  <mergeCells count="11">
    <mergeCell ref="D5:E5"/>
    <mergeCell ref="F5:G5"/>
    <mergeCell ref="J5:K5"/>
    <mergeCell ref="J6:K6"/>
    <mergeCell ref="A4:K4"/>
    <mergeCell ref="H5:I5"/>
    <mergeCell ref="D6:E6"/>
    <mergeCell ref="F6:G6"/>
    <mergeCell ref="H6:I6"/>
    <mergeCell ref="A6:C6"/>
    <mergeCell ref="A5:C5"/>
  </mergeCells>
  <phoneticPr fontId="2" type="noConversion"/>
  <printOptions horizontalCentered="1"/>
  <pageMargins left="0.47" right="0.5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65"/>
  <sheetViews>
    <sheetView view="pageBreakPreview" topLeftCell="A31" zoomScale="85" zoomScaleSheetLayoutView="85" workbookViewId="0">
      <selection activeCell="K49" sqref="K49"/>
    </sheetView>
  </sheetViews>
  <sheetFormatPr defaultColWidth="10.77734375" defaultRowHeight="20.100000000000001" customHeight="1"/>
  <sheetData>
    <row r="1" spans="1:8" ht="24.95" customHeight="1">
      <c r="A1" s="28" t="s">
        <v>215</v>
      </c>
    </row>
    <row r="2" spans="1:8" ht="24.95" customHeight="1">
      <c r="A2" s="5" t="s">
        <v>59</v>
      </c>
    </row>
    <row r="3" spans="1:8" ht="24.95" customHeight="1">
      <c r="A3" s="5" t="s">
        <v>30</v>
      </c>
    </row>
    <row r="4" spans="1:8" ht="24.95" customHeight="1">
      <c r="A4" s="5" t="s">
        <v>29</v>
      </c>
    </row>
    <row r="5" spans="1:8" ht="24.95" customHeight="1">
      <c r="A5" s="443" t="s">
        <v>60</v>
      </c>
      <c r="B5" s="443"/>
      <c r="C5" s="443"/>
      <c r="D5" s="443"/>
      <c r="E5" s="443"/>
      <c r="F5" s="443"/>
      <c r="G5" s="443"/>
      <c r="H5" s="443"/>
    </row>
    <row r="6" spans="1:8" ht="24.95" customHeight="1">
      <c r="A6" s="76" t="s">
        <v>319</v>
      </c>
      <c r="B6" s="29"/>
      <c r="C6" s="29"/>
      <c r="D6" s="29"/>
      <c r="E6" s="29"/>
      <c r="F6" s="29"/>
      <c r="G6" s="29"/>
      <c r="H6" s="29"/>
    </row>
    <row r="7" spans="1:8" ht="24.95" customHeight="1">
      <c r="A7" s="7"/>
      <c r="H7" s="11" t="s">
        <v>193</v>
      </c>
    </row>
    <row r="8" spans="1:8" ht="24.95" customHeight="1">
      <c r="A8" s="373" t="s">
        <v>216</v>
      </c>
      <c r="B8" s="373"/>
      <c r="C8" s="442" t="s">
        <v>218</v>
      </c>
      <c r="D8" s="442"/>
      <c r="E8" s="360" t="s">
        <v>217</v>
      </c>
      <c r="F8" s="360"/>
      <c r="G8" s="372" t="s">
        <v>219</v>
      </c>
      <c r="H8" s="372"/>
    </row>
    <row r="9" spans="1:8" ht="24.95" customHeight="1">
      <c r="A9" s="373">
        <v>39661</v>
      </c>
      <c r="B9" s="373"/>
      <c r="C9" s="38">
        <v>2473</v>
      </c>
      <c r="D9" s="38"/>
      <c r="E9" s="38">
        <v>1172</v>
      </c>
      <c r="F9" s="38"/>
      <c r="G9" s="362"/>
      <c r="H9" s="362"/>
    </row>
    <row r="10" spans="1:8" ht="24.95" customHeight="1">
      <c r="A10" s="373">
        <v>39630</v>
      </c>
      <c r="B10" s="373"/>
      <c r="C10" s="38">
        <v>2334</v>
      </c>
      <c r="D10" s="38"/>
      <c r="E10" s="38">
        <v>1099</v>
      </c>
      <c r="F10" s="38"/>
      <c r="G10" s="445"/>
      <c r="H10" s="446"/>
    </row>
    <row r="11" spans="1:8" ht="24.95" customHeight="1">
      <c r="A11" s="373">
        <v>39600</v>
      </c>
      <c r="B11" s="373"/>
      <c r="C11" s="38">
        <v>2036</v>
      </c>
      <c r="D11" s="38"/>
      <c r="E11" s="38">
        <v>1020</v>
      </c>
      <c r="F11" s="38"/>
      <c r="G11" s="445"/>
      <c r="H11" s="446"/>
    </row>
    <row r="12" spans="1:8" ht="24.95" customHeight="1">
      <c r="A12" s="373">
        <v>39569</v>
      </c>
      <c r="B12" s="373"/>
      <c r="C12" s="38">
        <v>2405</v>
      </c>
      <c r="D12" s="38"/>
      <c r="E12" s="38">
        <v>783</v>
      </c>
      <c r="F12" s="38"/>
      <c r="G12" s="445"/>
      <c r="H12" s="446"/>
    </row>
    <row r="13" spans="1:8" ht="24.95" customHeight="1">
      <c r="A13" s="373">
        <v>39539</v>
      </c>
      <c r="B13" s="373"/>
      <c r="C13" s="38">
        <v>2120</v>
      </c>
      <c r="D13" s="38"/>
      <c r="E13" s="38">
        <v>731</v>
      </c>
      <c r="F13" s="38"/>
      <c r="G13" s="445"/>
      <c r="H13" s="446"/>
    </row>
    <row r="14" spans="1:8" ht="24.95" customHeight="1">
      <c r="A14" s="373">
        <v>39508</v>
      </c>
      <c r="B14" s="373"/>
      <c r="C14" s="38">
        <v>2556</v>
      </c>
      <c r="D14" s="38"/>
      <c r="E14" s="38">
        <v>667</v>
      </c>
      <c r="F14" s="38"/>
      <c r="G14" s="445"/>
      <c r="H14" s="446"/>
    </row>
    <row r="15" spans="1:8" ht="24.95" customHeight="1">
      <c r="A15" s="373">
        <v>39479</v>
      </c>
      <c r="B15" s="373"/>
      <c r="C15" s="38">
        <v>2614</v>
      </c>
      <c r="D15" s="38"/>
      <c r="E15" s="38">
        <v>692</v>
      </c>
      <c r="F15" s="38"/>
      <c r="G15" s="445"/>
      <c r="H15" s="446"/>
    </row>
    <row r="16" spans="1:8" ht="24.95" customHeight="1">
      <c r="A16" s="373">
        <v>39448</v>
      </c>
      <c r="B16" s="373"/>
      <c r="C16" s="38">
        <v>2346</v>
      </c>
      <c r="D16" s="38"/>
      <c r="E16" s="38">
        <v>544</v>
      </c>
      <c r="F16" s="38"/>
      <c r="G16" s="445"/>
      <c r="H16" s="446"/>
    </row>
    <row r="17" spans="1:8" ht="24.95" customHeight="1">
      <c r="A17" s="373">
        <v>39417</v>
      </c>
      <c r="B17" s="373"/>
      <c r="C17" s="38">
        <v>2167</v>
      </c>
      <c r="D17" s="38"/>
      <c r="E17" s="38">
        <v>625</v>
      </c>
      <c r="F17" s="38"/>
      <c r="G17" s="445"/>
      <c r="H17" s="446"/>
    </row>
    <row r="18" spans="1:8" ht="24.95" customHeight="1">
      <c r="A18" s="373">
        <v>39387</v>
      </c>
      <c r="B18" s="373"/>
      <c r="C18" s="38">
        <v>2400</v>
      </c>
      <c r="D18" s="38"/>
      <c r="E18" s="38">
        <v>552</v>
      </c>
      <c r="F18" s="38"/>
      <c r="G18" s="445"/>
      <c r="H18" s="446"/>
    </row>
    <row r="19" spans="1:8" ht="24.95" customHeight="1">
      <c r="A19" s="373">
        <v>39356</v>
      </c>
      <c r="B19" s="373"/>
      <c r="C19" s="38">
        <v>2742</v>
      </c>
      <c r="D19" s="38"/>
      <c r="E19" s="38">
        <v>695</v>
      </c>
      <c r="F19" s="38"/>
      <c r="G19" s="445"/>
      <c r="H19" s="446"/>
    </row>
    <row r="20" spans="1:8" ht="24.95" customHeight="1">
      <c r="A20" s="373">
        <v>39326</v>
      </c>
      <c r="B20" s="373"/>
      <c r="C20" s="38">
        <v>3338</v>
      </c>
      <c r="D20" s="38"/>
      <c r="E20" s="38">
        <v>844</v>
      </c>
      <c r="F20" s="38"/>
      <c r="G20" s="445"/>
      <c r="H20" s="446"/>
    </row>
    <row r="21" spans="1:8" ht="24.95" customHeight="1">
      <c r="A21" s="373">
        <v>39295</v>
      </c>
      <c r="B21" s="373"/>
      <c r="C21" s="38">
        <v>2443</v>
      </c>
      <c r="D21" s="38"/>
      <c r="E21" s="38">
        <v>981</v>
      </c>
      <c r="F21" s="38"/>
      <c r="G21" s="445"/>
      <c r="H21" s="446"/>
    </row>
    <row r="22" spans="1:8" ht="24.95" customHeight="1">
      <c r="A22" s="373">
        <v>39264</v>
      </c>
      <c r="B22" s="373"/>
      <c r="C22" s="38">
        <v>2679</v>
      </c>
      <c r="D22" s="38"/>
      <c r="E22" s="38">
        <v>652</v>
      </c>
      <c r="F22" s="38"/>
      <c r="G22" s="445"/>
      <c r="H22" s="446"/>
    </row>
    <row r="23" spans="1:8" ht="24.95" customHeight="1">
      <c r="A23" s="373">
        <v>39234</v>
      </c>
      <c r="B23" s="373"/>
      <c r="C23" s="38">
        <v>2531</v>
      </c>
      <c r="D23" s="38"/>
      <c r="E23" s="38">
        <v>670</v>
      </c>
      <c r="F23" s="38"/>
      <c r="G23" s="445"/>
      <c r="H23" s="446"/>
    </row>
    <row r="24" spans="1:8" ht="24.95" customHeight="1">
      <c r="A24" s="373">
        <v>39203</v>
      </c>
      <c r="B24" s="373"/>
      <c r="C24" s="38">
        <v>3124</v>
      </c>
      <c r="D24" s="38"/>
      <c r="E24" s="38">
        <v>499</v>
      </c>
      <c r="F24" s="38"/>
      <c r="G24" s="445"/>
      <c r="H24" s="446"/>
    </row>
    <row r="25" spans="1:8" ht="24.95" customHeight="1">
      <c r="A25" s="373">
        <v>39173</v>
      </c>
      <c r="B25" s="373"/>
      <c r="C25" s="38">
        <v>2948</v>
      </c>
      <c r="D25" s="38"/>
      <c r="E25" s="38">
        <v>504</v>
      </c>
      <c r="F25" s="38"/>
      <c r="G25" s="445"/>
      <c r="H25" s="446"/>
    </row>
    <row r="26" spans="1:8" ht="24.95" customHeight="1">
      <c r="A26" s="373">
        <v>39142</v>
      </c>
      <c r="B26" s="373"/>
      <c r="C26" s="38">
        <v>1457</v>
      </c>
      <c r="D26" s="38"/>
      <c r="E26" s="38">
        <v>823</v>
      </c>
      <c r="F26" s="38"/>
      <c r="G26" s="445"/>
      <c r="H26" s="446"/>
    </row>
    <row r="27" spans="1:8" ht="24.95" customHeight="1">
      <c r="A27" s="373">
        <v>39114</v>
      </c>
      <c r="B27" s="373"/>
      <c r="C27" s="38">
        <v>34</v>
      </c>
      <c r="D27" s="38"/>
      <c r="E27" s="38">
        <v>852</v>
      </c>
      <c r="F27" s="38"/>
      <c r="G27" s="445"/>
      <c r="H27" s="446"/>
    </row>
    <row r="28" spans="1:8" ht="24.95" customHeight="1">
      <c r="A28" s="373">
        <v>39083</v>
      </c>
      <c r="B28" s="373"/>
      <c r="C28" s="38">
        <v>32</v>
      </c>
      <c r="D28" s="38"/>
      <c r="E28" s="38">
        <v>928</v>
      </c>
      <c r="F28" s="38"/>
      <c r="G28" s="445"/>
      <c r="H28" s="446"/>
    </row>
    <row r="29" spans="1:8" ht="24.95" customHeight="1">
      <c r="A29" s="447"/>
      <c r="B29" s="447"/>
      <c r="C29" s="446"/>
      <c r="D29" s="446"/>
      <c r="E29" s="446"/>
      <c r="F29" s="446"/>
      <c r="G29" s="446"/>
      <c r="H29" s="446"/>
    </row>
    <row r="30" spans="1:8" ht="24.95" customHeight="1">
      <c r="A30" s="5" t="s">
        <v>61</v>
      </c>
    </row>
    <row r="31" spans="1:8" ht="24.95" customHeight="1">
      <c r="A31" s="443" t="s">
        <v>62</v>
      </c>
      <c r="B31" s="443"/>
      <c r="C31" s="443"/>
      <c r="D31" s="443"/>
      <c r="E31" s="443"/>
      <c r="F31" s="443"/>
      <c r="G31" s="443"/>
      <c r="H31" s="443"/>
    </row>
    <row r="32" spans="1:8" ht="24.95" customHeight="1">
      <c r="A32" s="372" t="s">
        <v>220</v>
      </c>
      <c r="B32" s="372"/>
      <c r="C32" s="442" t="s">
        <v>218</v>
      </c>
      <c r="D32" s="442"/>
      <c r="E32" s="360" t="s">
        <v>217</v>
      </c>
      <c r="F32" s="360"/>
      <c r="G32" s="372" t="s">
        <v>219</v>
      </c>
      <c r="H32" s="372"/>
    </row>
    <row r="33" spans="1:10" ht="24.95" customHeight="1">
      <c r="A33" s="372" t="s">
        <v>221</v>
      </c>
      <c r="B33" s="372"/>
      <c r="C33" s="379">
        <f>SUM(C9:D20)</f>
        <v>29531</v>
      </c>
      <c r="D33" s="372"/>
      <c r="E33" s="379">
        <f>SUM(E9:F20)</f>
        <v>9424</v>
      </c>
      <c r="F33" s="372"/>
      <c r="G33" s="437" t="s">
        <v>318</v>
      </c>
      <c r="H33" s="438"/>
    </row>
    <row r="34" spans="1:10" ht="24.95" customHeight="1">
      <c r="A34" s="372" t="s">
        <v>222</v>
      </c>
      <c r="B34" s="372"/>
      <c r="C34" s="379">
        <f>AVERAGE(C9:C20)</f>
        <v>2460.9166666666665</v>
      </c>
      <c r="D34" s="372"/>
      <c r="E34" s="379">
        <f>AVERAGE(E9:E20)</f>
        <v>785.33333333333337</v>
      </c>
      <c r="F34" s="372"/>
      <c r="G34" s="448"/>
      <c r="H34" s="449"/>
    </row>
    <row r="35" spans="1:10" ht="24.95" customHeight="1">
      <c r="A35" s="372" t="s">
        <v>223</v>
      </c>
      <c r="B35" s="372"/>
      <c r="C35" s="379">
        <f>MAX(C9:C20)</f>
        <v>3338</v>
      </c>
      <c r="D35" s="372"/>
      <c r="E35" s="379">
        <f>MAX(E9:E20)</f>
        <v>1172</v>
      </c>
      <c r="F35" s="372"/>
      <c r="G35" s="448"/>
      <c r="H35" s="449"/>
    </row>
    <row r="36" spans="1:10" ht="24.95" customHeight="1">
      <c r="A36" s="372" t="s">
        <v>224</v>
      </c>
      <c r="B36" s="372"/>
      <c r="C36" s="376">
        <f>ROUND(C33/365,0)</f>
        <v>81</v>
      </c>
      <c r="D36" s="376"/>
      <c r="E36" s="376">
        <f>ROUND(E33/365,0)</f>
        <v>26</v>
      </c>
      <c r="F36" s="376"/>
      <c r="G36" s="448"/>
      <c r="H36" s="449"/>
    </row>
    <row r="37" spans="1:10" ht="24.95" customHeight="1">
      <c r="A37" s="372" t="s">
        <v>225</v>
      </c>
      <c r="B37" s="372"/>
      <c r="C37" s="376">
        <f>ROUND(C35/30,0)</f>
        <v>111</v>
      </c>
      <c r="D37" s="376"/>
      <c r="E37" s="376">
        <f>ROUND(E35/30,0)</f>
        <v>39</v>
      </c>
      <c r="F37" s="376"/>
      <c r="G37" s="439"/>
      <c r="H37" s="440"/>
    </row>
    <row r="38" spans="1:10" ht="24.95" customHeight="1">
      <c r="A38" s="32"/>
      <c r="B38" s="32"/>
    </row>
    <row r="39" spans="1:10" ht="24.95" customHeight="1">
      <c r="I39" s="31"/>
    </row>
    <row r="40" spans="1:10" ht="24.95" customHeight="1">
      <c r="A40" s="5" t="s">
        <v>226</v>
      </c>
      <c r="J40" s="31"/>
    </row>
    <row r="41" spans="1:10" ht="24.95" customHeight="1">
      <c r="A41" t="s">
        <v>31</v>
      </c>
      <c r="E41" s="31"/>
    </row>
    <row r="42" spans="1:10" ht="24.95" customHeight="1">
      <c r="A42" t="s">
        <v>231</v>
      </c>
    </row>
    <row r="43" spans="1:10" ht="24.95" customHeight="1">
      <c r="A43" s="443" t="s">
        <v>227</v>
      </c>
      <c r="B43" s="443"/>
      <c r="C43" s="443"/>
      <c r="D43" s="443"/>
      <c r="E43" s="443"/>
      <c r="F43" s="443"/>
      <c r="G43" s="443"/>
      <c r="H43" s="443"/>
    </row>
    <row r="44" spans="1:10" ht="24.95" customHeight="1">
      <c r="A44" s="372" t="s">
        <v>220</v>
      </c>
      <c r="B44" s="372"/>
      <c r="C44" s="442" t="s">
        <v>218</v>
      </c>
      <c r="D44" s="442"/>
      <c r="E44" s="360" t="s">
        <v>217</v>
      </c>
      <c r="F44" s="360"/>
      <c r="G44" s="372" t="s">
        <v>219</v>
      </c>
      <c r="H44" s="372"/>
    </row>
    <row r="45" spans="1:10" ht="24.95" customHeight="1">
      <c r="A45" s="372" t="s">
        <v>228</v>
      </c>
      <c r="B45" s="372"/>
      <c r="C45" s="376">
        <f>C37</f>
        <v>111</v>
      </c>
      <c r="D45" s="372"/>
      <c r="E45" s="376">
        <f>E37</f>
        <v>39</v>
      </c>
      <c r="F45" s="372"/>
      <c r="G45" s="372"/>
      <c r="H45" s="372"/>
    </row>
    <row r="46" spans="1:10" ht="24.95" customHeight="1">
      <c r="A46" s="389" t="s">
        <v>229</v>
      </c>
      <c r="B46" s="389"/>
      <c r="C46" s="376">
        <f>ROUND(C36*$G$46,0)</f>
        <v>109</v>
      </c>
      <c r="D46" s="376"/>
      <c r="E46" s="376">
        <f>ROUND(E36*$G$46,0)</f>
        <v>35</v>
      </c>
      <c r="F46" s="376"/>
      <c r="G46" s="444">
        <v>1.35</v>
      </c>
      <c r="H46" s="444"/>
    </row>
    <row r="47" spans="1:10" ht="24.95" customHeight="1">
      <c r="A47" s="378" t="s">
        <v>232</v>
      </c>
      <c r="B47" s="378"/>
      <c r="C47" s="377">
        <f>C46</f>
        <v>109</v>
      </c>
      <c r="D47" s="378"/>
      <c r="E47" s="377">
        <f>E46</f>
        <v>35</v>
      </c>
      <c r="F47" s="378"/>
      <c r="G47" s="372"/>
      <c r="H47" s="372"/>
    </row>
    <row r="48" spans="1:10" ht="24.95" customHeight="1"/>
    <row r="49" spans="1:14" ht="24.95" customHeight="1">
      <c r="A49" s="5" t="s">
        <v>230</v>
      </c>
    </row>
    <row r="50" spans="1:14" ht="24.95" customHeight="1">
      <c r="A50" t="s">
        <v>32</v>
      </c>
    </row>
    <row r="51" spans="1:14" ht="20.100000000000001" customHeight="1">
      <c r="A51" s="443" t="s">
        <v>200</v>
      </c>
      <c r="B51" s="443"/>
      <c r="C51" s="443"/>
      <c r="D51" s="443"/>
      <c r="E51" s="443"/>
      <c r="F51" s="443"/>
      <c r="G51" s="443"/>
      <c r="H51" s="443"/>
    </row>
    <row r="52" spans="1:14" ht="20.100000000000001" customHeight="1">
      <c r="A52" s="29"/>
      <c r="B52" s="29"/>
      <c r="C52" s="29"/>
      <c r="D52" s="29"/>
      <c r="E52" s="29"/>
      <c r="F52" s="11" t="s">
        <v>201</v>
      </c>
    </row>
    <row r="53" spans="1:14" ht="20.100000000000001" customHeight="1">
      <c r="A53" s="437" t="s">
        <v>220</v>
      </c>
      <c r="B53" s="438"/>
      <c r="C53" s="442" t="s">
        <v>33</v>
      </c>
      <c r="D53" s="442"/>
      <c r="E53" s="372" t="s">
        <v>219</v>
      </c>
      <c r="F53" s="372"/>
    </row>
    <row r="54" spans="1:14" ht="20.100000000000001" customHeight="1">
      <c r="A54" s="439"/>
      <c r="B54" s="440"/>
      <c r="C54" s="12" t="s">
        <v>203</v>
      </c>
      <c r="D54" s="12" t="s">
        <v>204</v>
      </c>
      <c r="E54" s="372"/>
      <c r="F54" s="372"/>
    </row>
    <row r="55" spans="1:14" ht="20.100000000000001" customHeight="1">
      <c r="A55" s="379" t="str">
        <f>C44</f>
        <v>1789부대</v>
      </c>
      <c r="B55" s="372"/>
      <c r="C55" s="30">
        <f>C36</f>
        <v>81</v>
      </c>
      <c r="D55" s="30">
        <f>C47</f>
        <v>109</v>
      </c>
      <c r="E55" s="372"/>
      <c r="F55" s="372"/>
    </row>
    <row r="56" spans="1:14" ht="20.100000000000001" customHeight="1">
      <c r="A56" s="441" t="str">
        <f>E44</f>
        <v>1789부대 헬기장</v>
      </c>
      <c r="B56" s="389"/>
      <c r="C56" s="30">
        <f>E36</f>
        <v>26</v>
      </c>
      <c r="D56" s="30">
        <f>E47</f>
        <v>35</v>
      </c>
      <c r="E56" s="372"/>
      <c r="F56" s="372"/>
    </row>
    <row r="57" spans="1:14" ht="20.100000000000001" customHeight="1">
      <c r="A57" s="441" t="s">
        <v>15</v>
      </c>
      <c r="B57" s="389"/>
      <c r="C57" s="30">
        <f>SUM(C55:C56)</f>
        <v>107</v>
      </c>
      <c r="D57" s="30">
        <f>SUM(D55:D56)</f>
        <v>144</v>
      </c>
      <c r="E57" s="372"/>
      <c r="F57" s="372"/>
      <c r="J57" s="69"/>
      <c r="K57" s="69" t="s">
        <v>322</v>
      </c>
      <c r="L57" s="69" t="s">
        <v>323</v>
      </c>
      <c r="M57" s="69" t="s">
        <v>324</v>
      </c>
      <c r="N57" s="69" t="s">
        <v>325</v>
      </c>
    </row>
    <row r="58" spans="1:14" ht="20.100000000000001" customHeight="1">
      <c r="J58" s="69" t="s">
        <v>131</v>
      </c>
      <c r="K58" s="69">
        <v>71</v>
      </c>
      <c r="L58" s="69">
        <v>73</v>
      </c>
      <c r="M58" s="69">
        <v>76</v>
      </c>
      <c r="N58" s="69">
        <v>80</v>
      </c>
    </row>
    <row r="59" spans="1:14" ht="20.100000000000001" customHeight="1">
      <c r="A59" s="435" t="s">
        <v>207</v>
      </c>
      <c r="B59" s="435"/>
      <c r="C59" s="86" t="s">
        <v>189</v>
      </c>
      <c r="D59" s="86" t="s">
        <v>190</v>
      </c>
      <c r="E59" s="86" t="s">
        <v>320</v>
      </c>
      <c r="F59" s="86" t="s">
        <v>321</v>
      </c>
    </row>
    <row r="60" spans="1:14" ht="20.100000000000001" customHeight="1">
      <c r="A60" s="436" t="s">
        <v>210</v>
      </c>
      <c r="B60" s="87" t="s">
        <v>211</v>
      </c>
      <c r="C60" s="88">
        <f>ROUND($C$55/K$58*100,0)</f>
        <v>114</v>
      </c>
      <c r="D60" s="88">
        <f>ROUND($C$55/L58*100,0)</f>
        <v>111</v>
      </c>
      <c r="E60" s="88">
        <f>ROUND($C$55/M58*100,0)</f>
        <v>107</v>
      </c>
      <c r="F60" s="88">
        <f>ROUND($C$55/N58*100,0)</f>
        <v>101</v>
      </c>
    </row>
    <row r="61" spans="1:14" ht="20.100000000000001" customHeight="1">
      <c r="A61" s="436"/>
      <c r="B61" s="87" t="s">
        <v>212</v>
      </c>
      <c r="C61" s="88">
        <f>ROUND($D$55/K$58*100,0)</f>
        <v>154</v>
      </c>
      <c r="D61" s="88">
        <f>ROUND($D$55/L$58*100,0)</f>
        <v>149</v>
      </c>
      <c r="E61" s="88">
        <f>ROUND($D$55/M$58*100,0)</f>
        <v>143</v>
      </c>
      <c r="F61" s="88">
        <f>ROUND($D$55/N$58*100,0)</f>
        <v>136</v>
      </c>
    </row>
    <row r="62" spans="1:14" ht="20.100000000000001" customHeight="1">
      <c r="A62" s="436" t="s">
        <v>213</v>
      </c>
      <c r="B62" s="87" t="s">
        <v>211</v>
      </c>
      <c r="C62" s="88">
        <f>ROUND($C$56/K$58*100,0)</f>
        <v>37</v>
      </c>
      <c r="D62" s="88">
        <f>ROUND($C$56/L$58*100,0)</f>
        <v>36</v>
      </c>
      <c r="E62" s="88">
        <f>ROUND($C$56/M$58*100,0)</f>
        <v>34</v>
      </c>
      <c r="F62" s="88">
        <f>ROUND($C$56/N$58*100,0)</f>
        <v>33</v>
      </c>
    </row>
    <row r="63" spans="1:14" ht="20.100000000000001" customHeight="1">
      <c r="A63" s="436"/>
      <c r="B63" s="87" t="s">
        <v>212</v>
      </c>
      <c r="C63" s="88">
        <f>ROUND($D$56/K$58*100,0)</f>
        <v>49</v>
      </c>
      <c r="D63" s="88">
        <f>ROUND($D$56/L$58*100,0)</f>
        <v>48</v>
      </c>
      <c r="E63" s="88">
        <f>ROUND($D$56/M$58*100,0)</f>
        <v>46</v>
      </c>
      <c r="F63" s="88">
        <f>ROUND($D$56/N$58*100,0)</f>
        <v>44</v>
      </c>
    </row>
    <row r="64" spans="1:14" ht="20.100000000000001" customHeight="1">
      <c r="A64" s="436" t="s">
        <v>214</v>
      </c>
      <c r="B64" s="89" t="s">
        <v>211</v>
      </c>
      <c r="C64" s="90">
        <f>SUM(C60+C62)</f>
        <v>151</v>
      </c>
      <c r="D64" s="90">
        <f t="shared" ref="D64:F65" si="0">SUM(D60+D62)</f>
        <v>147</v>
      </c>
      <c r="E64" s="90">
        <f t="shared" si="0"/>
        <v>141</v>
      </c>
      <c r="F64" s="90">
        <f t="shared" si="0"/>
        <v>134</v>
      </c>
    </row>
    <row r="65" spans="1:6" ht="20.100000000000001" customHeight="1">
      <c r="A65" s="436"/>
      <c r="B65" s="89" t="s">
        <v>212</v>
      </c>
      <c r="C65" s="90">
        <f>SUM(C61+C63)</f>
        <v>203</v>
      </c>
      <c r="D65" s="90">
        <f t="shared" si="0"/>
        <v>197</v>
      </c>
      <c r="E65" s="90">
        <f t="shared" si="0"/>
        <v>189</v>
      </c>
      <c r="F65" s="90">
        <f t="shared" si="0"/>
        <v>180</v>
      </c>
    </row>
  </sheetData>
  <mergeCells count="102">
    <mergeCell ref="C36:D36"/>
    <mergeCell ref="E36:F36"/>
    <mergeCell ref="A31:H31"/>
    <mergeCell ref="G33:H37"/>
    <mergeCell ref="A37:B37"/>
    <mergeCell ref="C37:D37"/>
    <mergeCell ref="E37:F37"/>
    <mergeCell ref="C34:D34"/>
    <mergeCell ref="E34:F34"/>
    <mergeCell ref="C35:D35"/>
    <mergeCell ref="G27:H27"/>
    <mergeCell ref="G24:H24"/>
    <mergeCell ref="G25:H25"/>
    <mergeCell ref="G28:H28"/>
    <mergeCell ref="C29:D29"/>
    <mergeCell ref="E29:F29"/>
    <mergeCell ref="G29:H29"/>
    <mergeCell ref="E35:F35"/>
    <mergeCell ref="C32:D32"/>
    <mergeCell ref="E32:F32"/>
    <mergeCell ref="G32:H32"/>
    <mergeCell ref="C33:D33"/>
    <mergeCell ref="E33:F33"/>
    <mergeCell ref="G18:H18"/>
    <mergeCell ref="G19:H19"/>
    <mergeCell ref="G16:H16"/>
    <mergeCell ref="G17:H17"/>
    <mergeCell ref="G22:H22"/>
    <mergeCell ref="G23:H23"/>
    <mergeCell ref="G20:H20"/>
    <mergeCell ref="G21:H21"/>
    <mergeCell ref="G26:H26"/>
    <mergeCell ref="A20:B20"/>
    <mergeCell ref="A21:B21"/>
    <mergeCell ref="A15:B15"/>
    <mergeCell ref="A16:B16"/>
    <mergeCell ref="A36:B36"/>
    <mergeCell ref="A32:B32"/>
    <mergeCell ref="A33:B33"/>
    <mergeCell ref="A26:B26"/>
    <mergeCell ref="A27:B27"/>
    <mergeCell ref="A28:B28"/>
    <mergeCell ref="A29:B29"/>
    <mergeCell ref="A34:B34"/>
    <mergeCell ref="A35:B35"/>
    <mergeCell ref="A22:B22"/>
    <mergeCell ref="A23:B23"/>
    <mergeCell ref="A24:B24"/>
    <mergeCell ref="A25:B25"/>
    <mergeCell ref="A18:B18"/>
    <mergeCell ref="A19:B19"/>
    <mergeCell ref="A9:B9"/>
    <mergeCell ref="G9:H9"/>
    <mergeCell ref="A5:H5"/>
    <mergeCell ref="A8:B8"/>
    <mergeCell ref="C8:D8"/>
    <mergeCell ref="E8:F8"/>
    <mergeCell ref="G8:H8"/>
    <mergeCell ref="A10:B10"/>
    <mergeCell ref="A17:B17"/>
    <mergeCell ref="A11:B11"/>
    <mergeCell ref="A12:B12"/>
    <mergeCell ref="A13:B13"/>
    <mergeCell ref="A14:B14"/>
    <mergeCell ref="G10:H10"/>
    <mergeCell ref="G11:H11"/>
    <mergeCell ref="G14:H14"/>
    <mergeCell ref="G15:H15"/>
    <mergeCell ref="G12:H12"/>
    <mergeCell ref="G13:H13"/>
    <mergeCell ref="A51:H51"/>
    <mergeCell ref="G45:H45"/>
    <mergeCell ref="A45:B45"/>
    <mergeCell ref="A47:B47"/>
    <mergeCell ref="C47:D47"/>
    <mergeCell ref="E46:F46"/>
    <mergeCell ref="A43:H43"/>
    <mergeCell ref="A44:B44"/>
    <mergeCell ref="C44:D44"/>
    <mergeCell ref="E44:F44"/>
    <mergeCell ref="G44:H44"/>
    <mergeCell ref="A46:B46"/>
    <mergeCell ref="G46:H46"/>
    <mergeCell ref="C45:D45"/>
    <mergeCell ref="C46:D46"/>
    <mergeCell ref="E45:F45"/>
    <mergeCell ref="E47:F47"/>
    <mergeCell ref="G47:H47"/>
    <mergeCell ref="A59:B59"/>
    <mergeCell ref="A60:A61"/>
    <mergeCell ref="A62:A63"/>
    <mergeCell ref="A64:A65"/>
    <mergeCell ref="A53:B54"/>
    <mergeCell ref="E54:F54"/>
    <mergeCell ref="A57:B57"/>
    <mergeCell ref="E57:F57"/>
    <mergeCell ref="A56:B56"/>
    <mergeCell ref="E56:F56"/>
    <mergeCell ref="A55:B55"/>
    <mergeCell ref="E55:F55"/>
    <mergeCell ref="C53:D53"/>
    <mergeCell ref="E53:F53"/>
  </mergeCells>
  <phoneticPr fontId="2" type="noConversion"/>
  <pageMargins left="0.62" right="0.64" top="0.73" bottom="0.67" header="0.5" footer="0.5"/>
  <pageSetup paperSize="9" scale="89" orientation="portrait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8"/>
  <sheetViews>
    <sheetView view="pageBreakPreview" zoomScale="85" zoomScaleSheetLayoutView="85" workbookViewId="0">
      <selection activeCell="N11" sqref="N11"/>
    </sheetView>
  </sheetViews>
  <sheetFormatPr defaultRowHeight="13.5"/>
  <cols>
    <col min="1" max="1" width="12.5546875" style="2" customWidth="1"/>
    <col min="2" max="10" width="8.88671875" style="2"/>
    <col min="11" max="11" width="0.44140625" style="2" customWidth="1"/>
    <col min="12" max="13" width="8.88671875" style="2"/>
    <col min="14" max="15" width="16.44140625" style="2" bestFit="1" customWidth="1"/>
    <col min="16" max="16" width="6.77734375" style="2" bestFit="1" customWidth="1"/>
    <col min="17" max="16384" width="8.88671875" style="2"/>
  </cols>
  <sheetData>
    <row r="1" spans="1:12" ht="30.75" customHeight="1">
      <c r="A1" s="182" t="s">
        <v>493</v>
      </c>
    </row>
    <row r="2" spans="1:12" ht="30.75" customHeight="1">
      <c r="A2" s="224" t="s">
        <v>495</v>
      </c>
      <c r="B2" s="224"/>
      <c r="C2" s="224"/>
      <c r="D2" s="224"/>
      <c r="E2" s="224"/>
      <c r="F2" s="224"/>
      <c r="G2" s="224"/>
      <c r="H2" s="224"/>
      <c r="I2" s="224"/>
      <c r="J2" s="224"/>
      <c r="K2" s="94"/>
      <c r="L2" s="94"/>
    </row>
    <row r="3" spans="1:12" s="97" customFormat="1" ht="30.75" customHeight="1">
      <c r="A3" s="181" t="s">
        <v>494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s="97" customFormat="1" ht="30.75" customHeight="1" thickBot="1">
      <c r="A4" s="95" t="s">
        <v>339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1:12" s="97" customFormat="1" ht="30.75" customHeight="1" thickBot="1">
      <c r="A5" s="225" t="s">
        <v>27</v>
      </c>
      <c r="B5" s="226"/>
      <c r="C5" s="226" t="s">
        <v>364</v>
      </c>
      <c r="D5" s="226"/>
      <c r="E5" s="227" t="s">
        <v>365</v>
      </c>
      <c r="F5" s="227"/>
      <c r="G5" s="227"/>
      <c r="H5" s="227"/>
      <c r="I5" s="227"/>
      <c r="J5" s="142" t="s">
        <v>28</v>
      </c>
      <c r="K5" s="99"/>
    </row>
    <row r="6" spans="1:12" s="97" customFormat="1" ht="30.75" customHeight="1">
      <c r="A6" s="228" t="s">
        <v>366</v>
      </c>
      <c r="B6" s="229"/>
      <c r="C6" s="230">
        <v>635700</v>
      </c>
      <c r="D6" s="230"/>
      <c r="E6" s="231" t="s">
        <v>424</v>
      </c>
      <c r="F6" s="231"/>
      <c r="G6" s="231"/>
      <c r="H6" s="231"/>
      <c r="I6" s="231"/>
      <c r="J6" s="141"/>
      <c r="K6" s="99"/>
    </row>
    <row r="7" spans="1:12" s="97" customFormat="1" ht="30.75" customHeight="1">
      <c r="A7" s="220" t="s">
        <v>367</v>
      </c>
      <c r="B7" s="221"/>
      <c r="C7" s="222">
        <f>ROUND(C6*J7,0)</f>
        <v>12714</v>
      </c>
      <c r="D7" s="222"/>
      <c r="E7" s="223" t="s">
        <v>372</v>
      </c>
      <c r="F7" s="223"/>
      <c r="G7" s="223"/>
      <c r="H7" s="223"/>
      <c r="I7" s="223"/>
      <c r="J7" s="138">
        <v>0.02</v>
      </c>
      <c r="K7" s="99"/>
    </row>
    <row r="8" spans="1:12" s="97" customFormat="1" ht="30.75" customHeight="1">
      <c r="A8" s="220" t="s">
        <v>369</v>
      </c>
      <c r="B8" s="221"/>
      <c r="C8" s="222">
        <f>ROUND(C7*J8,0)</f>
        <v>7479</v>
      </c>
      <c r="D8" s="222"/>
      <c r="E8" s="223" t="s">
        <v>426</v>
      </c>
      <c r="F8" s="223"/>
      <c r="G8" s="223"/>
      <c r="H8" s="223"/>
      <c r="I8" s="223"/>
      <c r="J8" s="138">
        <f>1/1.7</f>
        <v>0.58823529411764708</v>
      </c>
      <c r="K8" s="99"/>
    </row>
    <row r="9" spans="1:12" s="97" customFormat="1" ht="30.75" customHeight="1" thickBot="1">
      <c r="A9" s="232" t="s">
        <v>429</v>
      </c>
      <c r="B9" s="233"/>
      <c r="C9" s="234">
        <v>896</v>
      </c>
      <c r="D9" s="234"/>
      <c r="E9" s="235" t="s">
        <v>425</v>
      </c>
      <c r="F9" s="235"/>
      <c r="G9" s="235"/>
      <c r="H9" s="235"/>
      <c r="I9" s="235"/>
      <c r="J9" s="140"/>
      <c r="K9" s="99"/>
      <c r="L9" s="100"/>
    </row>
    <row r="10" spans="1:12" s="97" customFormat="1" ht="30.75" customHeight="1">
      <c r="A10" s="106" t="s">
        <v>375</v>
      </c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100"/>
    </row>
    <row r="11" spans="1:12" s="97" customFormat="1" ht="30.75" customHeight="1">
      <c r="A11" s="106" t="s">
        <v>428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s="97" customFormat="1" ht="30.75" customHeight="1">
      <c r="A12" s="106"/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3" spans="1:12" s="97" customFormat="1" ht="30.75" customHeight="1" thickBot="1">
      <c r="A13" s="101"/>
      <c r="B13" s="98"/>
      <c r="C13" s="98"/>
      <c r="D13" s="102"/>
      <c r="E13" s="102"/>
      <c r="F13" s="102"/>
      <c r="G13" s="101"/>
      <c r="H13" s="101"/>
      <c r="I13" s="96"/>
      <c r="J13" s="96"/>
      <c r="K13" s="96"/>
    </row>
    <row r="14" spans="1:12" s="97" customFormat="1" ht="30.75" customHeight="1">
      <c r="A14" s="238" t="s">
        <v>263</v>
      </c>
      <c r="B14" s="239"/>
      <c r="C14" s="136" t="s">
        <v>340</v>
      </c>
      <c r="D14" s="136" t="s">
        <v>85</v>
      </c>
      <c r="E14" s="144" t="s">
        <v>86</v>
      </c>
      <c r="F14" s="145" t="s">
        <v>87</v>
      </c>
      <c r="G14" s="101"/>
      <c r="H14" s="101"/>
      <c r="I14" s="96"/>
      <c r="J14" s="96"/>
      <c r="K14" s="96"/>
    </row>
    <row r="15" spans="1:12" s="97" customFormat="1" ht="30.75" customHeight="1" thickBot="1">
      <c r="A15" s="232" t="s">
        <v>341</v>
      </c>
      <c r="B15" s="233"/>
      <c r="C15" s="146" t="s">
        <v>342</v>
      </c>
      <c r="D15" s="146" t="s">
        <v>343</v>
      </c>
      <c r="E15" s="147" t="s">
        <v>344</v>
      </c>
      <c r="F15" s="148" t="s">
        <v>345</v>
      </c>
      <c r="G15" s="101"/>
      <c r="H15" s="101"/>
      <c r="I15" s="96"/>
      <c r="J15" s="96"/>
      <c r="K15" s="96"/>
    </row>
    <row r="16" spans="1:12" s="97" customFormat="1" ht="30.75" customHeight="1" thickBot="1">
      <c r="A16" s="98"/>
      <c r="B16" s="98"/>
      <c r="C16" s="103"/>
      <c r="D16" s="103"/>
      <c r="E16" s="143"/>
      <c r="F16" s="103"/>
      <c r="G16" s="101"/>
      <c r="H16" s="101"/>
      <c r="I16" s="96"/>
      <c r="J16" s="96"/>
      <c r="K16" s="96"/>
    </row>
    <row r="17" spans="1:17" s="97" customFormat="1" ht="30.75" customHeight="1">
      <c r="A17" s="238" t="s">
        <v>346</v>
      </c>
      <c r="B17" s="239"/>
      <c r="C17" s="136" t="s">
        <v>347</v>
      </c>
      <c r="D17" s="136" t="s">
        <v>348</v>
      </c>
      <c r="E17" s="136" t="s">
        <v>349</v>
      </c>
      <c r="F17" s="144" t="s">
        <v>350</v>
      </c>
      <c r="G17" s="136" t="s">
        <v>351</v>
      </c>
      <c r="H17" s="136" t="s">
        <v>352</v>
      </c>
      <c r="I17" s="136" t="s">
        <v>353</v>
      </c>
      <c r="J17" s="145" t="s">
        <v>354</v>
      </c>
      <c r="K17" s="96"/>
    </row>
    <row r="18" spans="1:17" s="97" customFormat="1" ht="30.75" customHeight="1" thickBot="1">
      <c r="A18" s="232" t="s">
        <v>355</v>
      </c>
      <c r="B18" s="233"/>
      <c r="C18" s="146" t="s">
        <v>356</v>
      </c>
      <c r="D18" s="146" t="s">
        <v>357</v>
      </c>
      <c r="E18" s="146" t="s">
        <v>358</v>
      </c>
      <c r="F18" s="147" t="s">
        <v>359</v>
      </c>
      <c r="G18" s="146" t="s">
        <v>360</v>
      </c>
      <c r="H18" s="146" t="s">
        <v>361</v>
      </c>
      <c r="I18" s="146" t="s">
        <v>362</v>
      </c>
      <c r="J18" s="148" t="s">
        <v>363</v>
      </c>
      <c r="K18" s="96"/>
    </row>
    <row r="19" spans="1:17" s="97" customFormat="1" ht="30.75" customHeight="1">
      <c r="A19" s="98"/>
      <c r="B19" s="98"/>
      <c r="C19" s="103"/>
      <c r="D19" s="103"/>
      <c r="E19" s="103"/>
      <c r="F19" s="103"/>
      <c r="G19" s="101"/>
      <c r="H19" s="101"/>
      <c r="I19" s="96"/>
      <c r="J19" s="96"/>
      <c r="K19" s="96"/>
    </row>
    <row r="20" spans="1:17" s="97" customFormat="1" ht="30.75" customHeight="1">
      <c r="A20" s="98"/>
      <c r="B20" s="98"/>
      <c r="C20" s="103"/>
      <c r="D20" s="103"/>
      <c r="E20" s="103"/>
      <c r="F20" s="103"/>
      <c r="G20" s="101"/>
      <c r="H20" s="101"/>
      <c r="I20" s="96"/>
      <c r="J20" s="96"/>
      <c r="K20" s="96"/>
      <c r="N20" s="168" t="s">
        <v>433</v>
      </c>
      <c r="O20" s="168" t="s">
        <v>434</v>
      </c>
      <c r="P20" s="168" t="s">
        <v>430</v>
      </c>
      <c r="Q20" s="168" t="s">
        <v>431</v>
      </c>
    </row>
    <row r="21" spans="1:17" s="97" customFormat="1" ht="30.75" customHeight="1" thickBot="1">
      <c r="A21" s="183" t="s">
        <v>496</v>
      </c>
      <c r="B21" s="96"/>
      <c r="C21" s="96"/>
      <c r="D21" s="96"/>
      <c r="E21" s="96"/>
      <c r="F21" s="96"/>
      <c r="G21" s="96"/>
      <c r="H21" s="96"/>
      <c r="I21" s="96"/>
      <c r="J21" s="96"/>
      <c r="N21" s="168">
        <v>212</v>
      </c>
      <c r="O21" s="168">
        <f>ROUND(N21*1.35,0)</f>
        <v>286</v>
      </c>
      <c r="P21" s="168">
        <f>ROUND(N21*0.5,0)</f>
        <v>106</v>
      </c>
      <c r="Q21" s="168">
        <f>ROUND(N21*0.15,0)</f>
        <v>32</v>
      </c>
    </row>
    <row r="22" spans="1:17" s="97" customFormat="1" ht="30.75" customHeight="1" thickBot="1">
      <c r="A22" s="225" t="s">
        <v>27</v>
      </c>
      <c r="B22" s="226"/>
      <c r="C22" s="240" t="s">
        <v>402</v>
      </c>
      <c r="D22" s="240"/>
      <c r="E22" s="240" t="s">
        <v>435</v>
      </c>
      <c r="F22" s="240"/>
      <c r="G22" s="240" t="s">
        <v>407</v>
      </c>
      <c r="H22" s="240"/>
      <c r="I22" s="240" t="s">
        <v>28</v>
      </c>
      <c r="J22" s="245"/>
    </row>
    <row r="23" spans="1:17" s="97" customFormat="1" ht="30.75" customHeight="1">
      <c r="A23" s="228" t="s">
        <v>404</v>
      </c>
      <c r="B23" s="229"/>
      <c r="C23" s="253">
        <f>C9</f>
        <v>896</v>
      </c>
      <c r="D23" s="253"/>
      <c r="E23" s="253">
        <f>P21</f>
        <v>106</v>
      </c>
      <c r="F23" s="253"/>
      <c r="G23" s="254">
        <f>ROUND(C23*E23/1000,0)</f>
        <v>95</v>
      </c>
      <c r="H23" s="254"/>
      <c r="I23" s="236"/>
      <c r="J23" s="237"/>
    </row>
    <row r="24" spans="1:17" s="97" customFormat="1" ht="30.75" customHeight="1" thickBot="1">
      <c r="A24" s="241" t="s">
        <v>436</v>
      </c>
      <c r="B24" s="242"/>
      <c r="C24" s="246">
        <f>C7-C9</f>
        <v>11818</v>
      </c>
      <c r="D24" s="246"/>
      <c r="E24" s="246">
        <f>Q21</f>
        <v>32</v>
      </c>
      <c r="F24" s="246"/>
      <c r="G24" s="247">
        <f>ROUND(C24*E24/1000,0)</f>
        <v>378</v>
      </c>
      <c r="H24" s="247"/>
      <c r="I24" s="248"/>
      <c r="J24" s="249"/>
    </row>
    <row r="25" spans="1:17" s="97" customFormat="1" ht="30.75" customHeight="1" thickBot="1">
      <c r="A25" s="243" t="s">
        <v>4</v>
      </c>
      <c r="B25" s="244"/>
      <c r="C25" s="250">
        <f>SUM(C23:C24)</f>
        <v>12714</v>
      </c>
      <c r="D25" s="250"/>
      <c r="E25" s="250"/>
      <c r="F25" s="250"/>
      <c r="G25" s="250">
        <f>SUM(G23:G24)</f>
        <v>473</v>
      </c>
      <c r="H25" s="250"/>
      <c r="I25" s="251"/>
      <c r="J25" s="252"/>
    </row>
    <row r="26" spans="1:17" s="97" customFormat="1" ht="30.75" customHeight="1">
      <c r="A26" s="149" t="s">
        <v>432</v>
      </c>
      <c r="G26" s="104"/>
      <c r="H26" s="104"/>
      <c r="I26" s="104"/>
      <c r="J26" s="104"/>
    </row>
    <row r="27" spans="1:17" s="97" customFormat="1" ht="30.75" customHeight="1">
      <c r="A27" s="149" t="s">
        <v>437</v>
      </c>
      <c r="D27" s="104"/>
      <c r="E27" s="104"/>
      <c r="F27" s="104"/>
      <c r="G27" s="104"/>
      <c r="H27" s="104"/>
      <c r="I27" s="104"/>
      <c r="J27" s="104"/>
    </row>
    <row r="28" spans="1:17" s="97" customFormat="1" ht="12">
      <c r="A28" s="104"/>
      <c r="B28" s="104"/>
      <c r="C28" s="104"/>
      <c r="D28" s="104"/>
      <c r="E28" s="104"/>
      <c r="F28" s="104"/>
      <c r="G28" s="104"/>
      <c r="H28" s="104"/>
      <c r="I28" s="104"/>
      <c r="J28" s="104"/>
    </row>
    <row r="29" spans="1:17" s="97" customFormat="1" ht="12">
      <c r="A29" s="104"/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7" s="97" customFormat="1" ht="12">
      <c r="A30" s="104"/>
      <c r="B30" s="104"/>
      <c r="C30" s="104"/>
      <c r="D30" s="104"/>
      <c r="E30" s="104"/>
      <c r="F30" s="104"/>
      <c r="G30" s="104"/>
      <c r="H30" s="104"/>
      <c r="I30" s="104"/>
      <c r="J30" s="104"/>
    </row>
    <row r="31" spans="1:17" s="97" customFormat="1" ht="12">
      <c r="A31" s="105"/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7" s="97" customFormat="1" ht="12"/>
    <row r="33" s="97" customFormat="1" ht="12"/>
    <row r="34" s="97" customFormat="1" ht="12"/>
    <row r="35" s="97" customFormat="1" ht="12"/>
    <row r="36" s="97" customFormat="1" ht="12"/>
    <row r="37" s="97" customFormat="1" ht="12"/>
    <row r="38" s="97" customFormat="1" ht="12"/>
  </sheetData>
  <mergeCells count="40">
    <mergeCell ref="A24:B24"/>
    <mergeCell ref="A25:B25"/>
    <mergeCell ref="G22:H22"/>
    <mergeCell ref="I22:J22"/>
    <mergeCell ref="C24:D24"/>
    <mergeCell ref="E24:F24"/>
    <mergeCell ref="G24:H24"/>
    <mergeCell ref="I24:J24"/>
    <mergeCell ref="C25:D25"/>
    <mergeCell ref="E25:F25"/>
    <mergeCell ref="G25:H25"/>
    <mergeCell ref="I25:J25"/>
    <mergeCell ref="E22:F22"/>
    <mergeCell ref="C23:D23"/>
    <mergeCell ref="E23:F23"/>
    <mergeCell ref="G23:H23"/>
    <mergeCell ref="I23:J23"/>
    <mergeCell ref="A14:B14"/>
    <mergeCell ref="A15:B15"/>
    <mergeCell ref="A17:B17"/>
    <mergeCell ref="A18:B18"/>
    <mergeCell ref="C22:D22"/>
    <mergeCell ref="A22:B22"/>
    <mergeCell ref="A23:B23"/>
    <mergeCell ref="A8:B8"/>
    <mergeCell ref="C8:D8"/>
    <mergeCell ref="E8:I8"/>
    <mergeCell ref="A9:B9"/>
    <mergeCell ref="C9:D9"/>
    <mergeCell ref="E9:I9"/>
    <mergeCell ref="A7:B7"/>
    <mergeCell ref="C7:D7"/>
    <mergeCell ref="E7:I7"/>
    <mergeCell ref="A2:J2"/>
    <mergeCell ref="A5:B5"/>
    <mergeCell ref="C5:D5"/>
    <mergeCell ref="E5:I5"/>
    <mergeCell ref="A6:B6"/>
    <mergeCell ref="C6:D6"/>
    <mergeCell ref="E6:I6"/>
  </mergeCells>
  <phoneticPr fontId="2" type="noConversion"/>
  <pageMargins left="0.7" right="0.7" top="0.75" bottom="0.75" header="0.3" footer="0.3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9"/>
  <sheetViews>
    <sheetView view="pageBreakPreview" zoomScaleSheetLayoutView="100" workbookViewId="0">
      <selection sqref="A1:J1"/>
    </sheetView>
  </sheetViews>
  <sheetFormatPr defaultRowHeight="13.5"/>
  <cols>
    <col min="1" max="1" width="12.5546875" style="2" customWidth="1"/>
    <col min="2" max="10" width="8.88671875" style="2"/>
    <col min="11" max="11" width="0.44140625" style="2" customWidth="1"/>
    <col min="12" max="13" width="8.88671875" style="2"/>
    <col min="14" max="15" width="16.44140625" style="2" bestFit="1" customWidth="1"/>
    <col min="16" max="16" width="6.77734375" style="2" bestFit="1" customWidth="1"/>
    <col min="17" max="16384" width="8.88671875" style="2"/>
  </cols>
  <sheetData>
    <row r="1" spans="1:12" ht="29.25" customHeight="1">
      <c r="A1" s="224" t="s">
        <v>438</v>
      </c>
      <c r="B1" s="224"/>
      <c r="C1" s="224"/>
      <c r="D1" s="224"/>
      <c r="E1" s="224"/>
      <c r="F1" s="224"/>
      <c r="G1" s="224"/>
      <c r="H1" s="224"/>
      <c r="I1" s="224"/>
      <c r="J1" s="224"/>
      <c r="K1" s="94"/>
      <c r="L1" s="94"/>
    </row>
    <row r="2" spans="1:12" s="97" customFormat="1" ht="29.25" customHeight="1">
      <c r="A2" s="181" t="s">
        <v>494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s="97" customFormat="1" ht="29.25" customHeight="1" thickBot="1">
      <c r="A3" s="95" t="s">
        <v>339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s="97" customFormat="1" ht="29.25" customHeight="1" thickBot="1">
      <c r="A4" s="225" t="s">
        <v>27</v>
      </c>
      <c r="B4" s="226"/>
      <c r="C4" s="226" t="s">
        <v>364</v>
      </c>
      <c r="D4" s="226"/>
      <c r="E4" s="227" t="s">
        <v>365</v>
      </c>
      <c r="F4" s="227"/>
      <c r="G4" s="227"/>
      <c r="H4" s="227"/>
      <c r="I4" s="227"/>
      <c r="J4" s="142" t="s">
        <v>28</v>
      </c>
      <c r="K4" s="99"/>
    </row>
    <row r="5" spans="1:12" s="97" customFormat="1" ht="29.25" customHeight="1">
      <c r="A5" s="228" t="s">
        <v>366</v>
      </c>
      <c r="B5" s="229"/>
      <c r="C5" s="230">
        <v>96840</v>
      </c>
      <c r="D5" s="230"/>
      <c r="E5" s="231" t="s">
        <v>371</v>
      </c>
      <c r="F5" s="231"/>
      <c r="G5" s="231"/>
      <c r="H5" s="231"/>
      <c r="I5" s="231"/>
      <c r="J5" s="141"/>
      <c r="K5" s="99"/>
    </row>
    <row r="6" spans="1:12" s="97" customFormat="1" ht="29.25" customHeight="1">
      <c r="A6" s="220" t="s">
        <v>367</v>
      </c>
      <c r="B6" s="221"/>
      <c r="C6" s="257">
        <f>ROUND(C5*J6,0)</f>
        <v>1937</v>
      </c>
      <c r="D6" s="257"/>
      <c r="E6" s="223" t="s">
        <v>372</v>
      </c>
      <c r="F6" s="223"/>
      <c r="G6" s="223"/>
      <c r="H6" s="223"/>
      <c r="I6" s="223"/>
      <c r="J6" s="138">
        <v>0.02</v>
      </c>
      <c r="K6" s="99"/>
    </row>
    <row r="7" spans="1:12" s="97" customFormat="1" ht="29.25" customHeight="1">
      <c r="A7" s="220" t="s">
        <v>368</v>
      </c>
      <c r="B7" s="221"/>
      <c r="C7" s="222">
        <f>ROUND(C6*J7,-3)</f>
        <v>1000</v>
      </c>
      <c r="D7" s="222"/>
      <c r="E7" s="223" t="s">
        <v>373</v>
      </c>
      <c r="F7" s="223"/>
      <c r="G7" s="223"/>
      <c r="H7" s="223"/>
      <c r="I7" s="223"/>
      <c r="J7" s="139">
        <v>0.5</v>
      </c>
      <c r="K7" s="99"/>
    </row>
    <row r="8" spans="1:12" s="97" customFormat="1" ht="29.25" customHeight="1">
      <c r="A8" s="220" t="s">
        <v>369</v>
      </c>
      <c r="B8" s="221"/>
      <c r="C8" s="258">
        <f>C6*J8</f>
        <v>1210.625</v>
      </c>
      <c r="D8" s="258"/>
      <c r="E8" s="223" t="s">
        <v>427</v>
      </c>
      <c r="F8" s="223"/>
      <c r="G8" s="223"/>
      <c r="H8" s="223"/>
      <c r="I8" s="223"/>
      <c r="J8" s="137">
        <v>0.625</v>
      </c>
      <c r="K8" s="99"/>
    </row>
    <row r="9" spans="1:12" s="97" customFormat="1" ht="29.25" customHeight="1" thickBot="1">
      <c r="A9" s="232" t="s">
        <v>370</v>
      </c>
      <c r="B9" s="233"/>
      <c r="C9" s="259">
        <f>ROUND(C5*J9,0)</f>
        <v>24210</v>
      </c>
      <c r="D9" s="259"/>
      <c r="E9" s="235" t="s">
        <v>374</v>
      </c>
      <c r="F9" s="235"/>
      <c r="G9" s="235"/>
      <c r="H9" s="235"/>
      <c r="I9" s="235"/>
      <c r="J9" s="140">
        <v>0.25</v>
      </c>
      <c r="K9" s="99"/>
      <c r="L9" s="100"/>
    </row>
    <row r="10" spans="1:12" s="97" customFormat="1" ht="29.25" customHeight="1">
      <c r="A10" s="106" t="s">
        <v>375</v>
      </c>
      <c r="B10" s="98"/>
      <c r="C10" s="99"/>
      <c r="D10" s="99"/>
      <c r="E10" s="99"/>
      <c r="F10" s="99"/>
      <c r="G10" s="99"/>
      <c r="H10" s="99"/>
      <c r="I10" s="99"/>
      <c r="J10" s="99"/>
      <c r="K10" s="99"/>
      <c r="L10" s="100"/>
    </row>
    <row r="11" spans="1:12" s="97" customFormat="1" ht="29.25" customHeight="1">
      <c r="A11" s="106" t="s">
        <v>376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s="97" customFormat="1" ht="29.25" customHeight="1">
      <c r="A12" s="106" t="s">
        <v>377</v>
      </c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3" spans="1:12" s="97" customFormat="1" ht="29.25" customHeight="1" thickBot="1">
      <c r="A13" s="101"/>
      <c r="B13" s="98"/>
      <c r="C13" s="98"/>
      <c r="D13" s="102"/>
      <c r="E13" s="102"/>
      <c r="F13" s="102"/>
      <c r="G13" s="101"/>
      <c r="H13" s="101"/>
      <c r="I13" s="96"/>
      <c r="J13" s="96"/>
      <c r="K13" s="96"/>
    </row>
    <row r="14" spans="1:12" s="97" customFormat="1" ht="29.25" customHeight="1">
      <c r="A14" s="238" t="s">
        <v>263</v>
      </c>
      <c r="B14" s="239"/>
      <c r="C14" s="136" t="s">
        <v>340</v>
      </c>
      <c r="D14" s="136" t="s">
        <v>85</v>
      </c>
      <c r="E14" s="144" t="s">
        <v>86</v>
      </c>
      <c r="F14" s="145" t="s">
        <v>87</v>
      </c>
      <c r="G14" s="101"/>
      <c r="H14" s="101"/>
      <c r="I14" s="96"/>
      <c r="J14" s="96"/>
      <c r="K14" s="96"/>
    </row>
    <row r="15" spans="1:12" s="97" customFormat="1" ht="29.25" customHeight="1" thickBot="1">
      <c r="A15" s="232" t="s">
        <v>341</v>
      </c>
      <c r="B15" s="233"/>
      <c r="C15" s="146" t="s">
        <v>342</v>
      </c>
      <c r="D15" s="146" t="s">
        <v>343</v>
      </c>
      <c r="E15" s="147" t="s">
        <v>344</v>
      </c>
      <c r="F15" s="148" t="s">
        <v>345</v>
      </c>
      <c r="G15" s="101"/>
      <c r="H15" s="101"/>
      <c r="I15" s="96"/>
      <c r="J15" s="96"/>
      <c r="K15" s="96"/>
    </row>
    <row r="16" spans="1:12" s="97" customFormat="1" ht="29.25" customHeight="1" thickBot="1">
      <c r="A16" s="98"/>
      <c r="B16" s="98"/>
      <c r="C16" s="103"/>
      <c r="D16" s="103"/>
      <c r="E16" s="143"/>
      <c r="F16" s="103"/>
      <c r="G16" s="101"/>
      <c r="H16" s="101"/>
      <c r="I16" s="96"/>
      <c r="J16" s="96"/>
      <c r="K16" s="96"/>
    </row>
    <row r="17" spans="1:17" s="97" customFormat="1" ht="29.25" customHeight="1">
      <c r="A17" s="238" t="s">
        <v>346</v>
      </c>
      <c r="B17" s="239"/>
      <c r="C17" s="136" t="s">
        <v>347</v>
      </c>
      <c r="D17" s="136" t="s">
        <v>348</v>
      </c>
      <c r="E17" s="136" t="s">
        <v>349</v>
      </c>
      <c r="F17" s="144" t="s">
        <v>350</v>
      </c>
      <c r="G17" s="136" t="s">
        <v>351</v>
      </c>
      <c r="H17" s="136" t="s">
        <v>352</v>
      </c>
      <c r="I17" s="136" t="s">
        <v>353</v>
      </c>
      <c r="J17" s="145" t="s">
        <v>354</v>
      </c>
      <c r="K17" s="96"/>
    </row>
    <row r="18" spans="1:17" s="97" customFormat="1" ht="29.25" customHeight="1" thickBot="1">
      <c r="A18" s="232" t="s">
        <v>355</v>
      </c>
      <c r="B18" s="233"/>
      <c r="C18" s="146" t="s">
        <v>356</v>
      </c>
      <c r="D18" s="146" t="s">
        <v>357</v>
      </c>
      <c r="E18" s="146" t="s">
        <v>358</v>
      </c>
      <c r="F18" s="147" t="s">
        <v>359</v>
      </c>
      <c r="G18" s="146" t="s">
        <v>360</v>
      </c>
      <c r="H18" s="146" t="s">
        <v>361</v>
      </c>
      <c r="I18" s="146" t="s">
        <v>362</v>
      </c>
      <c r="J18" s="148" t="s">
        <v>363</v>
      </c>
      <c r="K18" s="96"/>
    </row>
    <row r="19" spans="1:17" s="97" customFormat="1" ht="29.25" customHeight="1">
      <c r="A19" s="98"/>
      <c r="B19" s="98"/>
      <c r="C19" s="103"/>
      <c r="D19" s="103"/>
      <c r="E19" s="103"/>
      <c r="F19" s="103"/>
      <c r="G19" s="101"/>
      <c r="H19" s="101"/>
      <c r="I19" s="96"/>
      <c r="J19" s="96"/>
      <c r="K19" s="96"/>
      <c r="N19" s="168" t="s">
        <v>433</v>
      </c>
      <c r="O19" s="168" t="s">
        <v>434</v>
      </c>
      <c r="P19" s="168" t="s">
        <v>430</v>
      </c>
      <c r="Q19" s="168" t="s">
        <v>431</v>
      </c>
    </row>
    <row r="20" spans="1:17" s="97" customFormat="1" ht="29.25" customHeight="1">
      <c r="A20" s="98"/>
      <c r="B20" s="98"/>
      <c r="C20" s="103"/>
      <c r="D20" s="103"/>
      <c r="E20" s="103"/>
      <c r="F20" s="103"/>
      <c r="G20" s="101"/>
      <c r="H20" s="101"/>
      <c r="I20" s="96"/>
      <c r="J20" s="96"/>
      <c r="K20" s="96"/>
      <c r="N20" s="168">
        <v>212</v>
      </c>
      <c r="O20" s="168">
        <f>ROUND(N20*1.35,0)</f>
        <v>286</v>
      </c>
      <c r="P20" s="168">
        <f>ROUND(O20*0.5,0)</f>
        <v>143</v>
      </c>
      <c r="Q20" s="168">
        <f>ROUND(O20*0.15,0)</f>
        <v>43</v>
      </c>
    </row>
    <row r="21" spans="1:17" s="97" customFormat="1" ht="29.25" customHeight="1">
      <c r="A21" s="106" t="s">
        <v>408</v>
      </c>
      <c r="B21" s="98"/>
      <c r="C21" s="103"/>
      <c r="D21" s="103"/>
      <c r="E21" s="103"/>
      <c r="F21" s="103"/>
      <c r="G21" s="101"/>
      <c r="H21" s="101"/>
      <c r="I21" s="96"/>
      <c r="J21" s="96"/>
      <c r="K21" s="96"/>
    </row>
    <row r="22" spans="1:17" s="97" customFormat="1" ht="29.25" customHeight="1" thickBot="1">
      <c r="A22" s="183" t="s">
        <v>496</v>
      </c>
      <c r="B22" s="96"/>
      <c r="C22" s="96"/>
      <c r="D22" s="96"/>
      <c r="E22" s="96"/>
      <c r="F22" s="96"/>
      <c r="G22" s="96"/>
      <c r="H22" s="96"/>
      <c r="I22" s="96"/>
      <c r="J22" s="96"/>
    </row>
    <row r="23" spans="1:17" s="97" customFormat="1" ht="29.25" customHeight="1" thickBot="1">
      <c r="A23" s="134" t="s">
        <v>400</v>
      </c>
      <c r="B23" s="107" t="s">
        <v>401</v>
      </c>
      <c r="C23" s="240" t="s">
        <v>402</v>
      </c>
      <c r="D23" s="240"/>
      <c r="E23" s="240" t="s">
        <v>435</v>
      </c>
      <c r="F23" s="240"/>
      <c r="G23" s="240" t="s">
        <v>407</v>
      </c>
      <c r="H23" s="240"/>
      <c r="I23" s="240" t="s">
        <v>403</v>
      </c>
      <c r="J23" s="245"/>
    </row>
    <row r="24" spans="1:17" s="97" customFormat="1" ht="29.25" customHeight="1">
      <c r="A24" s="133" t="s">
        <v>404</v>
      </c>
      <c r="B24" s="255">
        <v>14425.1</v>
      </c>
      <c r="C24" s="253">
        <f>C7*0.3</f>
        <v>300</v>
      </c>
      <c r="D24" s="253"/>
      <c r="E24" s="253">
        <f>P20</f>
        <v>143</v>
      </c>
      <c r="F24" s="253"/>
      <c r="G24" s="253">
        <f>C24*E24/1000</f>
        <v>42.9</v>
      </c>
      <c r="H24" s="253"/>
      <c r="I24" s="236"/>
      <c r="J24" s="237"/>
    </row>
    <row r="25" spans="1:17" s="97" customFormat="1" ht="29.25" customHeight="1" thickBot="1">
      <c r="A25" s="135" t="s">
        <v>405</v>
      </c>
      <c r="B25" s="256"/>
      <c r="C25" s="246">
        <f>C7*0.7</f>
        <v>700</v>
      </c>
      <c r="D25" s="246"/>
      <c r="E25" s="246">
        <f>Q20</f>
        <v>43</v>
      </c>
      <c r="F25" s="246"/>
      <c r="G25" s="253">
        <f>C25*E25/1000</f>
        <v>30.1</v>
      </c>
      <c r="H25" s="253"/>
      <c r="I25" s="248"/>
      <c r="J25" s="249"/>
    </row>
    <row r="26" spans="1:17" s="97" customFormat="1" ht="29.25" customHeight="1" thickBot="1">
      <c r="A26" s="150" t="s">
        <v>406</v>
      </c>
      <c r="B26" s="177">
        <f>SUM(B24:B25)</f>
        <v>14425.1</v>
      </c>
      <c r="C26" s="250">
        <f>SUM(C24:C25)</f>
        <v>1000</v>
      </c>
      <c r="D26" s="250"/>
      <c r="E26" s="250"/>
      <c r="F26" s="250"/>
      <c r="G26" s="250">
        <f>SUM(G24:G25)</f>
        <v>73</v>
      </c>
      <c r="H26" s="250"/>
      <c r="I26" s="251"/>
      <c r="J26" s="252"/>
    </row>
    <row r="27" spans="1:17" s="97" customFormat="1" ht="29.25" customHeight="1">
      <c r="A27" s="100" t="s">
        <v>409</v>
      </c>
      <c r="G27" s="104"/>
      <c r="H27" s="104"/>
      <c r="I27" s="104"/>
      <c r="J27" s="104"/>
    </row>
    <row r="28" spans="1:17" s="97" customFormat="1" ht="29.25" customHeight="1">
      <c r="A28" s="100" t="s">
        <v>437</v>
      </c>
      <c r="D28" s="104"/>
      <c r="E28" s="104"/>
      <c r="F28" s="104"/>
      <c r="G28" s="104"/>
      <c r="H28" s="104"/>
      <c r="I28" s="104"/>
      <c r="J28" s="104"/>
    </row>
    <row r="29" spans="1:17" s="97" customFormat="1" ht="12">
      <c r="A29" s="104"/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7" s="97" customFormat="1" ht="12">
      <c r="A30" s="104"/>
      <c r="B30" s="104"/>
      <c r="C30" s="104"/>
      <c r="D30" s="104"/>
      <c r="E30" s="104"/>
      <c r="F30" s="104"/>
      <c r="G30" s="104"/>
      <c r="H30" s="104"/>
      <c r="I30" s="104"/>
      <c r="J30" s="104"/>
    </row>
    <row r="31" spans="1:17" s="97" customFormat="1" ht="12">
      <c r="A31" s="104"/>
      <c r="B31" s="104"/>
      <c r="C31" s="104"/>
      <c r="D31" s="104"/>
      <c r="E31" s="104"/>
      <c r="F31" s="104"/>
      <c r="G31" s="104"/>
      <c r="H31" s="104"/>
      <c r="I31" s="104"/>
      <c r="J31" s="104"/>
    </row>
    <row r="32" spans="1:17" s="97" customFormat="1" ht="12">
      <c r="A32" s="105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4:17" s="97" customFormat="1" ht="12"/>
    <row r="34" spans="14:17" s="97" customFormat="1" ht="12"/>
    <row r="35" spans="14:17" s="97" customFormat="1" ht="12"/>
    <row r="36" spans="14:17" s="97" customFormat="1" ht="12"/>
    <row r="37" spans="14:17" s="97" customFormat="1" ht="12"/>
    <row r="38" spans="14:17" s="97" customFormat="1">
      <c r="N38" s="2"/>
      <c r="O38" s="2"/>
      <c r="P38" s="2"/>
      <c r="Q38" s="2"/>
    </row>
    <row r="39" spans="14:17" s="97" customFormat="1">
      <c r="N39" s="2"/>
      <c r="O39" s="2"/>
      <c r="P39" s="2"/>
      <c r="Q39" s="2"/>
    </row>
  </sheetData>
  <mergeCells count="40">
    <mergeCell ref="I26:J26"/>
    <mergeCell ref="C26:D26"/>
    <mergeCell ref="E23:F23"/>
    <mergeCell ref="E24:F24"/>
    <mergeCell ref="E25:F25"/>
    <mergeCell ref="E26:F26"/>
    <mergeCell ref="G23:H23"/>
    <mergeCell ref="G24:H24"/>
    <mergeCell ref="G26:H26"/>
    <mergeCell ref="A14:B14"/>
    <mergeCell ref="A18:B18"/>
    <mergeCell ref="A15:B15"/>
    <mergeCell ref="A17:B17"/>
    <mergeCell ref="A1:J1"/>
    <mergeCell ref="C5:D5"/>
    <mergeCell ref="C6:D6"/>
    <mergeCell ref="C7:D7"/>
    <mergeCell ref="C8:D8"/>
    <mergeCell ref="A9:B9"/>
    <mergeCell ref="C9:D9"/>
    <mergeCell ref="E4:I4"/>
    <mergeCell ref="E5:I5"/>
    <mergeCell ref="E6:I6"/>
    <mergeCell ref="E7:I7"/>
    <mergeCell ref="E8:I8"/>
    <mergeCell ref="B24:B25"/>
    <mergeCell ref="C23:D23"/>
    <mergeCell ref="C24:D24"/>
    <mergeCell ref="C25:D25"/>
    <mergeCell ref="I23:J23"/>
    <mergeCell ref="G25:H25"/>
    <mergeCell ref="I24:J24"/>
    <mergeCell ref="I25:J25"/>
    <mergeCell ref="E9:I9"/>
    <mergeCell ref="C4:D4"/>
    <mergeCell ref="A4:B4"/>
    <mergeCell ref="A5:B5"/>
    <mergeCell ref="A6:B6"/>
    <mergeCell ref="A7:B7"/>
    <mergeCell ref="A8:B8"/>
  </mergeCells>
  <phoneticPr fontId="2" type="noConversion"/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T45"/>
  <sheetViews>
    <sheetView view="pageBreakPreview" zoomScaleSheetLayoutView="100" workbookViewId="0">
      <selection activeCell="A2" sqref="A2"/>
    </sheetView>
  </sheetViews>
  <sheetFormatPr defaultRowHeight="30" customHeight="1"/>
  <cols>
    <col min="1" max="14" width="7" style="6" customWidth="1"/>
    <col min="15" max="15" width="2.88671875" style="2" customWidth="1"/>
    <col min="16" max="17" width="8.88671875" style="2"/>
    <col min="18" max="18" width="9.44140625" style="2" bestFit="1" customWidth="1"/>
    <col min="19" max="16384" width="8.88671875" style="2"/>
  </cols>
  <sheetData>
    <row r="1" spans="1:20" s="3" customFormat="1" ht="30" customHeight="1">
      <c r="A1" s="182" t="s">
        <v>499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0" s="3" customFormat="1" ht="30" customHeight="1">
      <c r="A2" s="4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T2" s="2"/>
    </row>
    <row r="3" spans="1:20" ht="30" customHeight="1" thickBot="1">
      <c r="A3" s="180" t="s">
        <v>497</v>
      </c>
      <c r="B3" s="109"/>
      <c r="C3" s="109"/>
      <c r="D3" s="109"/>
      <c r="E3" s="109"/>
    </row>
    <row r="4" spans="1:20" ht="20.100000000000001" customHeight="1" thickBot="1">
      <c r="A4" s="351" t="s">
        <v>27</v>
      </c>
      <c r="B4" s="343"/>
      <c r="C4" s="343" t="s">
        <v>391</v>
      </c>
      <c r="D4" s="343"/>
      <c r="E4" s="343" t="s">
        <v>378</v>
      </c>
      <c r="F4" s="343"/>
      <c r="G4" s="343"/>
      <c r="H4" s="343" t="s">
        <v>393</v>
      </c>
      <c r="I4" s="343"/>
      <c r="J4" s="343"/>
      <c r="K4" s="343" t="s">
        <v>26</v>
      </c>
      <c r="L4" s="343"/>
      <c r="M4" s="343"/>
      <c r="N4" s="344"/>
    </row>
    <row r="5" spans="1:20" ht="20.100000000000001" customHeight="1">
      <c r="A5" s="358" t="s">
        <v>380</v>
      </c>
      <c r="B5" s="359"/>
      <c r="C5" s="319" t="s">
        <v>392</v>
      </c>
      <c r="D5" s="320"/>
      <c r="E5" s="352">
        <v>546</v>
      </c>
      <c r="F5" s="353"/>
      <c r="G5" s="354"/>
      <c r="H5" s="338">
        <v>328110</v>
      </c>
      <c r="I5" s="339"/>
      <c r="J5" s="340"/>
      <c r="K5" s="319"/>
      <c r="L5" s="345"/>
      <c r="M5" s="345"/>
      <c r="N5" s="346"/>
    </row>
    <row r="6" spans="1:20" ht="20.100000000000001" customHeight="1">
      <c r="A6" s="327" t="s">
        <v>394</v>
      </c>
      <c r="B6" s="328"/>
      <c r="C6" s="331"/>
      <c r="D6" s="332"/>
      <c r="E6" s="321">
        <v>257</v>
      </c>
      <c r="F6" s="322"/>
      <c r="G6" s="323"/>
      <c r="H6" s="316">
        <v>154710</v>
      </c>
      <c r="I6" s="317"/>
      <c r="J6" s="318"/>
      <c r="K6" s="331"/>
      <c r="L6" s="349"/>
      <c r="M6" s="349"/>
      <c r="N6" s="350"/>
    </row>
    <row r="7" spans="1:20" ht="20.100000000000001" customHeight="1">
      <c r="A7" s="327" t="s">
        <v>381</v>
      </c>
      <c r="B7" s="328"/>
      <c r="C7" s="331"/>
      <c r="D7" s="332"/>
      <c r="E7" s="321">
        <v>249</v>
      </c>
      <c r="F7" s="322"/>
      <c r="G7" s="323"/>
      <c r="H7" s="316">
        <v>152570</v>
      </c>
      <c r="I7" s="317"/>
      <c r="J7" s="318"/>
      <c r="K7" s="331"/>
      <c r="L7" s="349"/>
      <c r="M7" s="349"/>
      <c r="N7" s="350"/>
    </row>
    <row r="8" spans="1:20" ht="20.100000000000001" customHeight="1">
      <c r="A8" s="327" t="s">
        <v>382</v>
      </c>
      <c r="B8" s="328"/>
      <c r="C8" s="331"/>
      <c r="D8" s="332"/>
      <c r="E8" s="321">
        <v>748</v>
      </c>
      <c r="F8" s="322"/>
      <c r="G8" s="323"/>
      <c r="H8" s="316">
        <v>468270</v>
      </c>
      <c r="I8" s="317"/>
      <c r="J8" s="318"/>
      <c r="K8" s="331"/>
      <c r="L8" s="349"/>
      <c r="M8" s="349"/>
      <c r="N8" s="350"/>
    </row>
    <row r="9" spans="1:20" ht="20.100000000000001" customHeight="1">
      <c r="A9" s="327" t="s">
        <v>383</v>
      </c>
      <c r="B9" s="328"/>
      <c r="C9" s="331"/>
      <c r="D9" s="332"/>
      <c r="E9" s="321">
        <v>1504</v>
      </c>
      <c r="F9" s="322"/>
      <c r="G9" s="323"/>
      <c r="H9" s="316">
        <v>957150</v>
      </c>
      <c r="I9" s="317"/>
      <c r="J9" s="318"/>
      <c r="K9" s="331"/>
      <c r="L9" s="349"/>
      <c r="M9" s="349"/>
      <c r="N9" s="350"/>
    </row>
    <row r="10" spans="1:20" ht="20.100000000000001" customHeight="1">
      <c r="A10" s="327" t="s">
        <v>384</v>
      </c>
      <c r="B10" s="328"/>
      <c r="C10" s="331"/>
      <c r="D10" s="332"/>
      <c r="E10" s="321">
        <v>1482</v>
      </c>
      <c r="F10" s="322"/>
      <c r="G10" s="323"/>
      <c r="H10" s="316">
        <v>942630</v>
      </c>
      <c r="I10" s="317"/>
      <c r="J10" s="318"/>
      <c r="K10" s="331"/>
      <c r="L10" s="349"/>
      <c r="M10" s="349"/>
      <c r="N10" s="350"/>
    </row>
    <row r="11" spans="1:20" ht="20.100000000000001" customHeight="1">
      <c r="A11" s="327" t="s">
        <v>385</v>
      </c>
      <c r="B11" s="328"/>
      <c r="C11" s="331"/>
      <c r="D11" s="332"/>
      <c r="E11" s="321">
        <v>1442</v>
      </c>
      <c r="F11" s="322"/>
      <c r="G11" s="323"/>
      <c r="H11" s="316">
        <v>906090</v>
      </c>
      <c r="I11" s="317"/>
      <c r="J11" s="318"/>
      <c r="K11" s="331"/>
      <c r="L11" s="349"/>
      <c r="M11" s="349"/>
      <c r="N11" s="350"/>
    </row>
    <row r="12" spans="1:20" ht="20.100000000000001" customHeight="1">
      <c r="A12" s="327" t="s">
        <v>386</v>
      </c>
      <c r="B12" s="328"/>
      <c r="C12" s="331"/>
      <c r="D12" s="332"/>
      <c r="E12" s="321">
        <v>935</v>
      </c>
      <c r="F12" s="322"/>
      <c r="G12" s="323"/>
      <c r="H12" s="316">
        <v>581610</v>
      </c>
      <c r="I12" s="317"/>
      <c r="J12" s="318"/>
      <c r="K12" s="331"/>
      <c r="L12" s="349"/>
      <c r="M12" s="349"/>
      <c r="N12" s="350"/>
    </row>
    <row r="13" spans="1:20" ht="20.100000000000001" customHeight="1">
      <c r="A13" s="327" t="s">
        <v>387</v>
      </c>
      <c r="B13" s="328"/>
      <c r="C13" s="331"/>
      <c r="D13" s="332"/>
      <c r="E13" s="321">
        <v>1060</v>
      </c>
      <c r="F13" s="322"/>
      <c r="G13" s="323"/>
      <c r="H13" s="316">
        <v>664110</v>
      </c>
      <c r="I13" s="317"/>
      <c r="J13" s="318"/>
      <c r="K13" s="331"/>
      <c r="L13" s="349"/>
      <c r="M13" s="349"/>
      <c r="N13" s="350"/>
    </row>
    <row r="14" spans="1:20" ht="20.100000000000001" customHeight="1">
      <c r="A14" s="327" t="s">
        <v>388</v>
      </c>
      <c r="B14" s="328"/>
      <c r="C14" s="331"/>
      <c r="D14" s="332"/>
      <c r="E14" s="321">
        <v>1676</v>
      </c>
      <c r="F14" s="322"/>
      <c r="G14" s="323"/>
      <c r="H14" s="316">
        <v>1070670</v>
      </c>
      <c r="I14" s="317"/>
      <c r="J14" s="318"/>
      <c r="K14" s="331"/>
      <c r="L14" s="349"/>
      <c r="M14" s="349"/>
      <c r="N14" s="350"/>
    </row>
    <row r="15" spans="1:20" ht="20.100000000000001" customHeight="1">
      <c r="A15" s="327" t="s">
        <v>389</v>
      </c>
      <c r="B15" s="328"/>
      <c r="C15" s="331"/>
      <c r="D15" s="332"/>
      <c r="E15" s="321">
        <v>2190</v>
      </c>
      <c r="F15" s="322"/>
      <c r="G15" s="323"/>
      <c r="H15" s="316">
        <v>1378410</v>
      </c>
      <c r="I15" s="317"/>
      <c r="J15" s="318"/>
      <c r="K15" s="331"/>
      <c r="L15" s="349"/>
      <c r="M15" s="349"/>
      <c r="N15" s="350"/>
    </row>
    <row r="16" spans="1:20" ht="20.100000000000001" customHeight="1" thickBot="1">
      <c r="A16" s="329" t="s">
        <v>390</v>
      </c>
      <c r="B16" s="330"/>
      <c r="C16" s="333"/>
      <c r="D16" s="334"/>
      <c r="E16" s="335">
        <v>1676</v>
      </c>
      <c r="F16" s="336"/>
      <c r="G16" s="337"/>
      <c r="H16" s="324">
        <v>1047810</v>
      </c>
      <c r="I16" s="325"/>
      <c r="J16" s="326"/>
      <c r="K16" s="333"/>
      <c r="L16" s="355"/>
      <c r="M16" s="355"/>
      <c r="N16" s="356"/>
    </row>
    <row r="17" spans="1:14" s="3" customFormat="1" ht="20.100000000000001" customHeight="1">
      <c r="A17" s="347" t="s">
        <v>114</v>
      </c>
      <c r="B17" s="348"/>
      <c r="C17" s="341"/>
      <c r="D17" s="341"/>
      <c r="E17" s="342">
        <f>SUM(E5:G16)</f>
        <v>13765</v>
      </c>
      <c r="F17" s="342"/>
      <c r="G17" s="342"/>
      <c r="H17" s="342">
        <f>SUM(H5:J16)</f>
        <v>8652140</v>
      </c>
      <c r="I17" s="342"/>
      <c r="J17" s="342"/>
      <c r="K17" s="341"/>
      <c r="L17" s="341"/>
      <c r="M17" s="341"/>
      <c r="N17" s="357"/>
    </row>
    <row r="18" spans="1:14" s="3" customFormat="1" ht="20.100000000000001" customHeight="1" thickBot="1">
      <c r="A18" s="312" t="s">
        <v>203</v>
      </c>
      <c r="B18" s="288"/>
      <c r="C18" s="288"/>
      <c r="D18" s="288"/>
      <c r="E18" s="313">
        <f>ROUND(E17/365,0)</f>
        <v>38</v>
      </c>
      <c r="F18" s="313"/>
      <c r="G18" s="313"/>
      <c r="H18" s="313"/>
      <c r="I18" s="313"/>
      <c r="J18" s="313"/>
      <c r="K18" s="303"/>
      <c r="L18" s="304"/>
      <c r="M18" s="304"/>
      <c r="N18" s="305"/>
    </row>
    <row r="19" spans="1:14" ht="20.100000000000001" customHeight="1">
      <c r="A19" s="7"/>
    </row>
    <row r="20" spans="1:14" ht="23.1" customHeight="1">
      <c r="A20" s="37"/>
    </row>
    <row r="21" spans="1:14" ht="23.1" customHeight="1" thickBot="1">
      <c r="A21" s="184" t="s">
        <v>498</v>
      </c>
      <c r="B21" s="108"/>
      <c r="C21" s="108"/>
      <c r="F21" s="108"/>
      <c r="G21" s="108"/>
      <c r="H21" s="108"/>
      <c r="I21" s="108"/>
      <c r="J21" s="108"/>
      <c r="K21" s="108"/>
      <c r="L21" s="108"/>
      <c r="M21" s="108"/>
      <c r="N21" s="108"/>
    </row>
    <row r="22" spans="1:14" ht="23.1" customHeight="1" thickBot="1">
      <c r="A22" s="268" t="s">
        <v>206</v>
      </c>
      <c r="B22" s="269"/>
      <c r="C22" s="269"/>
      <c r="D22" s="269"/>
      <c r="E22" s="315" t="s">
        <v>17</v>
      </c>
      <c r="F22" s="315"/>
      <c r="G22" s="251" t="s">
        <v>2</v>
      </c>
      <c r="H22" s="251"/>
      <c r="I22" s="251"/>
      <c r="J22" s="251" t="s">
        <v>3</v>
      </c>
      <c r="K22" s="251"/>
      <c r="L22" s="251"/>
      <c r="M22" s="306" t="s">
        <v>1</v>
      </c>
      <c r="N22" s="307"/>
    </row>
    <row r="23" spans="1:14" ht="23.1" customHeight="1">
      <c r="A23" s="271" t="s">
        <v>9</v>
      </c>
      <c r="B23" s="270"/>
      <c r="C23" s="270" t="s">
        <v>4</v>
      </c>
      <c r="D23" s="270"/>
      <c r="E23" s="308">
        <f>SUM(G23:N23)</f>
        <v>8581</v>
      </c>
      <c r="F23" s="308"/>
      <c r="G23" s="308">
        <f>SUM(G24:I26)</f>
        <v>5181</v>
      </c>
      <c r="H23" s="308"/>
      <c r="I23" s="308"/>
      <c r="J23" s="308">
        <f>SUM(J24:L26)</f>
        <v>3400</v>
      </c>
      <c r="K23" s="308"/>
      <c r="L23" s="308"/>
      <c r="M23" s="308"/>
      <c r="N23" s="309"/>
    </row>
    <row r="24" spans="1:14" ht="23.1" customHeight="1">
      <c r="A24" s="272"/>
      <c r="B24" s="267"/>
      <c r="C24" s="267" t="s">
        <v>5</v>
      </c>
      <c r="D24" s="267"/>
      <c r="E24" s="274">
        <f>SUM(G24:N24)</f>
        <v>7000</v>
      </c>
      <c r="F24" s="274"/>
      <c r="G24" s="274">
        <v>4000</v>
      </c>
      <c r="H24" s="274"/>
      <c r="I24" s="274"/>
      <c r="J24" s="274">
        <v>3000</v>
      </c>
      <c r="K24" s="274"/>
      <c r="L24" s="274"/>
      <c r="M24" s="274"/>
      <c r="N24" s="297"/>
    </row>
    <row r="25" spans="1:14" ht="23.1" customHeight="1">
      <c r="A25" s="272"/>
      <c r="B25" s="267"/>
      <c r="C25" s="267" t="s">
        <v>6</v>
      </c>
      <c r="D25" s="267"/>
      <c r="E25" s="274">
        <f>SUM(G25:N25)</f>
        <v>1320</v>
      </c>
      <c r="F25" s="274"/>
      <c r="G25" s="274">
        <v>1000</v>
      </c>
      <c r="H25" s="274"/>
      <c r="I25" s="274"/>
      <c r="J25" s="274">
        <v>320</v>
      </c>
      <c r="K25" s="274"/>
      <c r="L25" s="274"/>
      <c r="M25" s="274"/>
      <c r="N25" s="297"/>
    </row>
    <row r="26" spans="1:14" ht="23.1" customHeight="1">
      <c r="A26" s="272"/>
      <c r="B26" s="267"/>
      <c r="C26" s="267" t="s">
        <v>21</v>
      </c>
      <c r="D26" s="267"/>
      <c r="E26" s="265">
        <f>SUM(G26:N26)</f>
        <v>261</v>
      </c>
      <c r="F26" s="266"/>
      <c r="G26" s="274">
        <v>181</v>
      </c>
      <c r="H26" s="274"/>
      <c r="I26" s="274"/>
      <c r="J26" s="274">
        <v>80</v>
      </c>
      <c r="K26" s="274"/>
      <c r="L26" s="274"/>
      <c r="M26" s="274"/>
      <c r="N26" s="297"/>
    </row>
    <row r="27" spans="1:14" ht="23.1" customHeight="1">
      <c r="A27" s="187" t="s">
        <v>7</v>
      </c>
      <c r="B27" s="262"/>
      <c r="C27" s="267" t="s">
        <v>8</v>
      </c>
      <c r="D27" s="267"/>
      <c r="E27" s="265">
        <v>0</v>
      </c>
      <c r="F27" s="266"/>
      <c r="G27" s="274">
        <v>40</v>
      </c>
      <c r="H27" s="274"/>
      <c r="I27" s="274"/>
      <c r="J27" s="274">
        <v>40</v>
      </c>
      <c r="K27" s="274"/>
      <c r="L27" s="274"/>
      <c r="M27" s="265"/>
      <c r="N27" s="302"/>
    </row>
    <row r="28" spans="1:14" ht="23.1" customHeight="1">
      <c r="A28" s="187"/>
      <c r="B28" s="262"/>
      <c r="C28" s="267" t="s">
        <v>6</v>
      </c>
      <c r="D28" s="267"/>
      <c r="E28" s="265">
        <v>0</v>
      </c>
      <c r="F28" s="266"/>
      <c r="G28" s="274">
        <v>200</v>
      </c>
      <c r="H28" s="274"/>
      <c r="I28" s="274"/>
      <c r="J28" s="274">
        <v>200</v>
      </c>
      <c r="K28" s="274"/>
      <c r="L28" s="274"/>
      <c r="M28" s="265"/>
      <c r="N28" s="302"/>
    </row>
    <row r="29" spans="1:14" ht="23.1" customHeight="1">
      <c r="A29" s="284" t="s">
        <v>10</v>
      </c>
      <c r="B29" s="285"/>
      <c r="C29" s="285"/>
      <c r="D29" s="285"/>
      <c r="E29" s="265">
        <v>0</v>
      </c>
      <c r="F29" s="266"/>
      <c r="G29" s="274">
        <v>85</v>
      </c>
      <c r="H29" s="274"/>
      <c r="I29" s="274"/>
      <c r="J29" s="274">
        <v>85</v>
      </c>
      <c r="K29" s="274"/>
      <c r="L29" s="274"/>
      <c r="M29" s="274"/>
      <c r="N29" s="297"/>
    </row>
    <row r="30" spans="1:14" ht="23.1" customHeight="1">
      <c r="A30" s="284" t="s">
        <v>11</v>
      </c>
      <c r="B30" s="285"/>
      <c r="C30" s="285"/>
      <c r="D30" s="285"/>
      <c r="E30" s="265">
        <v>0</v>
      </c>
      <c r="F30" s="266"/>
      <c r="G30" s="274">
        <v>85</v>
      </c>
      <c r="H30" s="274"/>
      <c r="I30" s="274"/>
      <c r="J30" s="274">
        <v>85</v>
      </c>
      <c r="K30" s="274"/>
      <c r="L30" s="274"/>
      <c r="M30" s="274"/>
      <c r="N30" s="297"/>
    </row>
    <row r="31" spans="1:14" ht="23.1" customHeight="1">
      <c r="A31" s="187" t="s">
        <v>12</v>
      </c>
      <c r="B31" s="262"/>
      <c r="C31" s="267" t="s">
        <v>8</v>
      </c>
      <c r="D31" s="267"/>
      <c r="E31" s="265">
        <v>0</v>
      </c>
      <c r="F31" s="266"/>
      <c r="G31" s="274">
        <f>ROUND(G27/G29/G30*10000,0)</f>
        <v>55</v>
      </c>
      <c r="H31" s="274"/>
      <c r="I31" s="274"/>
      <c r="J31" s="274">
        <f>ROUND(J27/J29/J30*10000,0)</f>
        <v>55</v>
      </c>
      <c r="K31" s="274"/>
      <c r="L31" s="274"/>
      <c r="M31" s="265"/>
      <c r="N31" s="302"/>
    </row>
    <row r="32" spans="1:14" ht="23.1" customHeight="1" thickBot="1">
      <c r="A32" s="185"/>
      <c r="B32" s="273"/>
      <c r="C32" s="289" t="s">
        <v>6</v>
      </c>
      <c r="D32" s="289"/>
      <c r="E32" s="298">
        <v>0</v>
      </c>
      <c r="F32" s="314"/>
      <c r="G32" s="300">
        <f>ROUND(G28/G29/G30*10000,0)</f>
        <v>277</v>
      </c>
      <c r="H32" s="300"/>
      <c r="I32" s="300"/>
      <c r="J32" s="300">
        <f>ROUND(J28/J29/J30*10000,0)</f>
        <v>277</v>
      </c>
      <c r="K32" s="300"/>
      <c r="L32" s="300"/>
      <c r="M32" s="310"/>
      <c r="N32" s="311"/>
    </row>
    <row r="33" spans="1:14" ht="23.1" customHeight="1">
      <c r="A33" s="260" t="s">
        <v>13</v>
      </c>
      <c r="B33" s="261"/>
      <c r="C33" s="291" t="s">
        <v>15</v>
      </c>
      <c r="D33" s="291"/>
      <c r="E33" s="292">
        <f t="shared" ref="E33:E38" si="0">SUM(G33:N33)</f>
        <v>803</v>
      </c>
      <c r="F33" s="292"/>
      <c r="G33" s="292">
        <f>SUM(G34:I35)</f>
        <v>507</v>
      </c>
      <c r="H33" s="292"/>
      <c r="I33" s="292"/>
      <c r="J33" s="292">
        <f>SUM(J34:L35)</f>
        <v>258</v>
      </c>
      <c r="K33" s="292"/>
      <c r="L33" s="292"/>
      <c r="M33" s="292">
        <f>E18</f>
        <v>38</v>
      </c>
      <c r="N33" s="294"/>
    </row>
    <row r="34" spans="1:14" ht="23.1" customHeight="1">
      <c r="A34" s="187"/>
      <c r="B34" s="262"/>
      <c r="C34" s="267" t="s">
        <v>8</v>
      </c>
      <c r="D34" s="267"/>
      <c r="E34" s="274">
        <f t="shared" si="0"/>
        <v>399</v>
      </c>
      <c r="F34" s="274"/>
      <c r="G34" s="274">
        <f>ROUND((G24+G26)*G31/1000,0)</f>
        <v>230</v>
      </c>
      <c r="H34" s="274"/>
      <c r="I34" s="274"/>
      <c r="J34" s="274">
        <f>ROUND((J24+J26)*J31/1000,0)</f>
        <v>169</v>
      </c>
      <c r="K34" s="274"/>
      <c r="L34" s="274"/>
      <c r="M34" s="265"/>
      <c r="N34" s="302"/>
    </row>
    <row r="35" spans="1:14" ht="23.1" customHeight="1" thickBot="1">
      <c r="A35" s="263"/>
      <c r="B35" s="264"/>
      <c r="C35" s="290" t="s">
        <v>16</v>
      </c>
      <c r="D35" s="290"/>
      <c r="E35" s="277">
        <f t="shared" si="0"/>
        <v>366</v>
      </c>
      <c r="F35" s="277"/>
      <c r="G35" s="277">
        <f>ROUND(G25*G32/1000,0)</f>
        <v>277</v>
      </c>
      <c r="H35" s="277"/>
      <c r="I35" s="277"/>
      <c r="J35" s="277">
        <f>ROUND(J25*J32/1000,0)</f>
        <v>89</v>
      </c>
      <c r="K35" s="277"/>
      <c r="L35" s="277"/>
      <c r="M35" s="298"/>
      <c r="N35" s="299"/>
    </row>
    <row r="36" spans="1:14" ht="23.1" customHeight="1">
      <c r="A36" s="278" t="s">
        <v>14</v>
      </c>
      <c r="B36" s="279"/>
      <c r="C36" s="286" t="s">
        <v>15</v>
      </c>
      <c r="D36" s="286"/>
      <c r="E36" s="293">
        <f t="shared" si="0"/>
        <v>1084</v>
      </c>
      <c r="F36" s="293"/>
      <c r="G36" s="293">
        <f>SUM(G37:I38)</f>
        <v>685</v>
      </c>
      <c r="H36" s="293"/>
      <c r="I36" s="293"/>
      <c r="J36" s="293">
        <f>SUM(J37:L38)</f>
        <v>348</v>
      </c>
      <c r="K36" s="293"/>
      <c r="L36" s="293"/>
      <c r="M36" s="293">
        <f>ROUND(M33*1.35,0)</f>
        <v>51</v>
      </c>
      <c r="N36" s="301"/>
    </row>
    <row r="37" spans="1:14" ht="23.1" customHeight="1">
      <c r="A37" s="280"/>
      <c r="B37" s="281"/>
      <c r="C37" s="287" t="s">
        <v>8</v>
      </c>
      <c r="D37" s="287"/>
      <c r="E37" s="275">
        <f t="shared" si="0"/>
        <v>539</v>
      </c>
      <c r="F37" s="275"/>
      <c r="G37" s="275">
        <f>ROUND(G34*1.35,0)</f>
        <v>311</v>
      </c>
      <c r="H37" s="275"/>
      <c r="I37" s="275"/>
      <c r="J37" s="275">
        <f>ROUND(J34*1.35,0)</f>
        <v>228</v>
      </c>
      <c r="K37" s="275"/>
      <c r="L37" s="275"/>
      <c r="M37" s="275"/>
      <c r="N37" s="295"/>
    </row>
    <row r="38" spans="1:14" ht="23.1" customHeight="1" thickBot="1">
      <c r="A38" s="282"/>
      <c r="B38" s="283"/>
      <c r="C38" s="288" t="s">
        <v>16</v>
      </c>
      <c r="D38" s="288"/>
      <c r="E38" s="276">
        <f t="shared" si="0"/>
        <v>494</v>
      </c>
      <c r="F38" s="276"/>
      <c r="G38" s="276">
        <f>ROUND(G35*1.35,0)</f>
        <v>374</v>
      </c>
      <c r="H38" s="276"/>
      <c r="I38" s="276"/>
      <c r="J38" s="276">
        <f>ROUND(J35*1.35,0)</f>
        <v>120</v>
      </c>
      <c r="K38" s="276"/>
      <c r="L38" s="276"/>
      <c r="M38" s="276"/>
      <c r="N38" s="296"/>
    </row>
    <row r="39" spans="1:14" ht="23.1" customHeight="1">
      <c r="A39" s="24" t="s">
        <v>18</v>
      </c>
      <c r="B39" s="27" t="s">
        <v>19</v>
      </c>
      <c r="C39" s="25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23.1" customHeight="1">
      <c r="A40" s="24"/>
      <c r="B40" s="27" t="s">
        <v>20</v>
      </c>
      <c r="C40" s="25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23.1" customHeight="1">
      <c r="A41" s="24"/>
      <c r="B41" s="27" t="s">
        <v>24</v>
      </c>
      <c r="C41" s="25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ht="23.1" customHeight="1">
      <c r="B42" s="27" t="s">
        <v>379</v>
      </c>
    </row>
    <row r="43" spans="1:14" ht="23.1" customHeight="1">
      <c r="A43" s="37"/>
    </row>
    <row r="44" spans="1:14" ht="23.1" customHeight="1">
      <c r="A44" s="37"/>
      <c r="B44" s="40"/>
    </row>
    <row r="45" spans="1:14" ht="23.1" customHeight="1">
      <c r="B45" s="40"/>
    </row>
  </sheetData>
  <mergeCells count="165">
    <mergeCell ref="H9:J9"/>
    <mergeCell ref="K15:N15"/>
    <mergeCell ref="K16:N16"/>
    <mergeCell ref="K17:N17"/>
    <mergeCell ref="A5:B5"/>
    <mergeCell ref="K7:N7"/>
    <mergeCell ref="K8:N8"/>
    <mergeCell ref="K9:N9"/>
    <mergeCell ref="K10:N10"/>
    <mergeCell ref="K11:N11"/>
    <mergeCell ref="K12:N12"/>
    <mergeCell ref="K13:N13"/>
    <mergeCell ref="K14:N14"/>
    <mergeCell ref="H10:J10"/>
    <mergeCell ref="C6:D6"/>
    <mergeCell ref="C7:D7"/>
    <mergeCell ref="C8:D8"/>
    <mergeCell ref="C9:D9"/>
    <mergeCell ref="C10:D10"/>
    <mergeCell ref="C11:D11"/>
    <mergeCell ref="C12:D12"/>
    <mergeCell ref="C13:D13"/>
    <mergeCell ref="H6:J6"/>
    <mergeCell ref="C17:D17"/>
    <mergeCell ref="H17:J17"/>
    <mergeCell ref="E17:G17"/>
    <mergeCell ref="K4:N4"/>
    <mergeCell ref="K5:N5"/>
    <mergeCell ref="A17:B17"/>
    <mergeCell ref="A9:B9"/>
    <mergeCell ref="A10:B10"/>
    <mergeCell ref="A11:B11"/>
    <mergeCell ref="A12:B12"/>
    <mergeCell ref="K6:N6"/>
    <mergeCell ref="C4:D4"/>
    <mergeCell ref="H4:J4"/>
    <mergeCell ref="E4:G4"/>
    <mergeCell ref="A4:B4"/>
    <mergeCell ref="E5:G5"/>
    <mergeCell ref="E6:G6"/>
    <mergeCell ref="A6:B6"/>
    <mergeCell ref="A7:B7"/>
    <mergeCell ref="A8:B8"/>
    <mergeCell ref="H11:J11"/>
    <mergeCell ref="H7:J7"/>
    <mergeCell ref="H8:J8"/>
    <mergeCell ref="H12:J12"/>
    <mergeCell ref="C5:D5"/>
    <mergeCell ref="E7:G7"/>
    <mergeCell ref="H13:J13"/>
    <mergeCell ref="H14:J14"/>
    <mergeCell ref="H15:J15"/>
    <mergeCell ref="H16:J16"/>
    <mergeCell ref="A13:B13"/>
    <mergeCell ref="A14:B14"/>
    <mergeCell ref="A15:B15"/>
    <mergeCell ref="A16:B16"/>
    <mergeCell ref="C15:D15"/>
    <mergeCell ref="C16:D16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C14:D14"/>
    <mergeCell ref="H5:J5"/>
    <mergeCell ref="K18:N18"/>
    <mergeCell ref="M22:N22"/>
    <mergeCell ref="E24:F24"/>
    <mergeCell ref="J23:L23"/>
    <mergeCell ref="J24:L24"/>
    <mergeCell ref="M23:N23"/>
    <mergeCell ref="M31:N31"/>
    <mergeCell ref="M32:N32"/>
    <mergeCell ref="A18:B18"/>
    <mergeCell ref="C18:D18"/>
    <mergeCell ref="E18:G18"/>
    <mergeCell ref="H18:J18"/>
    <mergeCell ref="E32:F32"/>
    <mergeCell ref="M24:N24"/>
    <mergeCell ref="E22:F22"/>
    <mergeCell ref="G22:I22"/>
    <mergeCell ref="E25:F25"/>
    <mergeCell ref="G23:I23"/>
    <mergeCell ref="G24:I24"/>
    <mergeCell ref="G26:I26"/>
    <mergeCell ref="G27:I27"/>
    <mergeCell ref="G28:I28"/>
    <mergeCell ref="E23:F23"/>
    <mergeCell ref="E26:F26"/>
    <mergeCell ref="G25:I25"/>
    <mergeCell ref="J31:L31"/>
    <mergeCell ref="J32:L32"/>
    <mergeCell ref="J22:L22"/>
    <mergeCell ref="J25:L25"/>
    <mergeCell ref="M25:N25"/>
    <mergeCell ref="M26:N26"/>
    <mergeCell ref="M27:N27"/>
    <mergeCell ref="M28:N28"/>
    <mergeCell ref="J26:L26"/>
    <mergeCell ref="J27:L27"/>
    <mergeCell ref="J28:L28"/>
    <mergeCell ref="M33:N33"/>
    <mergeCell ref="J33:L33"/>
    <mergeCell ref="M37:N37"/>
    <mergeCell ref="M38:N38"/>
    <mergeCell ref="G29:I29"/>
    <mergeCell ref="G30:I30"/>
    <mergeCell ref="J29:L29"/>
    <mergeCell ref="J30:L30"/>
    <mergeCell ref="J37:L37"/>
    <mergeCell ref="J38:L38"/>
    <mergeCell ref="G35:I35"/>
    <mergeCell ref="G36:I36"/>
    <mergeCell ref="J35:L35"/>
    <mergeCell ref="J36:L36"/>
    <mergeCell ref="G38:I38"/>
    <mergeCell ref="G37:I37"/>
    <mergeCell ref="M29:N29"/>
    <mergeCell ref="M30:N30"/>
    <mergeCell ref="M35:N35"/>
    <mergeCell ref="G31:I31"/>
    <mergeCell ref="G32:I32"/>
    <mergeCell ref="M36:N36"/>
    <mergeCell ref="M34:N34"/>
    <mergeCell ref="G33:I33"/>
    <mergeCell ref="G34:I34"/>
    <mergeCell ref="J34:L34"/>
    <mergeCell ref="E37:F37"/>
    <mergeCell ref="E38:F38"/>
    <mergeCell ref="E35:F35"/>
    <mergeCell ref="A36:B38"/>
    <mergeCell ref="C28:D28"/>
    <mergeCell ref="A27:B28"/>
    <mergeCell ref="A29:D29"/>
    <mergeCell ref="A30:D30"/>
    <mergeCell ref="C36:D36"/>
    <mergeCell ref="C37:D37"/>
    <mergeCell ref="C38:D38"/>
    <mergeCell ref="C31:D31"/>
    <mergeCell ref="C32:D32"/>
    <mergeCell ref="C34:D34"/>
    <mergeCell ref="C35:D35"/>
    <mergeCell ref="C33:D33"/>
    <mergeCell ref="E27:F27"/>
    <mergeCell ref="E28:F28"/>
    <mergeCell ref="E33:F33"/>
    <mergeCell ref="E34:F34"/>
    <mergeCell ref="E36:F36"/>
    <mergeCell ref="E29:F29"/>
    <mergeCell ref="A33:B35"/>
    <mergeCell ref="E30:F30"/>
    <mergeCell ref="E31:F31"/>
    <mergeCell ref="C25:D25"/>
    <mergeCell ref="C26:D26"/>
    <mergeCell ref="C27:D27"/>
    <mergeCell ref="A22:D22"/>
    <mergeCell ref="C23:D23"/>
    <mergeCell ref="C24:D24"/>
    <mergeCell ref="A23:B26"/>
    <mergeCell ref="A31:B32"/>
  </mergeCells>
  <phoneticPr fontId="2" type="noConversion"/>
  <printOptions horizontalCentered="1"/>
  <pageMargins left="0.52" right="0.49" top="0.67" bottom="0.62" header="0.51181102362204722" footer="0.51181102362204722"/>
  <pageSetup paperSize="9" scale="79" orientation="portrait" r:id="rId1"/>
  <headerFooter alignWithMargins="0"/>
  <rowBreaks count="1" manualBreakCount="1">
    <brk id="4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M74"/>
  <sheetViews>
    <sheetView view="pageBreakPreview" zoomScale="85" zoomScaleSheetLayoutView="85" workbookViewId="0">
      <selection activeCell="P19" sqref="P19"/>
    </sheetView>
  </sheetViews>
  <sheetFormatPr defaultColWidth="10.77734375" defaultRowHeight="20.100000000000001" customHeight="1"/>
  <sheetData>
    <row r="1" spans="1:13" ht="20.25" customHeight="1">
      <c r="A1" s="110" t="s">
        <v>500</v>
      </c>
    </row>
    <row r="2" spans="1:13" ht="20.25" customHeight="1">
      <c r="A2" s="5" t="s">
        <v>191</v>
      </c>
      <c r="J2" s="176" t="s">
        <v>479</v>
      </c>
      <c r="K2" s="176" t="s">
        <v>439</v>
      </c>
      <c r="L2" s="176" t="s">
        <v>440</v>
      </c>
      <c r="M2" s="176" t="s">
        <v>441</v>
      </c>
    </row>
    <row r="3" spans="1:13" ht="20.25" customHeight="1">
      <c r="A3" s="5" t="s">
        <v>257</v>
      </c>
      <c r="J3" s="173" t="s">
        <v>477</v>
      </c>
      <c r="K3" s="173" t="s">
        <v>442</v>
      </c>
      <c r="L3" s="172">
        <v>6138</v>
      </c>
      <c r="M3" s="172">
        <v>3729</v>
      </c>
    </row>
    <row r="4" spans="1:13" ht="20.25" customHeight="1">
      <c r="A4" s="380" t="s">
        <v>192</v>
      </c>
      <c r="B4" s="380"/>
      <c r="C4" s="380"/>
      <c r="D4" s="380"/>
      <c r="E4" s="380"/>
      <c r="F4" s="380"/>
      <c r="G4" s="380"/>
      <c r="H4" s="380"/>
      <c r="J4" s="173" t="s">
        <v>476</v>
      </c>
      <c r="K4" s="173" t="s">
        <v>442</v>
      </c>
      <c r="L4" s="172">
        <v>6541</v>
      </c>
      <c r="M4" s="172">
        <v>1934</v>
      </c>
    </row>
    <row r="5" spans="1:13" ht="20.25" customHeight="1">
      <c r="A5" s="7"/>
      <c r="H5" s="11" t="s">
        <v>193</v>
      </c>
      <c r="J5" s="173" t="s">
        <v>475</v>
      </c>
      <c r="K5" s="173" t="s">
        <v>442</v>
      </c>
      <c r="L5" s="172">
        <v>7288</v>
      </c>
      <c r="M5" s="172">
        <v>3585</v>
      </c>
    </row>
    <row r="6" spans="1:13" ht="20.25" customHeight="1">
      <c r="A6" s="367" t="s">
        <v>489</v>
      </c>
      <c r="B6" s="367"/>
      <c r="C6" s="367" t="s">
        <v>491</v>
      </c>
      <c r="D6" s="367"/>
      <c r="E6" s="367"/>
      <c r="F6" s="367" t="s">
        <v>490</v>
      </c>
      <c r="G6" s="367"/>
      <c r="H6" s="367"/>
      <c r="J6" s="173" t="s">
        <v>474</v>
      </c>
      <c r="K6" s="173" t="s">
        <v>442</v>
      </c>
      <c r="L6" s="172">
        <v>7768</v>
      </c>
      <c r="M6" s="172">
        <v>2304</v>
      </c>
    </row>
    <row r="7" spans="1:13" ht="20.25" customHeight="1">
      <c r="A7" s="373" t="str">
        <f t="shared" ref="A7:A42" si="0">J3</f>
        <v>2013-01</v>
      </c>
      <c r="B7" s="373"/>
      <c r="C7" s="360">
        <f>M3</f>
        <v>3729</v>
      </c>
      <c r="D7" s="360"/>
      <c r="E7" s="360"/>
      <c r="F7" s="372"/>
      <c r="G7" s="372"/>
      <c r="H7" s="372"/>
      <c r="J7" s="174" t="s">
        <v>473</v>
      </c>
      <c r="K7" s="174" t="s">
        <v>442</v>
      </c>
      <c r="L7" s="175">
        <v>8373</v>
      </c>
      <c r="M7" s="175">
        <v>2904</v>
      </c>
    </row>
    <row r="8" spans="1:13" ht="20.25" customHeight="1">
      <c r="A8" s="373" t="str">
        <f t="shared" si="0"/>
        <v>2013-02</v>
      </c>
      <c r="B8" s="373"/>
      <c r="C8" s="360">
        <f>M4</f>
        <v>1934</v>
      </c>
      <c r="D8" s="360"/>
      <c r="E8" s="360"/>
      <c r="F8" s="372"/>
      <c r="G8" s="372"/>
      <c r="H8" s="372"/>
      <c r="J8" s="173" t="s">
        <v>472</v>
      </c>
      <c r="K8" s="173" t="s">
        <v>442</v>
      </c>
      <c r="L8" s="172">
        <v>8832</v>
      </c>
      <c r="M8" s="172">
        <v>2203</v>
      </c>
    </row>
    <row r="9" spans="1:13" ht="20.25" customHeight="1">
      <c r="A9" s="373" t="str">
        <f t="shared" si="0"/>
        <v>2013-03</v>
      </c>
      <c r="B9" s="373"/>
      <c r="C9" s="360">
        <f>M5</f>
        <v>3585</v>
      </c>
      <c r="D9" s="360"/>
      <c r="E9" s="360"/>
      <c r="F9" s="372"/>
      <c r="G9" s="372"/>
      <c r="H9" s="372"/>
      <c r="J9" s="173" t="s">
        <v>471</v>
      </c>
      <c r="K9" s="173" t="s">
        <v>442</v>
      </c>
      <c r="L9" s="172">
        <v>9693</v>
      </c>
      <c r="M9" s="172">
        <v>4132</v>
      </c>
    </row>
    <row r="10" spans="1:13" ht="20.25" customHeight="1">
      <c r="A10" s="373" t="str">
        <f t="shared" si="0"/>
        <v>2013-04</v>
      </c>
      <c r="B10" s="373"/>
      <c r="C10" s="360">
        <v>3729</v>
      </c>
      <c r="D10" s="360"/>
      <c r="E10" s="360"/>
      <c r="F10" s="372"/>
      <c r="G10" s="372"/>
      <c r="H10" s="372"/>
      <c r="J10" s="173" t="s">
        <v>470</v>
      </c>
      <c r="K10" s="173" t="s">
        <v>442</v>
      </c>
      <c r="L10" s="172">
        <v>10550</v>
      </c>
      <c r="M10" s="172">
        <v>4113</v>
      </c>
    </row>
    <row r="11" spans="1:13" ht="20.25" customHeight="1">
      <c r="A11" s="373" t="str">
        <f t="shared" si="0"/>
        <v>2013-05</v>
      </c>
      <c r="B11" s="373"/>
      <c r="C11" s="360">
        <f t="shared" ref="C11:C42" si="1">M7</f>
        <v>2904</v>
      </c>
      <c r="D11" s="360"/>
      <c r="E11" s="360"/>
      <c r="F11" s="372"/>
      <c r="G11" s="372"/>
      <c r="H11" s="372"/>
      <c r="J11" s="173" t="s">
        <v>469</v>
      </c>
      <c r="K11" s="173" t="s">
        <v>442</v>
      </c>
      <c r="L11" s="172">
        <v>11674</v>
      </c>
      <c r="M11" s="172">
        <v>5395</v>
      </c>
    </row>
    <row r="12" spans="1:13" ht="20.25" customHeight="1">
      <c r="A12" s="373" t="str">
        <f t="shared" si="0"/>
        <v>2013-06</v>
      </c>
      <c r="B12" s="373"/>
      <c r="C12" s="360">
        <f t="shared" si="1"/>
        <v>2203</v>
      </c>
      <c r="D12" s="360"/>
      <c r="E12" s="360"/>
      <c r="F12" s="372"/>
      <c r="G12" s="372"/>
      <c r="H12" s="372"/>
      <c r="J12" s="173" t="s">
        <v>468</v>
      </c>
      <c r="K12" s="173" t="s">
        <v>442</v>
      </c>
      <c r="L12" s="172">
        <v>12534</v>
      </c>
      <c r="M12" s="172">
        <v>4128</v>
      </c>
    </row>
    <row r="13" spans="1:13" ht="20.25" customHeight="1">
      <c r="A13" s="373" t="str">
        <f t="shared" si="0"/>
        <v>2013-07</v>
      </c>
      <c r="B13" s="373"/>
      <c r="C13" s="360">
        <f t="shared" si="1"/>
        <v>4132</v>
      </c>
      <c r="D13" s="360"/>
      <c r="E13" s="360"/>
      <c r="F13" s="372"/>
      <c r="G13" s="372"/>
      <c r="H13" s="372"/>
      <c r="J13" s="173" t="s">
        <v>467</v>
      </c>
      <c r="K13" s="173" t="s">
        <v>442</v>
      </c>
      <c r="L13" s="172">
        <v>13240</v>
      </c>
      <c r="M13" s="172">
        <v>3388</v>
      </c>
    </row>
    <row r="14" spans="1:13" ht="20.25" customHeight="1">
      <c r="A14" s="373" t="str">
        <f t="shared" si="0"/>
        <v>2013-08</v>
      </c>
      <c r="B14" s="373"/>
      <c r="C14" s="360">
        <f t="shared" si="1"/>
        <v>4113</v>
      </c>
      <c r="D14" s="360"/>
      <c r="E14" s="360"/>
      <c r="F14" s="372"/>
      <c r="G14" s="372"/>
      <c r="H14" s="372"/>
      <c r="J14" s="173" t="s">
        <v>466</v>
      </c>
      <c r="K14" s="173" t="s">
        <v>442</v>
      </c>
      <c r="L14" s="172">
        <v>13975</v>
      </c>
      <c r="M14" s="172">
        <v>3528</v>
      </c>
    </row>
    <row r="15" spans="1:13" ht="20.25" customHeight="1">
      <c r="A15" s="373" t="str">
        <f t="shared" si="0"/>
        <v>2013-09</v>
      </c>
      <c r="B15" s="373"/>
      <c r="C15" s="360">
        <f t="shared" si="1"/>
        <v>5395</v>
      </c>
      <c r="D15" s="360"/>
      <c r="E15" s="360"/>
      <c r="F15" s="372"/>
      <c r="G15" s="372"/>
      <c r="H15" s="372"/>
      <c r="J15" s="173" t="s">
        <v>465</v>
      </c>
      <c r="K15" s="173" t="s">
        <v>442</v>
      </c>
      <c r="L15" s="172">
        <v>14769</v>
      </c>
      <c r="M15" s="172">
        <v>3811</v>
      </c>
    </row>
    <row r="16" spans="1:13" ht="20.25" customHeight="1">
      <c r="A16" s="373" t="str">
        <f t="shared" si="0"/>
        <v>2013-10</v>
      </c>
      <c r="B16" s="373"/>
      <c r="C16" s="360">
        <f t="shared" si="1"/>
        <v>4128</v>
      </c>
      <c r="D16" s="360"/>
      <c r="E16" s="360"/>
      <c r="F16" s="372"/>
      <c r="G16" s="372"/>
      <c r="H16" s="372"/>
      <c r="J16" s="173" t="s">
        <v>464</v>
      </c>
      <c r="K16" s="173" t="s">
        <v>442</v>
      </c>
      <c r="L16" s="172">
        <v>15453</v>
      </c>
      <c r="M16" s="172">
        <v>3283</v>
      </c>
    </row>
    <row r="17" spans="1:13" ht="20.25" customHeight="1">
      <c r="A17" s="373" t="str">
        <f t="shared" si="0"/>
        <v>2013-11</v>
      </c>
      <c r="B17" s="373"/>
      <c r="C17" s="360">
        <f t="shared" si="1"/>
        <v>3388</v>
      </c>
      <c r="D17" s="360"/>
      <c r="E17" s="360"/>
      <c r="F17" s="372"/>
      <c r="G17" s="372"/>
      <c r="H17" s="372"/>
      <c r="J17" s="173" t="s">
        <v>463</v>
      </c>
      <c r="K17" s="173" t="s">
        <v>442</v>
      </c>
      <c r="L17" s="172">
        <v>16298</v>
      </c>
      <c r="M17" s="172">
        <v>4056</v>
      </c>
    </row>
    <row r="18" spans="1:13" ht="20.25" customHeight="1">
      <c r="A18" s="373" t="str">
        <f t="shared" si="0"/>
        <v>2013-12</v>
      </c>
      <c r="B18" s="373"/>
      <c r="C18" s="360">
        <f t="shared" si="1"/>
        <v>3528</v>
      </c>
      <c r="D18" s="360"/>
      <c r="E18" s="360"/>
      <c r="F18" s="372"/>
      <c r="G18" s="372"/>
      <c r="H18" s="372"/>
      <c r="J18" s="173" t="s">
        <v>462</v>
      </c>
      <c r="K18" s="173" t="s">
        <v>442</v>
      </c>
      <c r="L18" s="172">
        <v>17064</v>
      </c>
      <c r="M18" s="172">
        <v>3676</v>
      </c>
    </row>
    <row r="19" spans="1:13" ht="20.25" customHeight="1">
      <c r="A19" s="373" t="str">
        <f t="shared" si="0"/>
        <v>2014-01</v>
      </c>
      <c r="B19" s="373"/>
      <c r="C19" s="360">
        <f t="shared" si="1"/>
        <v>3811</v>
      </c>
      <c r="D19" s="360"/>
      <c r="E19" s="360"/>
      <c r="F19" s="372"/>
      <c r="G19" s="372"/>
      <c r="H19" s="372"/>
      <c r="J19" s="173" t="s">
        <v>461</v>
      </c>
      <c r="K19" s="173" t="s">
        <v>442</v>
      </c>
      <c r="L19" s="172">
        <v>17790</v>
      </c>
      <c r="M19" s="172">
        <v>3484</v>
      </c>
    </row>
    <row r="20" spans="1:13" ht="20.25" customHeight="1">
      <c r="A20" s="373" t="str">
        <f t="shared" si="0"/>
        <v>2014-02</v>
      </c>
      <c r="B20" s="373"/>
      <c r="C20" s="360">
        <f t="shared" si="1"/>
        <v>3283</v>
      </c>
      <c r="D20" s="360"/>
      <c r="E20" s="360"/>
      <c r="F20" s="372"/>
      <c r="G20" s="372"/>
      <c r="H20" s="372"/>
      <c r="J20" s="173" t="s">
        <v>460</v>
      </c>
      <c r="K20" s="173" t="s">
        <v>442</v>
      </c>
      <c r="L20" s="172">
        <v>18512</v>
      </c>
      <c r="M20" s="172">
        <v>3465</v>
      </c>
    </row>
    <row r="21" spans="1:13" ht="20.25" customHeight="1">
      <c r="A21" s="373" t="str">
        <f t="shared" si="0"/>
        <v>2014-03</v>
      </c>
      <c r="B21" s="373"/>
      <c r="C21" s="360">
        <f t="shared" si="1"/>
        <v>4056</v>
      </c>
      <c r="D21" s="360"/>
      <c r="E21" s="360"/>
      <c r="F21" s="372"/>
      <c r="G21" s="372"/>
      <c r="H21" s="372"/>
      <c r="J21" s="173" t="s">
        <v>459</v>
      </c>
      <c r="K21" s="173" t="s">
        <v>442</v>
      </c>
      <c r="L21" s="172">
        <v>19593</v>
      </c>
      <c r="M21" s="172">
        <v>5188</v>
      </c>
    </row>
    <row r="22" spans="1:13" ht="20.25" customHeight="1">
      <c r="A22" s="373" t="str">
        <f t="shared" si="0"/>
        <v>2014-04</v>
      </c>
      <c r="B22" s="373"/>
      <c r="C22" s="360">
        <f t="shared" si="1"/>
        <v>3676</v>
      </c>
      <c r="D22" s="360"/>
      <c r="E22" s="360"/>
      <c r="F22" s="372"/>
      <c r="G22" s="372"/>
      <c r="H22" s="372"/>
      <c r="J22" s="173" t="s">
        <v>458</v>
      </c>
      <c r="K22" s="173" t="s">
        <v>442</v>
      </c>
      <c r="L22" s="172">
        <v>20566</v>
      </c>
      <c r="M22" s="172">
        <v>4670</v>
      </c>
    </row>
    <row r="23" spans="1:13" ht="20.25" customHeight="1">
      <c r="A23" s="373" t="str">
        <f t="shared" si="0"/>
        <v>2014-05</v>
      </c>
      <c r="B23" s="373"/>
      <c r="C23" s="360">
        <f t="shared" si="1"/>
        <v>3484</v>
      </c>
      <c r="D23" s="360"/>
      <c r="E23" s="360"/>
      <c r="F23" s="372"/>
      <c r="G23" s="372"/>
      <c r="H23" s="372"/>
      <c r="J23" s="173" t="s">
        <v>457</v>
      </c>
      <c r="K23" s="173" t="s">
        <v>442</v>
      </c>
      <c r="L23" s="172">
        <v>21179</v>
      </c>
      <c r="M23" s="172">
        <v>2942</v>
      </c>
    </row>
    <row r="24" spans="1:13" ht="20.25" customHeight="1">
      <c r="A24" s="373" t="str">
        <f t="shared" si="0"/>
        <v>2014-06</v>
      </c>
      <c r="B24" s="373"/>
      <c r="C24" s="360">
        <f t="shared" si="1"/>
        <v>3465</v>
      </c>
      <c r="D24" s="360"/>
      <c r="E24" s="360"/>
      <c r="F24" s="372"/>
      <c r="G24" s="372"/>
      <c r="H24" s="372"/>
      <c r="J24" s="173" t="s">
        <v>456</v>
      </c>
      <c r="K24" s="173" t="s">
        <v>442</v>
      </c>
      <c r="L24" s="172">
        <v>22019</v>
      </c>
      <c r="M24" s="172">
        <v>4032</v>
      </c>
    </row>
    <row r="25" spans="1:13" ht="20.25" customHeight="1">
      <c r="A25" s="373" t="str">
        <f t="shared" si="0"/>
        <v>2014-07</v>
      </c>
      <c r="B25" s="373"/>
      <c r="C25" s="360">
        <f t="shared" si="1"/>
        <v>5188</v>
      </c>
      <c r="D25" s="360"/>
      <c r="E25" s="360"/>
      <c r="F25" s="372"/>
      <c r="G25" s="372"/>
      <c r="H25" s="372"/>
      <c r="J25" s="173" t="s">
        <v>455</v>
      </c>
      <c r="K25" s="173" t="s">
        <v>442</v>
      </c>
      <c r="L25" s="172">
        <v>22749</v>
      </c>
      <c r="M25" s="172">
        <v>3504</v>
      </c>
    </row>
    <row r="26" spans="1:13" ht="20.25" customHeight="1">
      <c r="A26" s="373" t="str">
        <f t="shared" si="0"/>
        <v>2014-08</v>
      </c>
      <c r="B26" s="373"/>
      <c r="C26" s="360">
        <f t="shared" si="1"/>
        <v>4670</v>
      </c>
      <c r="D26" s="360"/>
      <c r="E26" s="360"/>
      <c r="F26" s="372"/>
      <c r="G26" s="372"/>
      <c r="H26" s="372"/>
      <c r="J26" s="173" t="s">
        <v>454</v>
      </c>
      <c r="K26" s="173" t="s">
        <v>442</v>
      </c>
      <c r="L26" s="172">
        <v>23210</v>
      </c>
      <c r="M26" s="172">
        <v>2212</v>
      </c>
    </row>
    <row r="27" spans="1:13" ht="20.25" customHeight="1">
      <c r="A27" s="373" t="str">
        <f t="shared" si="0"/>
        <v>2014-09</v>
      </c>
      <c r="B27" s="373"/>
      <c r="C27" s="360">
        <f t="shared" si="1"/>
        <v>2942</v>
      </c>
      <c r="D27" s="360"/>
      <c r="E27" s="360"/>
      <c r="F27" s="372"/>
      <c r="G27" s="372"/>
      <c r="H27" s="372"/>
      <c r="J27" s="173" t="s">
        <v>453</v>
      </c>
      <c r="K27" s="173" t="s">
        <v>442</v>
      </c>
      <c r="L27" s="172">
        <v>23561</v>
      </c>
      <c r="M27" s="172">
        <v>1684</v>
      </c>
    </row>
    <row r="28" spans="1:13" ht="20.25" customHeight="1">
      <c r="A28" s="373" t="str">
        <f t="shared" si="0"/>
        <v>2014-10</v>
      </c>
      <c r="B28" s="373"/>
      <c r="C28" s="360">
        <f t="shared" si="1"/>
        <v>4032</v>
      </c>
      <c r="D28" s="360"/>
      <c r="E28" s="360"/>
      <c r="F28" s="372"/>
      <c r="G28" s="372"/>
      <c r="H28" s="372"/>
      <c r="J28" s="173" t="s">
        <v>452</v>
      </c>
      <c r="K28" s="173" t="s">
        <v>442</v>
      </c>
      <c r="L28" s="172">
        <v>24103</v>
      </c>
      <c r="M28" s="172">
        <v>2601</v>
      </c>
    </row>
    <row r="29" spans="1:13" ht="20.25" customHeight="1">
      <c r="A29" s="373" t="str">
        <f t="shared" si="0"/>
        <v>2014-11</v>
      </c>
      <c r="B29" s="373"/>
      <c r="C29" s="360">
        <f t="shared" si="1"/>
        <v>3504</v>
      </c>
      <c r="D29" s="360"/>
      <c r="E29" s="360"/>
      <c r="F29" s="372"/>
      <c r="G29" s="372"/>
      <c r="H29" s="372"/>
      <c r="J29" s="173" t="s">
        <v>451</v>
      </c>
      <c r="K29" s="173" t="s">
        <v>442</v>
      </c>
      <c r="L29" s="172">
        <v>24566</v>
      </c>
      <c r="M29" s="172">
        <v>2222</v>
      </c>
    </row>
    <row r="30" spans="1:13" ht="20.25" customHeight="1">
      <c r="A30" s="373" t="str">
        <f t="shared" si="0"/>
        <v>2014-12</v>
      </c>
      <c r="B30" s="373"/>
      <c r="C30" s="360">
        <f t="shared" si="1"/>
        <v>2212</v>
      </c>
      <c r="D30" s="360"/>
      <c r="E30" s="360"/>
      <c r="F30" s="372"/>
      <c r="G30" s="372"/>
      <c r="H30" s="372"/>
      <c r="J30" s="173" t="s">
        <v>450</v>
      </c>
      <c r="K30" s="173" t="s">
        <v>442</v>
      </c>
      <c r="L30" s="172">
        <v>25130</v>
      </c>
      <c r="M30" s="172">
        <v>2707</v>
      </c>
    </row>
    <row r="31" spans="1:13" ht="20.25" customHeight="1">
      <c r="A31" s="373" t="str">
        <f t="shared" si="0"/>
        <v>2015-01</v>
      </c>
      <c r="B31" s="373"/>
      <c r="C31" s="360">
        <f t="shared" si="1"/>
        <v>1684</v>
      </c>
      <c r="D31" s="360"/>
      <c r="E31" s="360"/>
      <c r="F31" s="372"/>
      <c r="G31" s="372"/>
      <c r="H31" s="372"/>
      <c r="J31" s="173" t="s">
        <v>449</v>
      </c>
      <c r="K31" s="173" t="s">
        <v>442</v>
      </c>
      <c r="L31" s="172">
        <v>25814</v>
      </c>
      <c r="M31" s="172">
        <v>3283</v>
      </c>
    </row>
    <row r="32" spans="1:13" ht="20.25" customHeight="1">
      <c r="A32" s="373" t="str">
        <f t="shared" si="0"/>
        <v>2015-02</v>
      </c>
      <c r="B32" s="373"/>
      <c r="C32" s="360">
        <f t="shared" si="1"/>
        <v>2601</v>
      </c>
      <c r="D32" s="360"/>
      <c r="E32" s="360"/>
      <c r="F32" s="372"/>
      <c r="G32" s="372"/>
      <c r="H32" s="372"/>
      <c r="J32" s="173" t="s">
        <v>448</v>
      </c>
      <c r="K32" s="173" t="s">
        <v>442</v>
      </c>
      <c r="L32" s="172">
        <v>26572</v>
      </c>
      <c r="M32" s="172">
        <v>3638</v>
      </c>
    </row>
    <row r="33" spans="1:13" ht="20.25" customHeight="1">
      <c r="A33" s="373" t="str">
        <f t="shared" si="0"/>
        <v>2015-03</v>
      </c>
      <c r="B33" s="373"/>
      <c r="C33" s="360">
        <f t="shared" si="1"/>
        <v>2222</v>
      </c>
      <c r="D33" s="360"/>
      <c r="E33" s="360"/>
      <c r="F33" s="372"/>
      <c r="G33" s="372"/>
      <c r="H33" s="372"/>
      <c r="J33" s="173" t="s">
        <v>447</v>
      </c>
      <c r="K33" s="173" t="s">
        <v>442</v>
      </c>
      <c r="L33" s="172">
        <v>27362</v>
      </c>
      <c r="M33" s="172">
        <v>3792</v>
      </c>
    </row>
    <row r="34" spans="1:13" ht="20.25" customHeight="1">
      <c r="A34" s="373" t="str">
        <f t="shared" si="0"/>
        <v>2015-04</v>
      </c>
      <c r="B34" s="373"/>
      <c r="C34" s="360">
        <f t="shared" si="1"/>
        <v>2707</v>
      </c>
      <c r="D34" s="360"/>
      <c r="E34" s="360"/>
      <c r="F34" s="372"/>
      <c r="G34" s="372"/>
      <c r="H34" s="372"/>
      <c r="J34" s="173" t="s">
        <v>446</v>
      </c>
      <c r="K34" s="173" t="s">
        <v>442</v>
      </c>
      <c r="L34" s="172">
        <v>28369</v>
      </c>
      <c r="M34" s="172">
        <v>4833</v>
      </c>
    </row>
    <row r="35" spans="1:13" ht="20.25" customHeight="1">
      <c r="A35" s="373" t="str">
        <f t="shared" si="0"/>
        <v>2015-05</v>
      </c>
      <c r="B35" s="373"/>
      <c r="C35" s="360">
        <f t="shared" si="1"/>
        <v>3283</v>
      </c>
      <c r="D35" s="360"/>
      <c r="E35" s="360"/>
      <c r="F35" s="372"/>
      <c r="G35" s="372"/>
      <c r="H35" s="372"/>
      <c r="J35" s="173" t="s">
        <v>445</v>
      </c>
      <c r="K35" s="173" t="s">
        <v>442</v>
      </c>
      <c r="L35" s="172">
        <v>29366</v>
      </c>
      <c r="M35" s="172">
        <v>4785</v>
      </c>
    </row>
    <row r="36" spans="1:13" ht="20.25" customHeight="1">
      <c r="A36" s="373" t="str">
        <f t="shared" si="0"/>
        <v>2015-06</v>
      </c>
      <c r="B36" s="373"/>
      <c r="C36" s="360">
        <f t="shared" si="1"/>
        <v>3638</v>
      </c>
      <c r="D36" s="360"/>
      <c r="E36" s="360"/>
      <c r="F36" s="372"/>
      <c r="G36" s="372"/>
      <c r="H36" s="372"/>
      <c r="J36" s="173" t="s">
        <v>444</v>
      </c>
      <c r="K36" s="173" t="s">
        <v>442</v>
      </c>
      <c r="L36" s="172">
        <v>30058</v>
      </c>
      <c r="M36" s="172">
        <v>3321</v>
      </c>
    </row>
    <row r="37" spans="1:13" ht="20.25" customHeight="1">
      <c r="A37" s="373" t="str">
        <f t="shared" si="0"/>
        <v>2015-07</v>
      </c>
      <c r="B37" s="373"/>
      <c r="C37" s="360">
        <f t="shared" si="1"/>
        <v>3792</v>
      </c>
      <c r="D37" s="360"/>
      <c r="E37" s="360"/>
      <c r="F37" s="372"/>
      <c r="G37" s="372"/>
      <c r="H37" s="372"/>
      <c r="J37" s="173" t="s">
        <v>443</v>
      </c>
      <c r="K37" s="173" t="s">
        <v>442</v>
      </c>
      <c r="L37" s="172">
        <v>30773</v>
      </c>
      <c r="M37" s="172">
        <v>3432</v>
      </c>
    </row>
    <row r="38" spans="1:13" ht="20.25" customHeight="1">
      <c r="A38" s="373" t="str">
        <f t="shared" si="0"/>
        <v>2015-08</v>
      </c>
      <c r="B38" s="373"/>
      <c r="C38" s="360">
        <f t="shared" si="1"/>
        <v>4833</v>
      </c>
      <c r="D38" s="360"/>
      <c r="E38" s="360"/>
      <c r="F38" s="372"/>
      <c r="G38" s="372"/>
      <c r="H38" s="372"/>
      <c r="J38" s="173" t="s">
        <v>478</v>
      </c>
      <c r="K38" s="173" t="s">
        <v>442</v>
      </c>
      <c r="L38" s="172">
        <v>31574</v>
      </c>
      <c r="M38" s="172">
        <v>3844</v>
      </c>
    </row>
    <row r="39" spans="1:13" ht="20.25" customHeight="1">
      <c r="A39" s="373" t="str">
        <f t="shared" si="0"/>
        <v>2015-09</v>
      </c>
      <c r="B39" s="373"/>
      <c r="C39" s="360">
        <f t="shared" si="1"/>
        <v>4785</v>
      </c>
      <c r="D39" s="360"/>
      <c r="E39" s="360"/>
      <c r="F39" s="372"/>
      <c r="G39" s="372"/>
      <c r="H39" s="372"/>
      <c r="J39" s="173"/>
      <c r="K39" s="173"/>
      <c r="L39" s="172"/>
      <c r="M39" s="172"/>
    </row>
    <row r="40" spans="1:13" ht="20.25" customHeight="1">
      <c r="A40" s="373" t="str">
        <f t="shared" si="0"/>
        <v>2015-10</v>
      </c>
      <c r="B40" s="373"/>
      <c r="C40" s="360">
        <f t="shared" si="1"/>
        <v>3321</v>
      </c>
      <c r="D40" s="360"/>
      <c r="E40" s="360"/>
      <c r="F40" s="372"/>
      <c r="G40" s="372"/>
      <c r="H40" s="372"/>
      <c r="J40" s="173"/>
      <c r="K40" s="173"/>
      <c r="L40" s="172"/>
      <c r="M40" s="172"/>
    </row>
    <row r="41" spans="1:13" ht="20.25" customHeight="1">
      <c r="A41" s="373" t="str">
        <f t="shared" si="0"/>
        <v>2015-11</v>
      </c>
      <c r="B41" s="373"/>
      <c r="C41" s="360">
        <f t="shared" si="1"/>
        <v>3432</v>
      </c>
      <c r="D41" s="360"/>
      <c r="E41" s="360"/>
      <c r="F41" s="372"/>
      <c r="G41" s="372"/>
      <c r="H41" s="372"/>
      <c r="J41" s="173"/>
      <c r="K41" s="173"/>
      <c r="L41" s="172"/>
      <c r="M41" s="172"/>
    </row>
    <row r="42" spans="1:13" ht="20.25" customHeight="1">
      <c r="A42" s="373" t="str">
        <f t="shared" si="0"/>
        <v>2015-12</v>
      </c>
      <c r="B42" s="373"/>
      <c r="C42" s="360">
        <f t="shared" si="1"/>
        <v>3844</v>
      </c>
      <c r="D42" s="360"/>
      <c r="E42" s="360"/>
      <c r="F42" s="372"/>
      <c r="G42" s="372"/>
      <c r="H42" s="372"/>
      <c r="J42" s="173"/>
      <c r="K42" s="173"/>
      <c r="L42" s="172"/>
      <c r="M42" s="172"/>
    </row>
    <row r="43" spans="1:13" ht="20.100000000000001" customHeight="1">
      <c r="A43" s="32"/>
      <c r="B43" s="32"/>
      <c r="C43" s="33"/>
      <c r="D43" s="33"/>
      <c r="E43" s="33"/>
      <c r="F43" s="33"/>
      <c r="G43" s="14"/>
      <c r="H43" s="14"/>
    </row>
    <row r="44" spans="1:13" ht="24.95" customHeight="1">
      <c r="A44" s="5" t="s">
        <v>195</v>
      </c>
    </row>
    <row r="45" spans="1:13" ht="24.95" customHeight="1">
      <c r="A45" s="5" t="s">
        <v>194</v>
      </c>
    </row>
    <row r="46" spans="1:13" ht="24.95" customHeight="1">
      <c r="A46" s="361" t="s">
        <v>196</v>
      </c>
      <c r="B46" s="361"/>
      <c r="C46" s="361"/>
      <c r="D46" s="361"/>
      <c r="E46" s="361"/>
      <c r="F46" s="361"/>
      <c r="G46" s="29"/>
      <c r="H46" s="29"/>
    </row>
    <row r="47" spans="1:13" ht="24.95" customHeight="1">
      <c r="A47" s="367" t="s">
        <v>487</v>
      </c>
      <c r="B47" s="367"/>
      <c r="C47" s="367" t="str">
        <f>C59</f>
        <v>홍성교도소</v>
      </c>
      <c r="D47" s="367"/>
      <c r="E47" s="367" t="s">
        <v>488</v>
      </c>
      <c r="F47" s="367"/>
    </row>
    <row r="48" spans="1:13" ht="24.95" customHeight="1">
      <c r="A48" s="372" t="s">
        <v>480</v>
      </c>
      <c r="B48" s="372"/>
      <c r="C48" s="368">
        <f>SUM(C7:D18)</f>
        <v>42768</v>
      </c>
      <c r="D48" s="369"/>
      <c r="E48" s="362"/>
      <c r="F48" s="362"/>
    </row>
    <row r="49" spans="1:9" ht="24.95" customHeight="1">
      <c r="A49" s="372" t="s">
        <v>481</v>
      </c>
      <c r="B49" s="372"/>
      <c r="C49" s="368">
        <f>SUM(C19:D30)</f>
        <v>44323</v>
      </c>
      <c r="D49" s="369"/>
      <c r="E49" s="362"/>
      <c r="F49" s="362"/>
    </row>
    <row r="50" spans="1:9" ht="24.95" customHeight="1">
      <c r="A50" s="372" t="s">
        <v>482</v>
      </c>
      <c r="B50" s="372"/>
      <c r="C50" s="368">
        <f>SUM(C31:D42)</f>
        <v>40142</v>
      </c>
      <c r="D50" s="369"/>
      <c r="E50" s="362"/>
      <c r="F50" s="362"/>
    </row>
    <row r="51" spans="1:9" ht="24.95" customHeight="1">
      <c r="A51" s="365" t="s">
        <v>197</v>
      </c>
      <c r="B51" s="366"/>
      <c r="C51" s="363">
        <f>AVERAGE(C48:D50)</f>
        <v>42411</v>
      </c>
      <c r="D51" s="364"/>
      <c r="E51" s="370"/>
      <c r="F51" s="371"/>
    </row>
    <row r="52" spans="1:9" ht="24.95" customHeight="1">
      <c r="A52" s="372" t="s">
        <v>233</v>
      </c>
      <c r="B52" s="372"/>
      <c r="C52" s="379">
        <f>AVERAGE(C7:D42)</f>
        <v>3534.25</v>
      </c>
      <c r="D52" s="372"/>
      <c r="E52" s="362"/>
      <c r="F52" s="362"/>
    </row>
    <row r="53" spans="1:9" ht="24.95" customHeight="1">
      <c r="A53" s="372" t="s">
        <v>234</v>
      </c>
      <c r="B53" s="372"/>
      <c r="C53" s="379">
        <f>MAX(C7:D42)</f>
        <v>5395</v>
      </c>
      <c r="D53" s="372"/>
      <c r="E53" s="362"/>
      <c r="F53" s="362"/>
    </row>
    <row r="54" spans="1:9" ht="24.95" customHeight="1">
      <c r="A54" s="372" t="s">
        <v>235</v>
      </c>
      <c r="B54" s="372"/>
      <c r="C54" s="376">
        <f>ROUND(C51/365,0)</f>
        <v>116</v>
      </c>
      <c r="D54" s="376"/>
      <c r="E54" s="362"/>
      <c r="F54" s="362"/>
    </row>
    <row r="55" spans="1:9" ht="24.95" customHeight="1">
      <c r="A55" s="372" t="s">
        <v>236</v>
      </c>
      <c r="B55" s="372"/>
      <c r="C55" s="376">
        <f>ROUND(C53/30,0)</f>
        <v>180</v>
      </c>
      <c r="D55" s="376"/>
      <c r="E55" s="362"/>
      <c r="F55" s="362"/>
    </row>
    <row r="56" spans="1:9" ht="24.95" customHeight="1">
      <c r="I56" s="31"/>
    </row>
    <row r="57" spans="1:9" ht="24.95" customHeight="1">
      <c r="A57" s="5" t="s">
        <v>237</v>
      </c>
    </row>
    <row r="58" spans="1:9" ht="24.95" customHeight="1">
      <c r="A58" s="361" t="s">
        <v>199</v>
      </c>
      <c r="B58" s="361"/>
      <c r="C58" s="361"/>
      <c r="D58" s="361"/>
      <c r="E58" s="361"/>
      <c r="F58" s="361"/>
      <c r="G58" s="29"/>
      <c r="H58" s="29"/>
    </row>
    <row r="59" spans="1:9" ht="24.95" customHeight="1">
      <c r="A59" s="367" t="s">
        <v>25</v>
      </c>
      <c r="B59" s="367"/>
      <c r="C59" s="367" t="s">
        <v>485</v>
      </c>
      <c r="D59" s="367"/>
      <c r="E59" s="367" t="s">
        <v>486</v>
      </c>
      <c r="F59" s="367"/>
    </row>
    <row r="60" spans="1:9" ht="24.95" customHeight="1">
      <c r="A60" s="372" t="s">
        <v>238</v>
      </c>
      <c r="B60" s="372"/>
      <c r="C60" s="376">
        <f>C54</f>
        <v>116</v>
      </c>
      <c r="D60" s="372"/>
      <c r="E60" s="372"/>
      <c r="F60" s="372"/>
    </row>
    <row r="61" spans="1:9" ht="24.95" customHeight="1">
      <c r="A61" s="389" t="s">
        <v>483</v>
      </c>
      <c r="B61" s="389"/>
      <c r="C61" s="376">
        <f>ROUND(C54/E61,0)</f>
        <v>136</v>
      </c>
      <c r="D61" s="376"/>
      <c r="E61" s="390">
        <v>0.85</v>
      </c>
      <c r="F61" s="391"/>
    </row>
    <row r="62" spans="1:9" ht="24.95" customHeight="1">
      <c r="A62" s="378" t="s">
        <v>484</v>
      </c>
      <c r="B62" s="378"/>
      <c r="C62" s="377">
        <f>ROUND(C61*E62,0)</f>
        <v>184</v>
      </c>
      <c r="D62" s="378"/>
      <c r="E62" s="374">
        <v>1.35</v>
      </c>
      <c r="F62" s="375"/>
    </row>
    <row r="63" spans="1:9" ht="24.95" customHeight="1"/>
    <row r="64" spans="1:9" ht="20.100000000000001" customHeight="1">
      <c r="A64" s="380" t="s">
        <v>202</v>
      </c>
      <c r="B64" s="380"/>
      <c r="C64" s="380"/>
      <c r="D64" s="380"/>
      <c r="E64" s="380"/>
      <c r="F64" s="380"/>
      <c r="G64" s="380"/>
      <c r="H64" s="380"/>
    </row>
    <row r="65" spans="1:11" ht="20.100000000000001" customHeight="1">
      <c r="A65" s="34"/>
      <c r="B65" s="34"/>
      <c r="C65" s="34"/>
      <c r="D65" s="34"/>
      <c r="G65" s="34"/>
      <c r="H65" s="35" t="s">
        <v>201</v>
      </c>
    </row>
    <row r="66" spans="1:11" ht="20.100000000000001" customHeight="1">
      <c r="A66" s="367" t="s">
        <v>220</v>
      </c>
      <c r="B66" s="367"/>
      <c r="C66" s="84" t="s">
        <v>337</v>
      </c>
      <c r="D66" s="84" t="s">
        <v>338</v>
      </c>
      <c r="E66" s="84" t="s">
        <v>326</v>
      </c>
      <c r="F66" s="84" t="s">
        <v>327</v>
      </c>
      <c r="G66" s="387" t="s">
        <v>26</v>
      </c>
      <c r="H66" s="388"/>
    </row>
    <row r="67" spans="1:11" ht="20.100000000000001" customHeight="1">
      <c r="A67" s="378" t="s">
        <v>205</v>
      </c>
      <c r="B67" s="85" t="s">
        <v>203</v>
      </c>
      <c r="C67" s="91">
        <f>C61</f>
        <v>136</v>
      </c>
      <c r="D67" s="91">
        <f t="shared" ref="D67:F68" si="2">C67</f>
        <v>136</v>
      </c>
      <c r="E67" s="91">
        <f t="shared" si="2"/>
        <v>136</v>
      </c>
      <c r="F67" s="91">
        <f t="shared" si="2"/>
        <v>136</v>
      </c>
      <c r="G67" s="381">
        <v>1.35</v>
      </c>
      <c r="H67" s="382"/>
    </row>
    <row r="68" spans="1:11" ht="20.100000000000001" customHeight="1">
      <c r="A68" s="378"/>
      <c r="B68" s="85" t="s">
        <v>204</v>
      </c>
      <c r="C68" s="91">
        <f>C62</f>
        <v>184</v>
      </c>
      <c r="D68" s="91">
        <f t="shared" si="2"/>
        <v>184</v>
      </c>
      <c r="E68" s="91">
        <f t="shared" si="2"/>
        <v>184</v>
      </c>
      <c r="F68" s="91">
        <f t="shared" si="2"/>
        <v>184</v>
      </c>
      <c r="G68" s="383"/>
      <c r="H68" s="384"/>
    </row>
    <row r="69" spans="1:11" ht="20.100000000000001" customHeight="1">
      <c r="A69" s="77"/>
      <c r="B69" s="77"/>
      <c r="C69" s="385"/>
      <c r="D69" s="386"/>
      <c r="E69" s="385"/>
      <c r="F69" s="386"/>
      <c r="G69" s="77"/>
      <c r="H69" s="77"/>
    </row>
    <row r="70" spans="1:11" ht="20.100000000000001" customHeight="1">
      <c r="A70" s="77"/>
      <c r="B70" s="77"/>
      <c r="C70" s="78"/>
      <c r="D70" s="78"/>
      <c r="E70" s="78"/>
      <c r="F70" s="78"/>
      <c r="G70" s="77"/>
      <c r="H70" s="77"/>
    </row>
    <row r="71" spans="1:11" ht="20.100000000000001" customHeight="1">
      <c r="A71" s="77"/>
      <c r="B71" s="77"/>
      <c r="C71" s="14"/>
      <c r="D71" s="14"/>
      <c r="E71" s="14"/>
      <c r="F71" s="14"/>
      <c r="G71" s="77"/>
      <c r="H71" s="77"/>
    </row>
    <row r="72" spans="1:11" ht="20.100000000000001" customHeight="1">
      <c r="J72" s="14"/>
      <c r="K72" s="14"/>
    </row>
    <row r="73" spans="1:11" ht="20.100000000000001" customHeight="1">
      <c r="J73" s="79"/>
      <c r="K73" s="14"/>
    </row>
    <row r="74" spans="1:11" ht="20.100000000000001" customHeight="1">
      <c r="J74" s="80"/>
      <c r="K74" s="14"/>
    </row>
  </sheetData>
  <mergeCells count="160">
    <mergeCell ref="A66:B66"/>
    <mergeCell ref="A50:B50"/>
    <mergeCell ref="A62:B62"/>
    <mergeCell ref="A54:B54"/>
    <mergeCell ref="A55:B55"/>
    <mergeCell ref="A67:A68"/>
    <mergeCell ref="G67:H68"/>
    <mergeCell ref="A64:H64"/>
    <mergeCell ref="C69:D69"/>
    <mergeCell ref="E69:F69"/>
    <mergeCell ref="G66:H66"/>
    <mergeCell ref="A61:B61"/>
    <mergeCell ref="E61:F61"/>
    <mergeCell ref="C61:D61"/>
    <mergeCell ref="A4:H4"/>
    <mergeCell ref="A47:B47"/>
    <mergeCell ref="E47:F47"/>
    <mergeCell ref="A48:B48"/>
    <mergeCell ref="C48:D48"/>
    <mergeCell ref="A49:B49"/>
    <mergeCell ref="C49:D49"/>
    <mergeCell ref="A19:B19"/>
    <mergeCell ref="A20:B20"/>
    <mergeCell ref="A21:B21"/>
    <mergeCell ref="A12:B12"/>
    <mergeCell ref="A13:B13"/>
    <mergeCell ref="A14:B14"/>
    <mergeCell ref="A6:B6"/>
    <mergeCell ref="A7:B7"/>
    <mergeCell ref="A8:B8"/>
    <mergeCell ref="A10:B10"/>
    <mergeCell ref="A9:B9"/>
    <mergeCell ref="A11:B11"/>
    <mergeCell ref="A22:B22"/>
    <mergeCell ref="A15:B15"/>
    <mergeCell ref="A16:B16"/>
    <mergeCell ref="A17:B17"/>
    <mergeCell ref="A18:B18"/>
    <mergeCell ref="A25:B25"/>
    <mergeCell ref="A26:B26"/>
    <mergeCell ref="A23:B23"/>
    <mergeCell ref="A24:B24"/>
    <mergeCell ref="A59:B59"/>
    <mergeCell ref="C59:D59"/>
    <mergeCell ref="E59:F59"/>
    <mergeCell ref="E62:F62"/>
    <mergeCell ref="E60:F60"/>
    <mergeCell ref="A60:B60"/>
    <mergeCell ref="C60:D60"/>
    <mergeCell ref="C62:D62"/>
    <mergeCell ref="C52:D52"/>
    <mergeCell ref="C53:D53"/>
    <mergeCell ref="C54:D54"/>
    <mergeCell ref="C55:D55"/>
    <mergeCell ref="A53:B53"/>
    <mergeCell ref="A52:B52"/>
    <mergeCell ref="A35:B35"/>
    <mergeCell ref="A36:B36"/>
    <mergeCell ref="A33:B33"/>
    <mergeCell ref="A34:B34"/>
    <mergeCell ref="A31:B31"/>
    <mergeCell ref="A32:B32"/>
    <mergeCell ref="F40:H40"/>
    <mergeCell ref="F41:H41"/>
    <mergeCell ref="F42:H42"/>
    <mergeCell ref="A41:B41"/>
    <mergeCell ref="A42:B42"/>
    <mergeCell ref="A39:B39"/>
    <mergeCell ref="A40:B40"/>
    <mergeCell ref="A37:B37"/>
    <mergeCell ref="A38:B38"/>
    <mergeCell ref="C37:E37"/>
    <mergeCell ref="C38:E38"/>
    <mergeCell ref="C39:E39"/>
    <mergeCell ref="F39:H39"/>
    <mergeCell ref="F35:H35"/>
    <mergeCell ref="F36:H36"/>
    <mergeCell ref="F27:H27"/>
    <mergeCell ref="F28:H28"/>
    <mergeCell ref="F29:H29"/>
    <mergeCell ref="F30:H30"/>
    <mergeCell ref="F34:H34"/>
    <mergeCell ref="A29:B29"/>
    <mergeCell ref="A30:B30"/>
    <mergeCell ref="A27:B27"/>
    <mergeCell ref="A28:B28"/>
    <mergeCell ref="C36:E36"/>
    <mergeCell ref="C29:E29"/>
    <mergeCell ref="C30:E30"/>
    <mergeCell ref="C31:E31"/>
    <mergeCell ref="C32:E32"/>
    <mergeCell ref="C33:E33"/>
    <mergeCell ref="C34:E34"/>
    <mergeCell ref="C35:E3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C6:E6"/>
    <mergeCell ref="C7:E7"/>
    <mergeCell ref="C8:E8"/>
    <mergeCell ref="C9:E9"/>
    <mergeCell ref="C10:E10"/>
    <mergeCell ref="E48:F48"/>
    <mergeCell ref="C18:E18"/>
    <mergeCell ref="C19:E19"/>
    <mergeCell ref="C20:E20"/>
    <mergeCell ref="C21:E21"/>
    <mergeCell ref="C11:E11"/>
    <mergeCell ref="C12:E12"/>
    <mergeCell ref="C13:E13"/>
    <mergeCell ref="C14:E14"/>
    <mergeCell ref="C15:E15"/>
    <mergeCell ref="C16:E16"/>
    <mergeCell ref="C17:E17"/>
    <mergeCell ref="C22:E22"/>
    <mergeCell ref="C23:E23"/>
    <mergeCell ref="C24:E24"/>
    <mergeCell ref="C25:E25"/>
    <mergeCell ref="F6:H6"/>
    <mergeCell ref="F7:H7"/>
    <mergeCell ref="F8:H8"/>
    <mergeCell ref="C26:E26"/>
    <mergeCell ref="C27:E27"/>
    <mergeCell ref="C28:E28"/>
    <mergeCell ref="A58:F58"/>
    <mergeCell ref="A46:F46"/>
    <mergeCell ref="E55:F55"/>
    <mergeCell ref="C51:D51"/>
    <mergeCell ref="A51:B51"/>
    <mergeCell ref="E53:F53"/>
    <mergeCell ref="C47:D47"/>
    <mergeCell ref="E54:F54"/>
    <mergeCell ref="E52:F52"/>
    <mergeCell ref="C50:D50"/>
    <mergeCell ref="E49:F49"/>
    <mergeCell ref="E50:F50"/>
    <mergeCell ref="E51:F51"/>
    <mergeCell ref="C40:E40"/>
    <mergeCell ref="C41:E41"/>
    <mergeCell ref="C42:E42"/>
    <mergeCell ref="F31:H31"/>
    <mergeCell ref="F32:H32"/>
    <mergeCell ref="F33:H33"/>
    <mergeCell ref="F37:H37"/>
    <mergeCell ref="F38:H38"/>
  </mergeCells>
  <phoneticPr fontId="2" type="noConversion"/>
  <pageMargins left="0.62" right="0.64" top="0.62" bottom="0.61" header="0.5" footer="0.5"/>
  <pageSetup paperSize="9" scale="87" orientation="portrait" r:id="rId1"/>
  <headerFooter alignWithMargins="0"/>
  <rowBreaks count="1" manualBreakCount="1">
    <brk id="4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M40" sqref="M40"/>
    </sheetView>
  </sheetViews>
  <sheetFormatPr defaultRowHeight="13.5"/>
  <sheetData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pane xSplit="5" ySplit="2" topLeftCell="K3" activePane="bottomRight" state="frozen"/>
      <selection pane="topRight" activeCell="F1" sqref="F1"/>
      <selection pane="bottomLeft" activeCell="A3" sqref="A3"/>
      <selection pane="bottomRight" activeCell="Q42" sqref="Q42:R44"/>
    </sheetView>
  </sheetViews>
  <sheetFormatPr defaultRowHeight="13.5"/>
  <cols>
    <col min="1" max="2" width="8.88671875" style="70"/>
    <col min="3" max="3" width="26.88671875" style="70" bestFit="1" customWidth="1"/>
    <col min="4" max="6" width="8.88671875" style="70"/>
    <col min="7" max="7" width="9.33203125" style="70" bestFit="1" customWidth="1"/>
    <col min="8" max="18" width="9" style="70" bestFit="1" customWidth="1"/>
    <col min="19" max="16384" width="8.88671875" style="70"/>
  </cols>
  <sheetData>
    <row r="1" spans="1:18">
      <c r="A1" s="396" t="s">
        <v>260</v>
      </c>
      <c r="B1" s="396" t="s">
        <v>261</v>
      </c>
      <c r="C1" s="396" t="s">
        <v>262</v>
      </c>
      <c r="D1" s="396" t="s">
        <v>263</v>
      </c>
      <c r="E1" s="396" t="s">
        <v>264</v>
      </c>
      <c r="F1" s="396" t="s">
        <v>265</v>
      </c>
      <c r="G1" s="396" t="s">
        <v>266</v>
      </c>
      <c r="H1" s="396" t="s">
        <v>267</v>
      </c>
      <c r="I1" s="396"/>
      <c r="J1" s="396"/>
      <c r="K1" s="396"/>
      <c r="L1" s="396"/>
      <c r="M1" s="396"/>
      <c r="N1" s="396"/>
      <c r="O1" s="396"/>
      <c r="P1" s="396"/>
      <c r="Q1" s="396"/>
      <c r="R1" s="396"/>
    </row>
    <row r="2" spans="1:18">
      <c r="A2" s="396"/>
      <c r="B2" s="396"/>
      <c r="C2" s="396"/>
      <c r="D2" s="396"/>
      <c r="E2" s="396"/>
      <c r="F2" s="396"/>
      <c r="G2" s="396"/>
      <c r="H2" s="71" t="s">
        <v>268</v>
      </c>
      <c r="I2" s="71" t="s">
        <v>269</v>
      </c>
      <c r="J2" s="71" t="s">
        <v>270</v>
      </c>
      <c r="K2" s="71" t="s">
        <v>271</v>
      </c>
      <c r="L2" s="71" t="s">
        <v>272</v>
      </c>
      <c r="M2" s="71" t="s">
        <v>208</v>
      </c>
      <c r="N2" s="71" t="s">
        <v>273</v>
      </c>
      <c r="O2" s="71" t="s">
        <v>274</v>
      </c>
      <c r="P2" s="71" t="s">
        <v>275</v>
      </c>
      <c r="Q2" s="71" t="s">
        <v>276</v>
      </c>
      <c r="R2" s="71" t="s">
        <v>209</v>
      </c>
    </row>
    <row r="3" spans="1:18">
      <c r="A3" s="393" t="s">
        <v>277</v>
      </c>
      <c r="B3" s="393" t="s">
        <v>278</v>
      </c>
      <c r="C3" s="392" t="s">
        <v>279</v>
      </c>
      <c r="D3" s="393" t="s">
        <v>280</v>
      </c>
      <c r="E3" s="393" t="s">
        <v>281</v>
      </c>
      <c r="F3" s="72" t="s">
        <v>282</v>
      </c>
      <c r="G3" s="73">
        <v>43644</v>
      </c>
      <c r="H3" s="73" t="s">
        <v>283</v>
      </c>
      <c r="I3" s="73" t="s">
        <v>283</v>
      </c>
      <c r="J3" s="73" t="s">
        <v>283</v>
      </c>
      <c r="K3" s="73" t="s">
        <v>283</v>
      </c>
      <c r="L3" s="73" t="s">
        <v>283</v>
      </c>
      <c r="M3" s="73" t="s">
        <v>283</v>
      </c>
      <c r="N3" s="73" t="s">
        <v>283</v>
      </c>
      <c r="O3" s="73" t="s">
        <v>283</v>
      </c>
      <c r="P3" s="73">
        <v>18800</v>
      </c>
      <c r="Q3" s="73">
        <v>13240</v>
      </c>
      <c r="R3" s="73">
        <v>11604</v>
      </c>
    </row>
    <row r="4" spans="1:18">
      <c r="A4" s="393" t="s">
        <v>277</v>
      </c>
      <c r="B4" s="393" t="s">
        <v>278</v>
      </c>
      <c r="C4" s="392" t="s">
        <v>279</v>
      </c>
      <c r="D4" s="393" t="s">
        <v>280</v>
      </c>
      <c r="E4" s="393" t="s">
        <v>281</v>
      </c>
      <c r="F4" s="72" t="s">
        <v>284</v>
      </c>
      <c r="G4" s="73" t="s">
        <v>285</v>
      </c>
      <c r="H4" s="73" t="s">
        <v>283</v>
      </c>
      <c r="I4" s="73" t="s">
        <v>283</v>
      </c>
      <c r="J4" s="73" t="s">
        <v>283</v>
      </c>
      <c r="K4" s="73" t="s">
        <v>283</v>
      </c>
      <c r="L4" s="73" t="s">
        <v>283</v>
      </c>
      <c r="M4" s="73" t="s">
        <v>283</v>
      </c>
      <c r="N4" s="73" t="s">
        <v>283</v>
      </c>
      <c r="O4" s="73" t="s">
        <v>283</v>
      </c>
      <c r="P4" s="73" t="s">
        <v>286</v>
      </c>
      <c r="Q4" s="73" t="s">
        <v>285</v>
      </c>
      <c r="R4" s="73" t="s">
        <v>286</v>
      </c>
    </row>
    <row r="5" spans="1:18">
      <c r="A5" s="393" t="s">
        <v>277</v>
      </c>
      <c r="B5" s="393" t="s">
        <v>278</v>
      </c>
      <c r="C5" s="392" t="s">
        <v>279</v>
      </c>
      <c r="D5" s="393" t="s">
        <v>280</v>
      </c>
      <c r="E5" s="393" t="s">
        <v>281</v>
      </c>
      <c r="F5" s="72" t="s">
        <v>44</v>
      </c>
      <c r="G5" s="73">
        <v>43768</v>
      </c>
      <c r="H5" s="73" t="s">
        <v>283</v>
      </c>
      <c r="I5" s="73" t="s">
        <v>283</v>
      </c>
      <c r="J5" s="73" t="s">
        <v>283</v>
      </c>
      <c r="K5" s="73" t="s">
        <v>283</v>
      </c>
      <c r="L5" s="73" t="s">
        <v>283</v>
      </c>
      <c r="M5" s="73" t="s">
        <v>283</v>
      </c>
      <c r="N5" s="73" t="s">
        <v>283</v>
      </c>
      <c r="O5" s="73" t="s">
        <v>283</v>
      </c>
      <c r="P5" s="73">
        <v>18800</v>
      </c>
      <c r="Q5" s="73">
        <v>13364</v>
      </c>
      <c r="R5" s="73">
        <v>11604</v>
      </c>
    </row>
    <row r="6" spans="1:18">
      <c r="A6" s="393" t="s">
        <v>277</v>
      </c>
      <c r="B6" s="393" t="s">
        <v>278</v>
      </c>
      <c r="C6" s="392" t="s">
        <v>287</v>
      </c>
      <c r="D6" s="393" t="s">
        <v>280</v>
      </c>
      <c r="E6" s="393" t="s">
        <v>281</v>
      </c>
      <c r="F6" s="72" t="s">
        <v>282</v>
      </c>
      <c r="G6" s="73">
        <v>8767</v>
      </c>
      <c r="H6" s="73" t="s">
        <v>283</v>
      </c>
      <c r="I6" s="73" t="s">
        <v>283</v>
      </c>
      <c r="J6" s="73" t="s">
        <v>283</v>
      </c>
      <c r="K6" s="73" t="s">
        <v>283</v>
      </c>
      <c r="L6" s="73" t="s">
        <v>283</v>
      </c>
      <c r="M6" s="73" t="s">
        <v>283</v>
      </c>
      <c r="N6" s="73" t="s">
        <v>283</v>
      </c>
      <c r="O6" s="73">
        <v>8767</v>
      </c>
      <c r="P6" s="73" t="s">
        <v>283</v>
      </c>
      <c r="Q6" s="73" t="s">
        <v>283</v>
      </c>
      <c r="R6" s="73" t="s">
        <v>283</v>
      </c>
    </row>
    <row r="7" spans="1:18" ht="13.5" customHeight="1">
      <c r="A7" s="393" t="s">
        <v>277</v>
      </c>
      <c r="B7" s="393" t="s">
        <v>278</v>
      </c>
      <c r="C7" s="392" t="s">
        <v>287</v>
      </c>
      <c r="D7" s="393" t="s">
        <v>280</v>
      </c>
      <c r="E7" s="393" t="s">
        <v>281</v>
      </c>
      <c r="F7" s="72" t="s">
        <v>284</v>
      </c>
      <c r="G7" s="73" t="s">
        <v>283</v>
      </c>
      <c r="H7" s="73" t="s">
        <v>283</v>
      </c>
      <c r="I7" s="73" t="s">
        <v>283</v>
      </c>
      <c r="J7" s="73" t="s">
        <v>283</v>
      </c>
      <c r="K7" s="73" t="s">
        <v>283</v>
      </c>
      <c r="L7" s="73" t="s">
        <v>283</v>
      </c>
      <c r="M7" s="73" t="s">
        <v>283</v>
      </c>
      <c r="N7" s="73" t="s">
        <v>283</v>
      </c>
      <c r="O7" s="73" t="s">
        <v>283</v>
      </c>
      <c r="P7" s="73" t="s">
        <v>283</v>
      </c>
      <c r="Q7" s="73" t="s">
        <v>283</v>
      </c>
      <c r="R7" s="73" t="s">
        <v>283</v>
      </c>
    </row>
    <row r="8" spans="1:18" ht="13.5" customHeight="1">
      <c r="A8" s="393" t="s">
        <v>277</v>
      </c>
      <c r="B8" s="393" t="s">
        <v>278</v>
      </c>
      <c r="C8" s="392" t="s">
        <v>287</v>
      </c>
      <c r="D8" s="393" t="s">
        <v>280</v>
      </c>
      <c r="E8" s="393" t="s">
        <v>281</v>
      </c>
      <c r="F8" s="72" t="s">
        <v>44</v>
      </c>
      <c r="G8" s="73">
        <v>8767</v>
      </c>
      <c r="H8" s="73" t="s">
        <v>283</v>
      </c>
      <c r="I8" s="73" t="s">
        <v>283</v>
      </c>
      <c r="J8" s="73" t="s">
        <v>283</v>
      </c>
      <c r="K8" s="73" t="s">
        <v>283</v>
      </c>
      <c r="L8" s="73" t="s">
        <v>283</v>
      </c>
      <c r="M8" s="73" t="s">
        <v>283</v>
      </c>
      <c r="N8" s="73" t="s">
        <v>283</v>
      </c>
      <c r="O8" s="73">
        <v>8767</v>
      </c>
      <c r="P8" s="73" t="s">
        <v>283</v>
      </c>
      <c r="Q8" s="73" t="s">
        <v>283</v>
      </c>
      <c r="R8" s="73" t="s">
        <v>283</v>
      </c>
    </row>
    <row r="9" spans="1:18" ht="13.5" customHeight="1">
      <c r="A9" s="393" t="s">
        <v>277</v>
      </c>
      <c r="B9" s="393" t="s">
        <v>278</v>
      </c>
      <c r="C9" s="392" t="s">
        <v>288</v>
      </c>
      <c r="D9" s="393" t="s">
        <v>280</v>
      </c>
      <c r="E9" s="393" t="s">
        <v>281</v>
      </c>
      <c r="F9" s="72" t="s">
        <v>282</v>
      </c>
      <c r="G9" s="73">
        <v>257977</v>
      </c>
      <c r="H9" s="73" t="s">
        <v>283</v>
      </c>
      <c r="I9" s="73" t="s">
        <v>283</v>
      </c>
      <c r="J9" s="73" t="s">
        <v>283</v>
      </c>
      <c r="K9" s="73" t="s">
        <v>283</v>
      </c>
      <c r="L9" s="73" t="s">
        <v>283</v>
      </c>
      <c r="M9" s="73" t="s">
        <v>283</v>
      </c>
      <c r="N9" s="73" t="s">
        <v>283</v>
      </c>
      <c r="O9" s="73">
        <v>102422</v>
      </c>
      <c r="P9" s="73">
        <v>67602</v>
      </c>
      <c r="Q9" s="73">
        <v>49279</v>
      </c>
      <c r="R9" s="73">
        <v>38674</v>
      </c>
    </row>
    <row r="10" spans="1:18" ht="13.5" customHeight="1">
      <c r="A10" s="393" t="s">
        <v>277</v>
      </c>
      <c r="B10" s="393" t="s">
        <v>278</v>
      </c>
      <c r="C10" s="392" t="s">
        <v>288</v>
      </c>
      <c r="D10" s="393" t="s">
        <v>280</v>
      </c>
      <c r="E10" s="393" t="s">
        <v>281</v>
      </c>
      <c r="F10" s="72" t="s">
        <v>284</v>
      </c>
      <c r="G10" s="73" t="s">
        <v>286</v>
      </c>
      <c r="H10" s="73" t="s">
        <v>283</v>
      </c>
      <c r="I10" s="73" t="s">
        <v>283</v>
      </c>
      <c r="J10" s="73" t="s">
        <v>283</v>
      </c>
      <c r="K10" s="73" t="s">
        <v>283</v>
      </c>
      <c r="L10" s="73" t="s">
        <v>283</v>
      </c>
      <c r="M10" s="73" t="s">
        <v>283</v>
      </c>
      <c r="N10" s="73" t="s">
        <v>283</v>
      </c>
      <c r="O10" s="73" t="s">
        <v>283</v>
      </c>
      <c r="P10" s="73" t="s">
        <v>286</v>
      </c>
      <c r="Q10" s="73" t="s">
        <v>286</v>
      </c>
      <c r="R10" s="73" t="s">
        <v>286</v>
      </c>
    </row>
    <row r="11" spans="1:18" ht="13.5" customHeight="1">
      <c r="A11" s="393" t="s">
        <v>277</v>
      </c>
      <c r="B11" s="393" t="s">
        <v>278</v>
      </c>
      <c r="C11" s="392" t="s">
        <v>288</v>
      </c>
      <c r="D11" s="393" t="s">
        <v>280</v>
      </c>
      <c r="E11" s="393" t="s">
        <v>281</v>
      </c>
      <c r="F11" s="72" t="s">
        <v>44</v>
      </c>
      <c r="G11" s="73">
        <v>257977</v>
      </c>
      <c r="H11" s="73" t="s">
        <v>283</v>
      </c>
      <c r="I11" s="73" t="s">
        <v>283</v>
      </c>
      <c r="J11" s="73" t="s">
        <v>283</v>
      </c>
      <c r="K11" s="73" t="s">
        <v>283</v>
      </c>
      <c r="L11" s="73" t="s">
        <v>283</v>
      </c>
      <c r="M11" s="73" t="s">
        <v>283</v>
      </c>
      <c r="N11" s="73" t="s">
        <v>283</v>
      </c>
      <c r="O11" s="73">
        <v>102422</v>
      </c>
      <c r="P11" s="73">
        <v>67602</v>
      </c>
      <c r="Q11" s="73">
        <v>49279</v>
      </c>
      <c r="R11" s="73">
        <v>38674</v>
      </c>
    </row>
    <row r="12" spans="1:18" ht="13.5" customHeight="1">
      <c r="A12" s="393" t="s">
        <v>277</v>
      </c>
      <c r="B12" s="393" t="s">
        <v>278</v>
      </c>
      <c r="C12" s="392" t="s">
        <v>289</v>
      </c>
      <c r="D12" s="393" t="s">
        <v>280</v>
      </c>
      <c r="E12" s="393" t="s">
        <v>281</v>
      </c>
      <c r="F12" s="72" t="s">
        <v>282</v>
      </c>
      <c r="G12" s="73">
        <v>41248</v>
      </c>
      <c r="H12" s="73" t="s">
        <v>283</v>
      </c>
      <c r="I12" s="73" t="s">
        <v>283</v>
      </c>
      <c r="J12" s="73" t="s">
        <v>283</v>
      </c>
      <c r="K12" s="73" t="s">
        <v>283</v>
      </c>
      <c r="L12" s="73" t="s">
        <v>283</v>
      </c>
      <c r="M12" s="73" t="s">
        <v>283</v>
      </c>
      <c r="N12" s="73" t="s">
        <v>283</v>
      </c>
      <c r="O12" s="73" t="s">
        <v>283</v>
      </c>
      <c r="P12" s="73">
        <v>14085</v>
      </c>
      <c r="Q12" s="73">
        <v>13484</v>
      </c>
      <c r="R12" s="73">
        <v>13679</v>
      </c>
    </row>
    <row r="13" spans="1:18" ht="13.5" customHeight="1">
      <c r="A13" s="393" t="s">
        <v>277</v>
      </c>
      <c r="B13" s="393" t="s">
        <v>278</v>
      </c>
      <c r="C13" s="392" t="s">
        <v>289</v>
      </c>
      <c r="D13" s="393" t="s">
        <v>280</v>
      </c>
      <c r="E13" s="393" t="s">
        <v>281</v>
      </c>
      <c r="F13" s="72" t="s">
        <v>284</v>
      </c>
      <c r="G13" s="73" t="s">
        <v>290</v>
      </c>
      <c r="H13" s="73" t="s">
        <v>283</v>
      </c>
      <c r="I13" s="73" t="s">
        <v>283</v>
      </c>
      <c r="J13" s="73" t="s">
        <v>283</v>
      </c>
      <c r="K13" s="73" t="s">
        <v>283</v>
      </c>
      <c r="L13" s="73" t="s">
        <v>283</v>
      </c>
      <c r="M13" s="73" t="s">
        <v>283</v>
      </c>
      <c r="N13" s="73" t="s">
        <v>283</v>
      </c>
      <c r="O13" s="73" t="s">
        <v>283</v>
      </c>
      <c r="P13" s="73" t="s">
        <v>291</v>
      </c>
      <c r="Q13" s="73" t="s">
        <v>292</v>
      </c>
      <c r="R13" s="73" t="s">
        <v>286</v>
      </c>
    </row>
    <row r="14" spans="1:18" ht="13.5" customHeight="1">
      <c r="A14" s="393" t="s">
        <v>277</v>
      </c>
      <c r="B14" s="393" t="s">
        <v>278</v>
      </c>
      <c r="C14" s="392" t="s">
        <v>289</v>
      </c>
      <c r="D14" s="393" t="s">
        <v>280</v>
      </c>
      <c r="E14" s="393" t="s">
        <v>281</v>
      </c>
      <c r="F14" s="72" t="s">
        <v>44</v>
      </c>
      <c r="G14" s="73">
        <v>41530</v>
      </c>
      <c r="H14" s="73" t="s">
        <v>283</v>
      </c>
      <c r="I14" s="73" t="s">
        <v>283</v>
      </c>
      <c r="J14" s="73" t="s">
        <v>283</v>
      </c>
      <c r="K14" s="73" t="s">
        <v>283</v>
      </c>
      <c r="L14" s="73" t="s">
        <v>283</v>
      </c>
      <c r="M14" s="73" t="s">
        <v>283</v>
      </c>
      <c r="N14" s="73" t="s">
        <v>283</v>
      </c>
      <c r="O14" s="73" t="s">
        <v>283</v>
      </c>
      <c r="P14" s="73">
        <v>14345</v>
      </c>
      <c r="Q14" s="73">
        <v>13506</v>
      </c>
      <c r="R14" s="73">
        <v>13679</v>
      </c>
    </row>
    <row r="15" spans="1:18" ht="13.5" customHeight="1">
      <c r="A15" s="393" t="s">
        <v>277</v>
      </c>
      <c r="B15" s="393" t="s">
        <v>278</v>
      </c>
      <c r="C15" s="392" t="s">
        <v>293</v>
      </c>
      <c r="D15" s="393" t="s">
        <v>280</v>
      </c>
      <c r="E15" s="393" t="s">
        <v>281</v>
      </c>
      <c r="F15" s="72" t="s">
        <v>282</v>
      </c>
      <c r="G15" s="73">
        <v>7004</v>
      </c>
      <c r="H15" s="73" t="s">
        <v>283</v>
      </c>
      <c r="I15" s="73" t="s">
        <v>283</v>
      </c>
      <c r="J15" s="73" t="s">
        <v>283</v>
      </c>
      <c r="K15" s="73" t="s">
        <v>283</v>
      </c>
      <c r="L15" s="73" t="s">
        <v>283</v>
      </c>
      <c r="M15" s="73" t="s">
        <v>283</v>
      </c>
      <c r="N15" s="73" t="s">
        <v>283</v>
      </c>
      <c r="O15" s="73" t="s">
        <v>283</v>
      </c>
      <c r="P15" s="73">
        <v>1241</v>
      </c>
      <c r="Q15" s="73">
        <v>2645</v>
      </c>
      <c r="R15" s="73">
        <v>3118</v>
      </c>
    </row>
    <row r="16" spans="1:18" ht="13.5" customHeight="1">
      <c r="A16" s="393" t="s">
        <v>277</v>
      </c>
      <c r="B16" s="393" t="s">
        <v>278</v>
      </c>
      <c r="C16" s="392" t="s">
        <v>293</v>
      </c>
      <c r="D16" s="393" t="s">
        <v>280</v>
      </c>
      <c r="E16" s="393" t="s">
        <v>281</v>
      </c>
      <c r="F16" s="72" t="s">
        <v>284</v>
      </c>
      <c r="G16" s="73" t="s">
        <v>286</v>
      </c>
      <c r="H16" s="73" t="s">
        <v>283</v>
      </c>
      <c r="I16" s="73" t="s">
        <v>283</v>
      </c>
      <c r="J16" s="73" t="s">
        <v>283</v>
      </c>
      <c r="K16" s="73" t="s">
        <v>283</v>
      </c>
      <c r="L16" s="73" t="s">
        <v>283</v>
      </c>
      <c r="M16" s="73" t="s">
        <v>283</v>
      </c>
      <c r="N16" s="73" t="s">
        <v>283</v>
      </c>
      <c r="O16" s="73" t="s">
        <v>283</v>
      </c>
      <c r="P16" s="73" t="s">
        <v>286</v>
      </c>
      <c r="Q16" s="73" t="s">
        <v>286</v>
      </c>
      <c r="R16" s="73" t="s">
        <v>286</v>
      </c>
    </row>
    <row r="17" spans="1:18" ht="13.5" customHeight="1">
      <c r="A17" s="393" t="s">
        <v>277</v>
      </c>
      <c r="B17" s="393" t="s">
        <v>278</v>
      </c>
      <c r="C17" s="392" t="s">
        <v>293</v>
      </c>
      <c r="D17" s="393" t="s">
        <v>280</v>
      </c>
      <c r="E17" s="393" t="s">
        <v>281</v>
      </c>
      <c r="F17" s="72" t="s">
        <v>44</v>
      </c>
      <c r="G17" s="73">
        <v>7004</v>
      </c>
      <c r="H17" s="73" t="s">
        <v>283</v>
      </c>
      <c r="I17" s="73" t="s">
        <v>283</v>
      </c>
      <c r="J17" s="73" t="s">
        <v>283</v>
      </c>
      <c r="K17" s="73" t="s">
        <v>283</v>
      </c>
      <c r="L17" s="73" t="s">
        <v>283</v>
      </c>
      <c r="M17" s="73" t="s">
        <v>283</v>
      </c>
      <c r="N17" s="73" t="s">
        <v>283</v>
      </c>
      <c r="O17" s="73" t="s">
        <v>283</v>
      </c>
      <c r="P17" s="73">
        <v>1241</v>
      </c>
      <c r="Q17" s="73">
        <v>2645</v>
      </c>
      <c r="R17" s="73">
        <v>3118</v>
      </c>
    </row>
    <row r="18" spans="1:18" ht="13.5" customHeight="1">
      <c r="A18" s="393" t="s">
        <v>277</v>
      </c>
      <c r="B18" s="393" t="s">
        <v>278</v>
      </c>
      <c r="C18" s="394" t="s">
        <v>243</v>
      </c>
      <c r="D18" s="395" t="s">
        <v>280</v>
      </c>
      <c r="E18" s="395" t="s">
        <v>281</v>
      </c>
      <c r="F18" s="72" t="s">
        <v>282</v>
      </c>
      <c r="G18" s="73">
        <v>2032553</v>
      </c>
      <c r="H18" s="73">
        <v>270180</v>
      </c>
      <c r="I18" s="73">
        <v>295797</v>
      </c>
      <c r="J18" s="73">
        <v>230399</v>
      </c>
      <c r="K18" s="73">
        <v>120722</v>
      </c>
      <c r="L18" s="73">
        <v>188823</v>
      </c>
      <c r="M18" s="73">
        <v>237818</v>
      </c>
      <c r="N18" s="73">
        <v>328511</v>
      </c>
      <c r="O18" s="73">
        <v>360303</v>
      </c>
      <c r="P18" s="73" t="s">
        <v>283</v>
      </c>
      <c r="Q18" s="73" t="s">
        <v>283</v>
      </c>
      <c r="R18" s="73" t="s">
        <v>283</v>
      </c>
    </row>
    <row r="19" spans="1:18">
      <c r="A19" s="393" t="s">
        <v>277</v>
      </c>
      <c r="B19" s="393" t="s">
        <v>278</v>
      </c>
      <c r="C19" s="394" t="s">
        <v>243</v>
      </c>
      <c r="D19" s="395" t="s">
        <v>280</v>
      </c>
      <c r="E19" s="395" t="s">
        <v>281</v>
      </c>
      <c r="F19" s="72" t="s">
        <v>284</v>
      </c>
      <c r="G19" s="73">
        <v>1493</v>
      </c>
      <c r="H19" s="73" t="s">
        <v>294</v>
      </c>
      <c r="I19" s="73" t="s">
        <v>295</v>
      </c>
      <c r="J19" s="73" t="s">
        <v>296</v>
      </c>
      <c r="K19" s="73" t="s">
        <v>297</v>
      </c>
      <c r="L19" s="73" t="s">
        <v>298</v>
      </c>
      <c r="M19" s="73" t="s">
        <v>299</v>
      </c>
      <c r="N19" s="73" t="s">
        <v>286</v>
      </c>
      <c r="O19" s="73" t="s">
        <v>283</v>
      </c>
      <c r="P19" s="73" t="s">
        <v>283</v>
      </c>
      <c r="Q19" s="73" t="s">
        <v>283</v>
      </c>
      <c r="R19" s="73" t="s">
        <v>283</v>
      </c>
    </row>
    <row r="20" spans="1:18">
      <c r="A20" s="393" t="s">
        <v>277</v>
      </c>
      <c r="B20" s="393" t="s">
        <v>278</v>
      </c>
      <c r="C20" s="394" t="s">
        <v>243</v>
      </c>
      <c r="D20" s="395" t="s">
        <v>280</v>
      </c>
      <c r="E20" s="395" t="s">
        <v>281</v>
      </c>
      <c r="F20" s="74" t="s">
        <v>44</v>
      </c>
      <c r="G20" s="75">
        <v>2034046</v>
      </c>
      <c r="H20" s="75">
        <v>270415</v>
      </c>
      <c r="I20" s="75">
        <v>296091</v>
      </c>
      <c r="J20" s="75">
        <v>230482</v>
      </c>
      <c r="K20" s="75">
        <v>120807</v>
      </c>
      <c r="L20" s="75">
        <v>189021</v>
      </c>
      <c r="M20" s="75">
        <v>238416</v>
      </c>
      <c r="N20" s="75">
        <v>328511</v>
      </c>
      <c r="O20" s="75">
        <v>360303</v>
      </c>
      <c r="P20" s="75" t="s">
        <v>283</v>
      </c>
      <c r="Q20" s="75" t="s">
        <v>283</v>
      </c>
      <c r="R20" s="75" t="s">
        <v>283</v>
      </c>
    </row>
    <row r="21" spans="1:18">
      <c r="A21" s="393" t="s">
        <v>277</v>
      </c>
      <c r="B21" s="393" t="s">
        <v>278</v>
      </c>
      <c r="C21" s="392" t="s">
        <v>300</v>
      </c>
      <c r="D21" s="393" t="s">
        <v>280</v>
      </c>
      <c r="E21" s="393" t="s">
        <v>281</v>
      </c>
      <c r="F21" s="72" t="s">
        <v>282</v>
      </c>
      <c r="G21" s="73">
        <v>118029</v>
      </c>
      <c r="H21" s="73" t="s">
        <v>283</v>
      </c>
      <c r="I21" s="73" t="s">
        <v>283</v>
      </c>
      <c r="J21" s="73" t="s">
        <v>283</v>
      </c>
      <c r="K21" s="73" t="s">
        <v>283</v>
      </c>
      <c r="L21" s="73" t="s">
        <v>283</v>
      </c>
      <c r="M21" s="73" t="s">
        <v>283</v>
      </c>
      <c r="N21" s="73" t="s">
        <v>283</v>
      </c>
      <c r="O21" s="73" t="s">
        <v>283</v>
      </c>
      <c r="P21" s="73">
        <v>40911</v>
      </c>
      <c r="Q21" s="73">
        <v>39327</v>
      </c>
      <c r="R21" s="73">
        <v>37791</v>
      </c>
    </row>
    <row r="22" spans="1:18" ht="13.5" customHeight="1">
      <c r="A22" s="393" t="s">
        <v>277</v>
      </c>
      <c r="B22" s="393" t="s">
        <v>278</v>
      </c>
      <c r="C22" s="392" t="s">
        <v>300</v>
      </c>
      <c r="D22" s="393" t="s">
        <v>280</v>
      </c>
      <c r="E22" s="393" t="s">
        <v>281</v>
      </c>
      <c r="F22" s="72" t="s">
        <v>284</v>
      </c>
      <c r="G22" s="73" t="s">
        <v>286</v>
      </c>
      <c r="H22" s="73" t="s">
        <v>283</v>
      </c>
      <c r="I22" s="73" t="s">
        <v>283</v>
      </c>
      <c r="J22" s="73" t="s">
        <v>283</v>
      </c>
      <c r="K22" s="73" t="s">
        <v>283</v>
      </c>
      <c r="L22" s="73" t="s">
        <v>283</v>
      </c>
      <c r="M22" s="73" t="s">
        <v>283</v>
      </c>
      <c r="N22" s="73" t="s">
        <v>283</v>
      </c>
      <c r="O22" s="73" t="s">
        <v>283</v>
      </c>
      <c r="P22" s="73" t="s">
        <v>286</v>
      </c>
      <c r="Q22" s="73" t="s">
        <v>286</v>
      </c>
      <c r="R22" s="73" t="s">
        <v>286</v>
      </c>
    </row>
    <row r="23" spans="1:18" ht="13.5" customHeight="1">
      <c r="A23" s="393" t="s">
        <v>277</v>
      </c>
      <c r="B23" s="393" t="s">
        <v>278</v>
      </c>
      <c r="C23" s="392" t="s">
        <v>300</v>
      </c>
      <c r="D23" s="393" t="s">
        <v>280</v>
      </c>
      <c r="E23" s="393" t="s">
        <v>281</v>
      </c>
      <c r="F23" s="74" t="s">
        <v>44</v>
      </c>
      <c r="G23" s="75">
        <v>118029</v>
      </c>
      <c r="H23" s="75" t="s">
        <v>283</v>
      </c>
      <c r="I23" s="75" t="s">
        <v>283</v>
      </c>
      <c r="J23" s="75" t="s">
        <v>283</v>
      </c>
      <c r="K23" s="75" t="s">
        <v>283</v>
      </c>
      <c r="L23" s="75" t="s">
        <v>283</v>
      </c>
      <c r="M23" s="75" t="s">
        <v>283</v>
      </c>
      <c r="N23" s="75" t="s">
        <v>283</v>
      </c>
      <c r="O23" s="75" t="s">
        <v>283</v>
      </c>
      <c r="P23" s="75">
        <v>40911</v>
      </c>
      <c r="Q23" s="75">
        <v>39327</v>
      </c>
      <c r="R23" s="75">
        <v>37791</v>
      </c>
    </row>
    <row r="24" spans="1:18" ht="13.5" customHeight="1">
      <c r="A24" s="393" t="s">
        <v>277</v>
      </c>
      <c r="B24" s="393" t="s">
        <v>278</v>
      </c>
      <c r="C24" s="392" t="s">
        <v>301</v>
      </c>
      <c r="D24" s="393" t="s">
        <v>280</v>
      </c>
      <c r="E24" s="393" t="s">
        <v>281</v>
      </c>
      <c r="F24" s="72" t="s">
        <v>282</v>
      </c>
      <c r="G24" s="73">
        <v>199306</v>
      </c>
      <c r="H24" s="73" t="s">
        <v>283</v>
      </c>
      <c r="I24" s="73" t="s">
        <v>283</v>
      </c>
      <c r="J24" s="73" t="s">
        <v>283</v>
      </c>
      <c r="K24" s="73" t="s">
        <v>283</v>
      </c>
      <c r="L24" s="73" t="s">
        <v>283</v>
      </c>
      <c r="M24" s="73" t="s">
        <v>283</v>
      </c>
      <c r="N24" s="73" t="s">
        <v>283</v>
      </c>
      <c r="O24" s="73" t="s">
        <v>283</v>
      </c>
      <c r="P24" s="73">
        <v>65720</v>
      </c>
      <c r="Q24" s="73">
        <v>70458</v>
      </c>
      <c r="R24" s="73">
        <v>63128</v>
      </c>
    </row>
    <row r="25" spans="1:18" ht="13.5" customHeight="1">
      <c r="A25" s="393" t="s">
        <v>277</v>
      </c>
      <c r="B25" s="393" t="s">
        <v>278</v>
      </c>
      <c r="C25" s="392" t="s">
        <v>301</v>
      </c>
      <c r="D25" s="393" t="s">
        <v>280</v>
      </c>
      <c r="E25" s="393" t="s">
        <v>281</v>
      </c>
      <c r="F25" s="72" t="s">
        <v>284</v>
      </c>
      <c r="G25" s="73" t="s">
        <v>286</v>
      </c>
      <c r="H25" s="73" t="s">
        <v>283</v>
      </c>
      <c r="I25" s="73" t="s">
        <v>283</v>
      </c>
      <c r="J25" s="73" t="s">
        <v>283</v>
      </c>
      <c r="K25" s="73" t="s">
        <v>283</v>
      </c>
      <c r="L25" s="73" t="s">
        <v>283</v>
      </c>
      <c r="M25" s="73" t="s">
        <v>283</v>
      </c>
      <c r="N25" s="73" t="s">
        <v>283</v>
      </c>
      <c r="O25" s="73" t="s">
        <v>283</v>
      </c>
      <c r="P25" s="73" t="s">
        <v>286</v>
      </c>
      <c r="Q25" s="73" t="s">
        <v>286</v>
      </c>
      <c r="R25" s="73" t="s">
        <v>286</v>
      </c>
    </row>
    <row r="26" spans="1:18" ht="13.5" customHeight="1">
      <c r="A26" s="393" t="s">
        <v>277</v>
      </c>
      <c r="B26" s="393" t="s">
        <v>278</v>
      </c>
      <c r="C26" s="392" t="s">
        <v>301</v>
      </c>
      <c r="D26" s="393" t="s">
        <v>280</v>
      </c>
      <c r="E26" s="393" t="s">
        <v>281</v>
      </c>
      <c r="F26" s="74" t="s">
        <v>44</v>
      </c>
      <c r="G26" s="75">
        <v>199306</v>
      </c>
      <c r="H26" s="75" t="s">
        <v>283</v>
      </c>
      <c r="I26" s="75" t="s">
        <v>283</v>
      </c>
      <c r="J26" s="75" t="s">
        <v>283</v>
      </c>
      <c r="K26" s="75" t="s">
        <v>283</v>
      </c>
      <c r="L26" s="75" t="s">
        <v>283</v>
      </c>
      <c r="M26" s="75" t="s">
        <v>283</v>
      </c>
      <c r="N26" s="75" t="s">
        <v>283</v>
      </c>
      <c r="O26" s="75" t="s">
        <v>283</v>
      </c>
      <c r="P26" s="75">
        <v>65720</v>
      </c>
      <c r="Q26" s="75">
        <v>70458</v>
      </c>
      <c r="R26" s="75">
        <v>63128</v>
      </c>
    </row>
    <row r="27" spans="1:18" ht="13.5" customHeight="1">
      <c r="A27" s="393" t="s">
        <v>277</v>
      </c>
      <c r="B27" s="393" t="s">
        <v>278</v>
      </c>
      <c r="C27" s="392" t="s">
        <v>302</v>
      </c>
      <c r="D27" s="393" t="s">
        <v>280</v>
      </c>
      <c r="E27" s="393" t="s">
        <v>281</v>
      </c>
      <c r="F27" s="72" t="s">
        <v>282</v>
      </c>
      <c r="G27" s="73">
        <v>45747</v>
      </c>
      <c r="H27" s="73" t="s">
        <v>283</v>
      </c>
      <c r="I27" s="73" t="s">
        <v>283</v>
      </c>
      <c r="J27" s="73" t="s">
        <v>283</v>
      </c>
      <c r="K27" s="73" t="s">
        <v>283</v>
      </c>
      <c r="L27" s="73" t="s">
        <v>283</v>
      </c>
      <c r="M27" s="73" t="s">
        <v>283</v>
      </c>
      <c r="N27" s="73" t="s">
        <v>283</v>
      </c>
      <c r="O27" s="73" t="s">
        <v>283</v>
      </c>
      <c r="P27" s="73">
        <v>15095</v>
      </c>
      <c r="Q27" s="73">
        <v>15443</v>
      </c>
      <c r="R27" s="73">
        <v>15209</v>
      </c>
    </row>
    <row r="28" spans="1:18" ht="13.5" customHeight="1">
      <c r="A28" s="393" t="s">
        <v>277</v>
      </c>
      <c r="B28" s="393" t="s">
        <v>278</v>
      </c>
      <c r="C28" s="392" t="s">
        <v>302</v>
      </c>
      <c r="D28" s="393" t="s">
        <v>280</v>
      </c>
      <c r="E28" s="393" t="s">
        <v>281</v>
      </c>
      <c r="F28" s="72" t="s">
        <v>284</v>
      </c>
      <c r="G28" s="73" t="s">
        <v>286</v>
      </c>
      <c r="H28" s="73" t="s">
        <v>283</v>
      </c>
      <c r="I28" s="73" t="s">
        <v>283</v>
      </c>
      <c r="J28" s="73" t="s">
        <v>283</v>
      </c>
      <c r="K28" s="73" t="s">
        <v>283</v>
      </c>
      <c r="L28" s="73" t="s">
        <v>283</v>
      </c>
      <c r="M28" s="73" t="s">
        <v>283</v>
      </c>
      <c r="N28" s="73" t="s">
        <v>283</v>
      </c>
      <c r="O28" s="73" t="s">
        <v>283</v>
      </c>
      <c r="P28" s="73" t="s">
        <v>286</v>
      </c>
      <c r="Q28" s="73" t="s">
        <v>286</v>
      </c>
      <c r="R28" s="73" t="s">
        <v>286</v>
      </c>
    </row>
    <row r="29" spans="1:18" ht="13.5" customHeight="1">
      <c r="A29" s="393" t="s">
        <v>277</v>
      </c>
      <c r="B29" s="393" t="s">
        <v>278</v>
      </c>
      <c r="C29" s="392" t="s">
        <v>302</v>
      </c>
      <c r="D29" s="393" t="s">
        <v>280</v>
      </c>
      <c r="E29" s="393" t="s">
        <v>281</v>
      </c>
      <c r="F29" s="74" t="s">
        <v>44</v>
      </c>
      <c r="G29" s="75">
        <v>45747</v>
      </c>
      <c r="H29" s="75" t="s">
        <v>283</v>
      </c>
      <c r="I29" s="75" t="s">
        <v>283</v>
      </c>
      <c r="J29" s="75" t="s">
        <v>283</v>
      </c>
      <c r="K29" s="75" t="s">
        <v>283</v>
      </c>
      <c r="L29" s="75" t="s">
        <v>283</v>
      </c>
      <c r="M29" s="75" t="s">
        <v>283</v>
      </c>
      <c r="N29" s="75" t="s">
        <v>283</v>
      </c>
      <c r="O29" s="75" t="s">
        <v>283</v>
      </c>
      <c r="P29" s="75">
        <v>15095</v>
      </c>
      <c r="Q29" s="75">
        <v>15443</v>
      </c>
      <c r="R29" s="75">
        <v>15209</v>
      </c>
    </row>
    <row r="30" spans="1:18" ht="13.5" customHeight="1">
      <c r="A30" s="393" t="s">
        <v>277</v>
      </c>
      <c r="B30" s="393" t="s">
        <v>278</v>
      </c>
      <c r="C30" s="392" t="s">
        <v>303</v>
      </c>
      <c r="D30" s="393" t="s">
        <v>280</v>
      </c>
      <c r="E30" s="393" t="s">
        <v>281</v>
      </c>
      <c r="F30" s="72" t="s">
        <v>282</v>
      </c>
      <c r="G30" s="73">
        <v>177891</v>
      </c>
      <c r="H30" s="73" t="s">
        <v>283</v>
      </c>
      <c r="I30" s="73" t="s">
        <v>283</v>
      </c>
      <c r="J30" s="73" t="s">
        <v>283</v>
      </c>
      <c r="K30" s="73" t="s">
        <v>283</v>
      </c>
      <c r="L30" s="73">
        <v>18069</v>
      </c>
      <c r="M30" s="73">
        <v>32484</v>
      </c>
      <c r="N30" s="73">
        <v>22644</v>
      </c>
      <c r="O30" s="73">
        <v>26494</v>
      </c>
      <c r="P30" s="73">
        <v>34013</v>
      </c>
      <c r="Q30" s="73">
        <v>18507</v>
      </c>
      <c r="R30" s="73">
        <v>25680</v>
      </c>
    </row>
    <row r="31" spans="1:18" ht="13.5" customHeight="1">
      <c r="A31" s="393" t="s">
        <v>277</v>
      </c>
      <c r="B31" s="393" t="s">
        <v>278</v>
      </c>
      <c r="C31" s="392" t="s">
        <v>303</v>
      </c>
      <c r="D31" s="393" t="s">
        <v>280</v>
      </c>
      <c r="E31" s="393" t="s">
        <v>281</v>
      </c>
      <c r="F31" s="72" t="s">
        <v>284</v>
      </c>
      <c r="G31" s="73" t="s">
        <v>304</v>
      </c>
      <c r="H31" s="73" t="s">
        <v>283</v>
      </c>
      <c r="I31" s="73" t="s">
        <v>283</v>
      </c>
      <c r="J31" s="73" t="s">
        <v>283</v>
      </c>
      <c r="K31" s="73" t="s">
        <v>283</v>
      </c>
      <c r="L31" s="73" t="s">
        <v>283</v>
      </c>
      <c r="M31" s="73" t="s">
        <v>304</v>
      </c>
      <c r="N31" s="73" t="s">
        <v>286</v>
      </c>
      <c r="O31" s="73" t="s">
        <v>283</v>
      </c>
      <c r="P31" s="73" t="s">
        <v>286</v>
      </c>
      <c r="Q31" s="73" t="s">
        <v>286</v>
      </c>
      <c r="R31" s="73" t="s">
        <v>286</v>
      </c>
    </row>
    <row r="32" spans="1:18" ht="13.5" customHeight="1">
      <c r="A32" s="393" t="s">
        <v>277</v>
      </c>
      <c r="B32" s="393" t="s">
        <v>278</v>
      </c>
      <c r="C32" s="392" t="s">
        <v>303</v>
      </c>
      <c r="D32" s="393" t="s">
        <v>280</v>
      </c>
      <c r="E32" s="393" t="s">
        <v>281</v>
      </c>
      <c r="F32" s="72" t="s">
        <v>44</v>
      </c>
      <c r="G32" s="73">
        <v>177931</v>
      </c>
      <c r="H32" s="73" t="s">
        <v>283</v>
      </c>
      <c r="I32" s="73" t="s">
        <v>283</v>
      </c>
      <c r="J32" s="73" t="s">
        <v>283</v>
      </c>
      <c r="K32" s="73" t="s">
        <v>283</v>
      </c>
      <c r="L32" s="73">
        <v>18069</v>
      </c>
      <c r="M32" s="73">
        <v>32524</v>
      </c>
      <c r="N32" s="73">
        <v>22644</v>
      </c>
      <c r="O32" s="73">
        <v>26494</v>
      </c>
      <c r="P32" s="73">
        <v>34013</v>
      </c>
      <c r="Q32" s="73">
        <v>18507</v>
      </c>
      <c r="R32" s="73">
        <v>25680</v>
      </c>
    </row>
    <row r="33" spans="1:18" ht="13.5" customHeight="1">
      <c r="A33" s="393" t="s">
        <v>277</v>
      </c>
      <c r="B33" s="393" t="s">
        <v>278</v>
      </c>
      <c r="C33" s="392" t="s">
        <v>305</v>
      </c>
      <c r="D33" s="393" t="s">
        <v>280</v>
      </c>
      <c r="E33" s="393" t="s">
        <v>281</v>
      </c>
      <c r="F33" s="72" t="s">
        <v>282</v>
      </c>
      <c r="G33" s="73">
        <v>2696173</v>
      </c>
      <c r="H33" s="73">
        <v>263073</v>
      </c>
      <c r="I33" s="73">
        <v>277042</v>
      </c>
      <c r="J33" s="73">
        <v>535462</v>
      </c>
      <c r="K33" s="73">
        <v>350750</v>
      </c>
      <c r="L33" s="73">
        <v>247700</v>
      </c>
      <c r="M33" s="73">
        <v>249060</v>
      </c>
      <c r="N33" s="73">
        <v>175130</v>
      </c>
      <c r="O33" s="73">
        <v>165190</v>
      </c>
      <c r="P33" s="73">
        <v>145260</v>
      </c>
      <c r="Q33" s="73">
        <v>121347</v>
      </c>
      <c r="R33" s="73">
        <v>166159</v>
      </c>
    </row>
    <row r="34" spans="1:18" ht="13.5" customHeight="1">
      <c r="A34" s="393" t="s">
        <v>277</v>
      </c>
      <c r="B34" s="393" t="s">
        <v>278</v>
      </c>
      <c r="C34" s="392" t="s">
        <v>305</v>
      </c>
      <c r="D34" s="393" t="s">
        <v>280</v>
      </c>
      <c r="E34" s="393" t="s">
        <v>281</v>
      </c>
      <c r="F34" s="72" t="s">
        <v>284</v>
      </c>
      <c r="G34" s="73">
        <v>8070</v>
      </c>
      <c r="H34" s="73" t="s">
        <v>306</v>
      </c>
      <c r="I34" s="73" t="s">
        <v>307</v>
      </c>
      <c r="J34" s="73" t="s">
        <v>308</v>
      </c>
      <c r="K34" s="73" t="s">
        <v>309</v>
      </c>
      <c r="L34" s="73" t="s">
        <v>310</v>
      </c>
      <c r="M34" s="73" t="s">
        <v>311</v>
      </c>
      <c r="N34" s="73" t="s">
        <v>312</v>
      </c>
      <c r="O34" s="73">
        <v>1095</v>
      </c>
      <c r="P34" s="73">
        <v>1786</v>
      </c>
      <c r="Q34" s="73">
        <v>1165</v>
      </c>
      <c r="R34" s="73">
        <v>1665</v>
      </c>
    </row>
    <row r="35" spans="1:18" ht="13.5" customHeight="1">
      <c r="A35" s="393" t="s">
        <v>277</v>
      </c>
      <c r="B35" s="393" t="s">
        <v>278</v>
      </c>
      <c r="C35" s="392" t="s">
        <v>305</v>
      </c>
      <c r="D35" s="393" t="s">
        <v>280</v>
      </c>
      <c r="E35" s="393" t="s">
        <v>281</v>
      </c>
      <c r="F35" s="72" t="s">
        <v>44</v>
      </c>
      <c r="G35" s="73">
        <v>2704243</v>
      </c>
      <c r="H35" s="73">
        <v>263376</v>
      </c>
      <c r="I35" s="73">
        <v>277311</v>
      </c>
      <c r="J35" s="73">
        <v>535684</v>
      </c>
      <c r="K35" s="73">
        <v>351081</v>
      </c>
      <c r="L35" s="73">
        <v>248024</v>
      </c>
      <c r="M35" s="73">
        <v>249368</v>
      </c>
      <c r="N35" s="73">
        <v>175732</v>
      </c>
      <c r="O35" s="73">
        <v>166285</v>
      </c>
      <c r="P35" s="73">
        <v>147046</v>
      </c>
      <c r="Q35" s="73">
        <v>122512</v>
      </c>
      <c r="R35" s="73">
        <v>167824</v>
      </c>
    </row>
    <row r="36" spans="1:18" ht="13.5" customHeight="1">
      <c r="A36" s="393" t="s">
        <v>277</v>
      </c>
      <c r="B36" s="393" t="s">
        <v>278</v>
      </c>
      <c r="C36" s="392" t="s">
        <v>241</v>
      </c>
      <c r="D36" s="393" t="s">
        <v>313</v>
      </c>
      <c r="E36" s="72" t="s">
        <v>281</v>
      </c>
      <c r="F36" s="72" t="s">
        <v>282</v>
      </c>
      <c r="G36" s="73">
        <v>175749</v>
      </c>
      <c r="H36" s="73" t="s">
        <v>283</v>
      </c>
      <c r="I36" s="73" t="s">
        <v>283</v>
      </c>
      <c r="J36" s="73" t="s">
        <v>283</v>
      </c>
      <c r="K36" s="73" t="s">
        <v>283</v>
      </c>
      <c r="L36" s="73" t="s">
        <v>283</v>
      </c>
      <c r="M36" s="73" t="s">
        <v>283</v>
      </c>
      <c r="N36" s="73" t="s">
        <v>283</v>
      </c>
      <c r="O36" s="73" t="s">
        <v>283</v>
      </c>
      <c r="P36" s="73">
        <v>75062</v>
      </c>
      <c r="Q36" s="73">
        <v>49493</v>
      </c>
      <c r="R36" s="73">
        <v>51194</v>
      </c>
    </row>
    <row r="37" spans="1:18" ht="13.5" customHeight="1">
      <c r="A37" s="393" t="s">
        <v>277</v>
      </c>
      <c r="B37" s="393" t="s">
        <v>278</v>
      </c>
      <c r="C37" s="392" t="s">
        <v>241</v>
      </c>
      <c r="D37" s="393" t="s">
        <v>313</v>
      </c>
      <c r="E37" s="72" t="s">
        <v>314</v>
      </c>
      <c r="F37" s="72" t="s">
        <v>282</v>
      </c>
      <c r="G37" s="73">
        <v>1936368</v>
      </c>
      <c r="H37" s="73">
        <v>291766</v>
      </c>
      <c r="I37" s="73">
        <v>511368</v>
      </c>
      <c r="J37" s="73">
        <v>208008</v>
      </c>
      <c r="K37" s="73">
        <v>186752</v>
      </c>
      <c r="L37" s="73">
        <v>346356</v>
      </c>
      <c r="M37" s="73">
        <v>165778</v>
      </c>
      <c r="N37" s="73">
        <v>131379</v>
      </c>
      <c r="O37" s="73">
        <v>94961</v>
      </c>
      <c r="P37" s="73" t="s">
        <v>283</v>
      </c>
      <c r="Q37" s="73" t="s">
        <v>283</v>
      </c>
      <c r="R37" s="73" t="s">
        <v>283</v>
      </c>
    </row>
    <row r="38" spans="1:18" ht="13.5" customHeight="1">
      <c r="A38" s="393" t="s">
        <v>277</v>
      </c>
      <c r="B38" s="393" t="s">
        <v>278</v>
      </c>
      <c r="C38" s="392" t="s">
        <v>241</v>
      </c>
      <c r="D38" s="393" t="s">
        <v>313</v>
      </c>
      <c r="E38" s="72" t="s">
        <v>281</v>
      </c>
      <c r="F38" s="72" t="s">
        <v>44</v>
      </c>
      <c r="G38" s="73">
        <v>175749</v>
      </c>
      <c r="H38" s="73" t="s">
        <v>283</v>
      </c>
      <c r="I38" s="73" t="s">
        <v>283</v>
      </c>
      <c r="J38" s="73" t="s">
        <v>283</v>
      </c>
      <c r="K38" s="73" t="s">
        <v>283</v>
      </c>
      <c r="L38" s="73" t="s">
        <v>283</v>
      </c>
      <c r="M38" s="73" t="s">
        <v>283</v>
      </c>
      <c r="N38" s="73" t="s">
        <v>283</v>
      </c>
      <c r="O38" s="73" t="s">
        <v>283</v>
      </c>
      <c r="P38" s="73">
        <v>75062</v>
      </c>
      <c r="Q38" s="73">
        <v>49493</v>
      </c>
      <c r="R38" s="73">
        <v>51194</v>
      </c>
    </row>
    <row r="39" spans="1:18" ht="13.5" customHeight="1">
      <c r="A39" s="393" t="s">
        <v>277</v>
      </c>
      <c r="B39" s="393" t="s">
        <v>278</v>
      </c>
      <c r="C39" s="392" t="s">
        <v>241</v>
      </c>
      <c r="D39" s="393" t="s">
        <v>313</v>
      </c>
      <c r="E39" s="72" t="s">
        <v>314</v>
      </c>
      <c r="F39" s="72" t="s">
        <v>44</v>
      </c>
      <c r="G39" s="73">
        <v>1936368</v>
      </c>
      <c r="H39" s="73">
        <v>291766</v>
      </c>
      <c r="I39" s="73">
        <v>511368</v>
      </c>
      <c r="J39" s="73">
        <v>208008</v>
      </c>
      <c r="K39" s="73">
        <v>186752</v>
      </c>
      <c r="L39" s="73">
        <v>346356</v>
      </c>
      <c r="M39" s="73">
        <v>165778</v>
      </c>
      <c r="N39" s="73">
        <v>131379</v>
      </c>
      <c r="O39" s="73">
        <v>94961</v>
      </c>
      <c r="P39" s="73" t="s">
        <v>283</v>
      </c>
      <c r="Q39" s="73" t="s">
        <v>283</v>
      </c>
      <c r="R39" s="73" t="s">
        <v>283</v>
      </c>
    </row>
    <row r="40" spans="1:18" ht="13.5" customHeight="1">
      <c r="A40" s="393" t="s">
        <v>277</v>
      </c>
      <c r="B40" s="393" t="s">
        <v>278</v>
      </c>
      <c r="C40" s="392" t="s">
        <v>246</v>
      </c>
      <c r="D40" s="393" t="s">
        <v>313</v>
      </c>
      <c r="E40" s="393" t="s">
        <v>314</v>
      </c>
      <c r="F40" s="72" t="s">
        <v>282</v>
      </c>
      <c r="G40" s="73">
        <v>10740067</v>
      </c>
      <c r="H40" s="73">
        <v>988922</v>
      </c>
      <c r="I40" s="73">
        <v>1336097</v>
      </c>
      <c r="J40" s="73">
        <v>1273395</v>
      </c>
      <c r="K40" s="73">
        <v>1118421</v>
      </c>
      <c r="L40" s="73">
        <v>1274774</v>
      </c>
      <c r="M40" s="73">
        <v>1601841</v>
      </c>
      <c r="N40" s="73">
        <v>1548567</v>
      </c>
      <c r="O40" s="73">
        <v>1598050</v>
      </c>
      <c r="P40" s="73" t="s">
        <v>283</v>
      </c>
      <c r="Q40" s="73" t="s">
        <v>283</v>
      </c>
      <c r="R40" s="73" t="s">
        <v>283</v>
      </c>
    </row>
    <row r="41" spans="1:18">
      <c r="A41" s="393" t="s">
        <v>277</v>
      </c>
      <c r="B41" s="393" t="s">
        <v>278</v>
      </c>
      <c r="C41" s="392" t="s">
        <v>246</v>
      </c>
      <c r="D41" s="393" t="s">
        <v>313</v>
      </c>
      <c r="E41" s="393" t="s">
        <v>314</v>
      </c>
      <c r="F41" s="72" t="s">
        <v>44</v>
      </c>
      <c r="G41" s="73">
        <v>10740067</v>
      </c>
      <c r="H41" s="73">
        <v>988922</v>
      </c>
      <c r="I41" s="73">
        <v>1336097</v>
      </c>
      <c r="J41" s="73">
        <v>1273395</v>
      </c>
      <c r="K41" s="73">
        <v>1118421</v>
      </c>
      <c r="L41" s="73">
        <v>1274774</v>
      </c>
      <c r="M41" s="73">
        <v>1601841</v>
      </c>
      <c r="N41" s="73">
        <v>1548567</v>
      </c>
      <c r="O41" s="73">
        <v>1598050</v>
      </c>
      <c r="P41" s="73" t="s">
        <v>283</v>
      </c>
      <c r="Q41" s="73" t="s">
        <v>283</v>
      </c>
      <c r="R41" s="73" t="s">
        <v>283</v>
      </c>
    </row>
    <row r="42" spans="1:18">
      <c r="A42" s="393" t="s">
        <v>277</v>
      </c>
      <c r="B42" s="393" t="s">
        <v>278</v>
      </c>
      <c r="C42" s="392" t="s">
        <v>315</v>
      </c>
      <c r="D42" s="393" t="s">
        <v>313</v>
      </c>
      <c r="E42" s="393" t="s">
        <v>281</v>
      </c>
      <c r="F42" s="72" t="s">
        <v>282</v>
      </c>
      <c r="G42" s="73">
        <v>66415</v>
      </c>
      <c r="H42" s="73" t="s">
        <v>283</v>
      </c>
      <c r="I42" s="73" t="s">
        <v>283</v>
      </c>
      <c r="J42" s="73" t="s">
        <v>283</v>
      </c>
      <c r="K42" s="73" t="s">
        <v>283</v>
      </c>
      <c r="L42" s="73" t="s">
        <v>283</v>
      </c>
      <c r="M42" s="73" t="s">
        <v>283</v>
      </c>
      <c r="N42" s="73" t="s">
        <v>283</v>
      </c>
      <c r="O42" s="73" t="s">
        <v>283</v>
      </c>
      <c r="P42" s="73" t="s">
        <v>283</v>
      </c>
      <c r="Q42" s="73">
        <v>26536</v>
      </c>
      <c r="R42" s="73">
        <v>39879</v>
      </c>
    </row>
    <row r="43" spans="1:18">
      <c r="A43" s="393" t="s">
        <v>277</v>
      </c>
      <c r="B43" s="393" t="s">
        <v>278</v>
      </c>
      <c r="C43" s="392" t="s">
        <v>315</v>
      </c>
      <c r="D43" s="393" t="s">
        <v>313</v>
      </c>
      <c r="E43" s="393" t="s">
        <v>281</v>
      </c>
      <c r="F43" s="72" t="s">
        <v>284</v>
      </c>
      <c r="G43" s="73" t="s">
        <v>316</v>
      </c>
      <c r="H43" s="73" t="s">
        <v>283</v>
      </c>
      <c r="I43" s="73" t="s">
        <v>283</v>
      </c>
      <c r="J43" s="73" t="s">
        <v>283</v>
      </c>
      <c r="K43" s="73" t="s">
        <v>283</v>
      </c>
      <c r="L43" s="73" t="s">
        <v>283</v>
      </c>
      <c r="M43" s="73" t="s">
        <v>283</v>
      </c>
      <c r="N43" s="73" t="s">
        <v>283</v>
      </c>
      <c r="O43" s="73" t="s">
        <v>283</v>
      </c>
      <c r="P43" s="73" t="s">
        <v>283</v>
      </c>
      <c r="Q43" s="73" t="s">
        <v>286</v>
      </c>
      <c r="R43" s="73" t="s">
        <v>316</v>
      </c>
    </row>
    <row r="44" spans="1:18">
      <c r="A44" s="393" t="s">
        <v>277</v>
      </c>
      <c r="B44" s="393" t="s">
        <v>278</v>
      </c>
      <c r="C44" s="392" t="s">
        <v>315</v>
      </c>
      <c r="D44" s="393" t="s">
        <v>313</v>
      </c>
      <c r="E44" s="393" t="s">
        <v>281</v>
      </c>
      <c r="F44" s="72" t="s">
        <v>44</v>
      </c>
      <c r="G44" s="73">
        <v>66595</v>
      </c>
      <c r="H44" s="73" t="s">
        <v>283</v>
      </c>
      <c r="I44" s="73" t="s">
        <v>283</v>
      </c>
      <c r="J44" s="73" t="s">
        <v>283</v>
      </c>
      <c r="K44" s="73" t="s">
        <v>283</v>
      </c>
      <c r="L44" s="73" t="s">
        <v>283</v>
      </c>
      <c r="M44" s="73" t="s">
        <v>283</v>
      </c>
      <c r="N44" s="73" t="s">
        <v>283</v>
      </c>
      <c r="O44" s="73" t="s">
        <v>283</v>
      </c>
      <c r="P44" s="73" t="s">
        <v>283</v>
      </c>
      <c r="Q44" s="73">
        <v>26536</v>
      </c>
      <c r="R44" s="73">
        <v>40059</v>
      </c>
    </row>
    <row r="45" spans="1:18">
      <c r="A45" s="393" t="s">
        <v>277</v>
      </c>
      <c r="B45" s="393" t="s">
        <v>278</v>
      </c>
      <c r="C45" s="392" t="s">
        <v>244</v>
      </c>
      <c r="D45" s="393" t="s">
        <v>313</v>
      </c>
      <c r="E45" s="393" t="s">
        <v>314</v>
      </c>
      <c r="F45" s="72" t="s">
        <v>282</v>
      </c>
      <c r="G45" s="73">
        <v>3147659</v>
      </c>
      <c r="H45" s="73">
        <v>317297</v>
      </c>
      <c r="I45" s="73">
        <v>291406</v>
      </c>
      <c r="J45" s="73">
        <v>251347</v>
      </c>
      <c r="K45" s="73">
        <v>260354</v>
      </c>
      <c r="L45" s="73">
        <v>330888</v>
      </c>
      <c r="M45" s="73">
        <v>556554</v>
      </c>
      <c r="N45" s="73">
        <v>550166</v>
      </c>
      <c r="O45" s="73">
        <v>589647</v>
      </c>
      <c r="P45" s="73" t="s">
        <v>283</v>
      </c>
      <c r="Q45" s="73" t="s">
        <v>283</v>
      </c>
      <c r="R45" s="73" t="s">
        <v>283</v>
      </c>
    </row>
    <row r="46" spans="1:18">
      <c r="A46" s="393" t="s">
        <v>277</v>
      </c>
      <c r="B46" s="393" t="s">
        <v>278</v>
      </c>
      <c r="C46" s="392" t="s">
        <v>244</v>
      </c>
      <c r="D46" s="393" t="s">
        <v>313</v>
      </c>
      <c r="E46" s="393" t="s">
        <v>314</v>
      </c>
      <c r="F46" s="72" t="s">
        <v>44</v>
      </c>
      <c r="G46" s="73">
        <v>3147659</v>
      </c>
      <c r="H46" s="73">
        <v>317297</v>
      </c>
      <c r="I46" s="73">
        <v>291406</v>
      </c>
      <c r="J46" s="73">
        <v>251347</v>
      </c>
      <c r="K46" s="73">
        <v>260354</v>
      </c>
      <c r="L46" s="73">
        <v>330888</v>
      </c>
      <c r="M46" s="73">
        <v>556554</v>
      </c>
      <c r="N46" s="73">
        <v>550166</v>
      </c>
      <c r="O46" s="73">
        <v>589647</v>
      </c>
      <c r="P46" s="73" t="s">
        <v>283</v>
      </c>
      <c r="Q46" s="73" t="s">
        <v>283</v>
      </c>
      <c r="R46" s="73" t="s">
        <v>283</v>
      </c>
    </row>
    <row r="47" spans="1:18">
      <c r="A47" s="393" t="s">
        <v>277</v>
      </c>
      <c r="B47" s="393" t="s">
        <v>278</v>
      </c>
      <c r="C47" s="392" t="s">
        <v>242</v>
      </c>
      <c r="D47" s="393" t="s">
        <v>313</v>
      </c>
      <c r="E47" s="72" t="s">
        <v>314</v>
      </c>
      <c r="F47" s="72" t="s">
        <v>282</v>
      </c>
      <c r="G47" s="73">
        <v>810577</v>
      </c>
      <c r="H47" s="73">
        <v>120167</v>
      </c>
      <c r="I47" s="73">
        <v>146101</v>
      </c>
      <c r="J47" s="73">
        <v>104806</v>
      </c>
      <c r="K47" s="73">
        <v>97877</v>
      </c>
      <c r="L47" s="73">
        <v>100260</v>
      </c>
      <c r="M47" s="73">
        <v>108947</v>
      </c>
      <c r="N47" s="73">
        <v>75745</v>
      </c>
      <c r="O47" s="73">
        <v>56674</v>
      </c>
      <c r="P47" s="73" t="s">
        <v>283</v>
      </c>
      <c r="Q47" s="73" t="s">
        <v>283</v>
      </c>
      <c r="R47" s="73" t="s">
        <v>283</v>
      </c>
    </row>
    <row r="48" spans="1:18" ht="13.5" customHeight="1">
      <c r="A48" s="393" t="s">
        <v>277</v>
      </c>
      <c r="B48" s="393" t="s">
        <v>278</v>
      </c>
      <c r="C48" s="392" t="s">
        <v>242</v>
      </c>
      <c r="D48" s="393" t="s">
        <v>313</v>
      </c>
      <c r="E48" s="393" t="s">
        <v>281</v>
      </c>
      <c r="F48" s="72" t="s">
        <v>282</v>
      </c>
      <c r="G48" s="73">
        <v>140458</v>
      </c>
      <c r="H48" s="73" t="s">
        <v>283</v>
      </c>
      <c r="I48" s="73" t="s">
        <v>283</v>
      </c>
      <c r="J48" s="73" t="s">
        <v>283</v>
      </c>
      <c r="K48" s="73" t="s">
        <v>283</v>
      </c>
      <c r="L48" s="73" t="s">
        <v>283</v>
      </c>
      <c r="M48" s="73" t="s">
        <v>283</v>
      </c>
      <c r="N48" s="73" t="s">
        <v>283</v>
      </c>
      <c r="O48" s="73" t="s">
        <v>283</v>
      </c>
      <c r="P48" s="73">
        <v>64009</v>
      </c>
      <c r="Q48" s="73">
        <v>35698</v>
      </c>
      <c r="R48" s="73">
        <v>40751</v>
      </c>
    </row>
    <row r="49" spans="1:18" ht="13.5" customHeight="1">
      <c r="A49" s="393" t="s">
        <v>277</v>
      </c>
      <c r="B49" s="393" t="s">
        <v>278</v>
      </c>
      <c r="C49" s="392" t="s">
        <v>242</v>
      </c>
      <c r="D49" s="393" t="s">
        <v>313</v>
      </c>
      <c r="E49" s="393" t="s">
        <v>281</v>
      </c>
      <c r="F49" s="72" t="s">
        <v>44</v>
      </c>
      <c r="G49" s="73">
        <v>140458</v>
      </c>
      <c r="H49" s="73" t="s">
        <v>283</v>
      </c>
      <c r="I49" s="73" t="s">
        <v>283</v>
      </c>
      <c r="J49" s="73" t="s">
        <v>283</v>
      </c>
      <c r="K49" s="73" t="s">
        <v>283</v>
      </c>
      <c r="L49" s="73" t="s">
        <v>283</v>
      </c>
      <c r="M49" s="73" t="s">
        <v>283</v>
      </c>
      <c r="N49" s="73" t="s">
        <v>283</v>
      </c>
      <c r="O49" s="73" t="s">
        <v>283</v>
      </c>
      <c r="P49" s="73">
        <v>64009</v>
      </c>
      <c r="Q49" s="73">
        <v>35698</v>
      </c>
      <c r="R49" s="73">
        <v>40751</v>
      </c>
    </row>
    <row r="50" spans="1:18" ht="13.5" customHeight="1">
      <c r="A50" s="393" t="s">
        <v>277</v>
      </c>
      <c r="B50" s="393" t="s">
        <v>278</v>
      </c>
      <c r="C50" s="392" t="s">
        <v>242</v>
      </c>
      <c r="D50" s="393" t="s">
        <v>313</v>
      </c>
      <c r="E50" s="72" t="s">
        <v>314</v>
      </c>
      <c r="F50" s="72" t="s">
        <v>44</v>
      </c>
      <c r="G50" s="73">
        <v>810577</v>
      </c>
      <c r="H50" s="73">
        <v>120167</v>
      </c>
      <c r="I50" s="73">
        <v>146101</v>
      </c>
      <c r="J50" s="73">
        <v>104806</v>
      </c>
      <c r="K50" s="73">
        <v>97877</v>
      </c>
      <c r="L50" s="73">
        <v>100260</v>
      </c>
      <c r="M50" s="73">
        <v>108947</v>
      </c>
      <c r="N50" s="73">
        <v>75745</v>
      </c>
      <c r="O50" s="73">
        <v>56674</v>
      </c>
      <c r="P50" s="73" t="s">
        <v>283</v>
      </c>
      <c r="Q50" s="73" t="s">
        <v>283</v>
      </c>
      <c r="R50" s="73" t="s">
        <v>283</v>
      </c>
    </row>
    <row r="51" spans="1:18" ht="13.5" customHeight="1">
      <c r="A51" s="393" t="s">
        <v>277</v>
      </c>
      <c r="B51" s="393" t="s">
        <v>278</v>
      </c>
      <c r="C51" s="392" t="s">
        <v>240</v>
      </c>
      <c r="D51" s="393" t="s">
        <v>313</v>
      </c>
      <c r="E51" s="393" t="s">
        <v>314</v>
      </c>
      <c r="F51" s="72" t="s">
        <v>282</v>
      </c>
      <c r="G51" s="73">
        <v>377688</v>
      </c>
      <c r="H51" s="73">
        <v>71411</v>
      </c>
      <c r="I51" s="73">
        <v>71653</v>
      </c>
      <c r="J51" s="73">
        <v>58232</v>
      </c>
      <c r="K51" s="73">
        <v>49133</v>
      </c>
      <c r="L51" s="73">
        <v>38632</v>
      </c>
      <c r="M51" s="73">
        <v>47160</v>
      </c>
      <c r="N51" s="73">
        <v>28674</v>
      </c>
      <c r="O51" s="73">
        <v>12793</v>
      </c>
      <c r="P51" s="73" t="s">
        <v>283</v>
      </c>
      <c r="Q51" s="73" t="s">
        <v>283</v>
      </c>
      <c r="R51" s="73" t="s">
        <v>283</v>
      </c>
    </row>
    <row r="52" spans="1:18">
      <c r="A52" s="393" t="s">
        <v>277</v>
      </c>
      <c r="B52" s="393" t="s">
        <v>278</v>
      </c>
      <c r="C52" s="392" t="s">
        <v>240</v>
      </c>
      <c r="D52" s="393" t="s">
        <v>313</v>
      </c>
      <c r="E52" s="393" t="s">
        <v>314</v>
      </c>
      <c r="F52" s="72" t="s">
        <v>44</v>
      </c>
      <c r="G52" s="73">
        <v>377688</v>
      </c>
      <c r="H52" s="73">
        <v>71411</v>
      </c>
      <c r="I52" s="73">
        <v>71653</v>
      </c>
      <c r="J52" s="73">
        <v>58232</v>
      </c>
      <c r="K52" s="73">
        <v>49133</v>
      </c>
      <c r="L52" s="73">
        <v>38632</v>
      </c>
      <c r="M52" s="73">
        <v>47160</v>
      </c>
      <c r="N52" s="73">
        <v>28674</v>
      </c>
      <c r="O52" s="73">
        <v>12793</v>
      </c>
      <c r="P52" s="73" t="s">
        <v>283</v>
      </c>
      <c r="Q52" s="73" t="s">
        <v>283</v>
      </c>
      <c r="R52" s="73" t="s">
        <v>283</v>
      </c>
    </row>
  </sheetData>
  <mergeCells count="60">
    <mergeCell ref="G1:G2"/>
    <mergeCell ref="H1:R1"/>
    <mergeCell ref="A3:A52"/>
    <mergeCell ref="B3:B52"/>
    <mergeCell ref="C3:C5"/>
    <mergeCell ref="D3:D5"/>
    <mergeCell ref="E3:E5"/>
    <mergeCell ref="C6:C8"/>
    <mergeCell ref="D6:D8"/>
    <mergeCell ref="E6:E8"/>
    <mergeCell ref="A1:A2"/>
    <mergeCell ref="B1:B2"/>
    <mergeCell ref="C1:C2"/>
    <mergeCell ref="D1:D2"/>
    <mergeCell ref="E1:E2"/>
    <mergeCell ref="F1:F2"/>
    <mergeCell ref="C9:C11"/>
    <mergeCell ref="D9:D11"/>
    <mergeCell ref="E9:E11"/>
    <mergeCell ref="C12:C14"/>
    <mergeCell ref="D12:D14"/>
    <mergeCell ref="E12:E14"/>
    <mergeCell ref="C15:C17"/>
    <mergeCell ref="D15:D17"/>
    <mergeCell ref="E15:E17"/>
    <mergeCell ref="C18:C20"/>
    <mergeCell ref="D18:D20"/>
    <mergeCell ref="E18:E20"/>
    <mergeCell ref="C21:C23"/>
    <mergeCell ref="D21:D23"/>
    <mergeCell ref="E21:E23"/>
    <mergeCell ref="C24:C26"/>
    <mergeCell ref="D24:D26"/>
    <mergeCell ref="E24:E26"/>
    <mergeCell ref="C40:C41"/>
    <mergeCell ref="D40:D41"/>
    <mergeCell ref="E40:E41"/>
    <mergeCell ref="C27:C29"/>
    <mergeCell ref="D27:D29"/>
    <mergeCell ref="E27:E29"/>
    <mergeCell ref="C30:C32"/>
    <mergeCell ref="D30:D32"/>
    <mergeCell ref="E30:E32"/>
    <mergeCell ref="C33:C35"/>
    <mergeCell ref="D33:D35"/>
    <mergeCell ref="E33:E35"/>
    <mergeCell ref="C36:C39"/>
    <mergeCell ref="D36:D39"/>
    <mergeCell ref="C42:C44"/>
    <mergeCell ref="D42:D44"/>
    <mergeCell ref="E42:E44"/>
    <mergeCell ref="C45:C46"/>
    <mergeCell ref="D45:D46"/>
    <mergeCell ref="E45:E46"/>
    <mergeCell ref="C47:C50"/>
    <mergeCell ref="D47:D50"/>
    <mergeCell ref="E48:E49"/>
    <mergeCell ref="C51:C52"/>
    <mergeCell ref="D51:D52"/>
    <mergeCell ref="E51:E5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8"/>
  </sheetPr>
  <dimension ref="A1:K70"/>
  <sheetViews>
    <sheetView view="pageBreakPreview" topLeftCell="A2" zoomScale="85" workbookViewId="0">
      <selection activeCell="F62" sqref="F62:G62"/>
    </sheetView>
  </sheetViews>
  <sheetFormatPr defaultRowHeight="21.95" customHeight="1"/>
  <cols>
    <col min="1" max="10" width="7.33203125" style="13" customWidth="1"/>
    <col min="11" max="12" width="6.77734375" style="13" customWidth="1"/>
    <col min="13" max="16384" width="8.88671875" style="13"/>
  </cols>
  <sheetData>
    <row r="1" spans="1:10" ht="39.950000000000003" customHeight="1">
      <c r="A1" s="36" t="s">
        <v>239</v>
      </c>
    </row>
    <row r="2" spans="1:10" ht="30" customHeight="1">
      <c r="A2" s="13" t="s">
        <v>253</v>
      </c>
    </row>
    <row r="3" spans="1:10" ht="30" customHeight="1">
      <c r="A3" s="13" t="s">
        <v>254</v>
      </c>
    </row>
    <row r="4" spans="1:10" ht="30" customHeight="1">
      <c r="A4" s="13" t="s">
        <v>255</v>
      </c>
    </row>
    <row r="5" spans="1:10" ht="30" customHeight="1">
      <c r="A5" s="13" t="s">
        <v>256</v>
      </c>
    </row>
    <row r="6" spans="1:10" ht="30" customHeight="1">
      <c r="A6" s="13" t="s">
        <v>63</v>
      </c>
    </row>
    <row r="7" spans="1:10" ht="30" customHeight="1">
      <c r="A7" s="13" t="s">
        <v>64</v>
      </c>
    </row>
    <row r="8" spans="1:10" ht="30" customHeight="1">
      <c r="A8" s="13" t="s">
        <v>65</v>
      </c>
    </row>
    <row r="9" spans="1:10" ht="30" customHeight="1">
      <c r="A9" s="13" t="s">
        <v>113</v>
      </c>
    </row>
    <row r="10" spans="1:10" ht="30" customHeight="1">
      <c r="A10" s="13" t="s">
        <v>66</v>
      </c>
    </row>
    <row r="11" spans="1:10" ht="30" customHeight="1">
      <c r="A11" s="397" t="s">
        <v>247</v>
      </c>
      <c r="B11" s="397"/>
      <c r="C11" s="397" t="s">
        <v>252</v>
      </c>
      <c r="D11" s="397"/>
      <c r="E11" s="397"/>
      <c r="F11" s="397"/>
      <c r="G11" s="397"/>
      <c r="H11" s="397"/>
      <c r="I11" s="397" t="s">
        <v>188</v>
      </c>
      <c r="J11" s="397"/>
    </row>
    <row r="12" spans="1:10" ht="30" customHeight="1">
      <c r="A12" s="397"/>
      <c r="B12" s="397"/>
      <c r="C12" s="397" t="s">
        <v>57</v>
      </c>
      <c r="D12" s="397"/>
      <c r="E12" s="397" t="s">
        <v>258</v>
      </c>
      <c r="F12" s="397"/>
      <c r="G12" s="397" t="s">
        <v>259</v>
      </c>
      <c r="H12" s="397"/>
      <c r="I12" s="397"/>
      <c r="J12" s="397"/>
    </row>
    <row r="13" spans="1:10" ht="30" customHeight="1">
      <c r="A13" s="397" t="s">
        <v>240</v>
      </c>
      <c r="B13" s="397"/>
      <c r="C13" s="400" t="str">
        <f>Sheet1!P52</f>
        <v>-</v>
      </c>
      <c r="D13" s="401"/>
      <c r="E13" s="400" t="str">
        <f>Sheet1!R52</f>
        <v>-</v>
      </c>
      <c r="F13" s="401"/>
      <c r="G13" s="400">
        <f>Sheet1!T52</f>
        <v>0</v>
      </c>
      <c r="H13" s="401"/>
      <c r="I13" s="397" t="s">
        <v>249</v>
      </c>
      <c r="J13" s="397"/>
    </row>
    <row r="14" spans="1:10" ht="30" customHeight="1">
      <c r="A14" s="397" t="s">
        <v>241</v>
      </c>
      <c r="B14" s="397"/>
      <c r="C14" s="400">
        <f>Sheet1!P38</f>
        <v>75062</v>
      </c>
      <c r="D14" s="401"/>
      <c r="E14" s="400">
        <f>Sheet1!R38</f>
        <v>51194</v>
      </c>
      <c r="F14" s="401"/>
      <c r="G14" s="400">
        <f>Sheet1!T38</f>
        <v>0</v>
      </c>
      <c r="H14" s="401"/>
      <c r="I14" s="397" t="s">
        <v>249</v>
      </c>
      <c r="J14" s="397"/>
    </row>
    <row r="15" spans="1:10" ht="30" customHeight="1">
      <c r="A15" s="397" t="s">
        <v>242</v>
      </c>
      <c r="B15" s="397"/>
      <c r="C15" s="400">
        <f>Sheet1!P49</f>
        <v>64009</v>
      </c>
      <c r="D15" s="401"/>
      <c r="E15" s="400">
        <f>Sheet1!R49</f>
        <v>40751</v>
      </c>
      <c r="F15" s="401"/>
      <c r="G15" s="400">
        <f>Sheet1!T49</f>
        <v>0</v>
      </c>
      <c r="H15" s="401"/>
      <c r="I15" s="397" t="s">
        <v>249</v>
      </c>
      <c r="J15" s="397"/>
    </row>
    <row r="16" spans="1:10" ht="30" customHeight="1">
      <c r="A16" s="397" t="s">
        <v>243</v>
      </c>
      <c r="B16" s="397"/>
      <c r="C16" s="398">
        <f>Sheet1!P23+Sheet1!P26+Sheet1!P29</f>
        <v>121726</v>
      </c>
      <c r="D16" s="399"/>
      <c r="E16" s="398">
        <f>Sheet1!R23+Sheet1!R26+Sheet1!R29</f>
        <v>116128</v>
      </c>
      <c r="F16" s="399"/>
      <c r="G16" s="398">
        <f>Sheet1!T23+Sheet1!T26+Sheet1!T29</f>
        <v>0</v>
      </c>
      <c r="H16" s="399"/>
      <c r="I16" s="397" t="s">
        <v>250</v>
      </c>
      <c r="J16" s="397"/>
    </row>
    <row r="17" spans="1:11" ht="30" customHeight="1">
      <c r="A17" s="397" t="s">
        <v>244</v>
      </c>
      <c r="B17" s="397"/>
      <c r="C17" s="398" t="str">
        <f>Sheet1!P46</f>
        <v>-</v>
      </c>
      <c r="D17" s="399"/>
      <c r="E17" s="398" t="str">
        <f>Sheet1!R46</f>
        <v>-</v>
      </c>
      <c r="F17" s="399"/>
      <c r="G17" s="398">
        <f>Sheet1!T46</f>
        <v>0</v>
      </c>
      <c r="H17" s="399"/>
      <c r="I17" s="397" t="s">
        <v>249</v>
      </c>
      <c r="J17" s="397"/>
    </row>
    <row r="18" spans="1:11" ht="30" customHeight="1">
      <c r="A18" s="397" t="s">
        <v>245</v>
      </c>
      <c r="B18" s="397"/>
      <c r="C18" s="398">
        <f>Sheet1!P35</f>
        <v>147046</v>
      </c>
      <c r="D18" s="399"/>
      <c r="E18" s="398">
        <f>Sheet1!R35</f>
        <v>167824</v>
      </c>
      <c r="F18" s="399"/>
      <c r="G18" s="398">
        <f>Sheet1!T35</f>
        <v>0</v>
      </c>
      <c r="H18" s="399"/>
      <c r="I18" s="397" t="s">
        <v>250</v>
      </c>
      <c r="J18" s="397"/>
    </row>
    <row r="19" spans="1:11" ht="30" customHeight="1">
      <c r="A19" s="405" t="s">
        <v>246</v>
      </c>
      <c r="B19" s="405"/>
      <c r="C19" s="403">
        <f>Sheet1!M41</f>
        <v>1601841</v>
      </c>
      <c r="D19" s="404"/>
      <c r="E19" s="403">
        <f>Sheet1!O41</f>
        <v>1598050</v>
      </c>
      <c r="F19" s="404"/>
      <c r="G19" s="403" t="str">
        <f>Sheet1!Q41</f>
        <v>-</v>
      </c>
      <c r="H19" s="404"/>
      <c r="I19" s="405" t="s">
        <v>249</v>
      </c>
      <c r="J19" s="405"/>
      <c r="K19" s="13" t="s">
        <v>317</v>
      </c>
    </row>
    <row r="20" spans="1:11" ht="30" customHeight="1">
      <c r="A20" s="397" t="s">
        <v>248</v>
      </c>
      <c r="B20" s="397"/>
      <c r="C20" s="402">
        <f>SUM(C13:D19)</f>
        <v>2009684</v>
      </c>
      <c r="D20" s="402"/>
      <c r="E20" s="402">
        <f>SUM(E13:F19)</f>
        <v>1973947</v>
      </c>
      <c r="F20" s="402"/>
      <c r="G20" s="402">
        <f>SUM(G13:H19)</f>
        <v>0</v>
      </c>
      <c r="H20" s="402"/>
      <c r="I20" s="402"/>
      <c r="J20" s="402"/>
    </row>
    <row r="21" spans="1:11" ht="21.95" customHeight="1">
      <c r="A21" s="13" t="s">
        <v>251</v>
      </c>
    </row>
    <row r="22" spans="1:11" ht="21.95" customHeight="1">
      <c r="A22" s="13" t="s">
        <v>58</v>
      </c>
    </row>
    <row r="24" spans="1:11" ht="23.1" customHeight="1">
      <c r="A24" s="13" t="s">
        <v>67</v>
      </c>
    </row>
    <row r="25" spans="1:11" ht="23.1" customHeight="1">
      <c r="A25" s="13" t="s">
        <v>68</v>
      </c>
    </row>
    <row r="26" spans="1:11" ht="23.1" customHeight="1">
      <c r="B26" s="13" t="s">
        <v>69</v>
      </c>
    </row>
    <row r="27" spans="1:11" ht="23.1" customHeight="1">
      <c r="B27" s="13" t="s">
        <v>70</v>
      </c>
    </row>
    <row r="28" spans="1:11" ht="23.1" customHeight="1">
      <c r="A28" s="13" t="s">
        <v>71</v>
      </c>
    </row>
    <row r="29" spans="1:11" ht="23.1" customHeight="1">
      <c r="H29" s="16" t="s">
        <v>77</v>
      </c>
    </row>
    <row r="30" spans="1:11" ht="23.1" customHeight="1">
      <c r="A30" s="397" t="s">
        <v>72</v>
      </c>
      <c r="B30" s="397"/>
      <c r="C30" s="397" t="s">
        <v>74</v>
      </c>
      <c r="D30" s="397"/>
      <c r="E30" s="397" t="s">
        <v>75</v>
      </c>
      <c r="F30" s="397"/>
      <c r="G30" s="397" t="s">
        <v>76</v>
      </c>
      <c r="H30" s="397"/>
    </row>
    <row r="31" spans="1:11" ht="23.1" customHeight="1">
      <c r="A31" s="397" t="s">
        <v>73</v>
      </c>
      <c r="B31" s="397"/>
      <c r="C31" s="397">
        <f>AVERAGE(C19:H19)</f>
        <v>1599945.5</v>
      </c>
      <c r="D31" s="397"/>
      <c r="E31" s="397">
        <f>C31/365</f>
        <v>4383.4123287671237</v>
      </c>
      <c r="F31" s="397"/>
      <c r="G31" s="397"/>
      <c r="H31" s="397"/>
    </row>
    <row r="32" spans="1:11" ht="23.1" customHeight="1"/>
    <row r="33" spans="1:10" ht="23.1" customHeight="1"/>
    <row r="34" spans="1:10" ht="23.1" customHeight="1">
      <c r="A34" s="13" t="s">
        <v>78</v>
      </c>
    </row>
    <row r="35" spans="1:10" ht="23.1" customHeight="1">
      <c r="B35" s="13" t="s">
        <v>79</v>
      </c>
    </row>
    <row r="36" spans="1:10" ht="23.1" customHeight="1">
      <c r="B36" s="13" t="s">
        <v>80</v>
      </c>
    </row>
    <row r="37" spans="1:10" ht="23.1" customHeight="1">
      <c r="A37" s="10" t="s">
        <v>81</v>
      </c>
      <c r="B37" s="397" t="s">
        <v>84</v>
      </c>
      <c r="C37" s="397"/>
      <c r="D37" s="397" t="s">
        <v>85</v>
      </c>
      <c r="E37" s="397"/>
      <c r="F37" s="397" t="s">
        <v>86</v>
      </c>
      <c r="G37" s="397"/>
      <c r="H37" s="397" t="s">
        <v>87</v>
      </c>
      <c r="I37" s="397"/>
      <c r="J37" s="15" t="s">
        <v>76</v>
      </c>
    </row>
    <row r="38" spans="1:10" ht="23.1" customHeight="1">
      <c r="A38" s="10" t="s">
        <v>82</v>
      </c>
      <c r="B38" s="406">
        <v>0.125</v>
      </c>
      <c r="C38" s="397"/>
      <c r="D38" s="407">
        <v>6.6666666666666666E-2</v>
      </c>
      <c r="E38" s="397"/>
      <c r="F38" s="407">
        <v>3.3333333333333333E-2</v>
      </c>
      <c r="G38" s="397"/>
      <c r="H38" s="407">
        <v>0.02</v>
      </c>
      <c r="I38" s="397"/>
      <c r="J38" s="15"/>
    </row>
    <row r="39" spans="1:10" ht="23.1" customHeight="1">
      <c r="A39" s="10" t="s">
        <v>83</v>
      </c>
      <c r="B39" s="407">
        <v>3.3333333333333333E-2</v>
      </c>
      <c r="C39" s="397"/>
      <c r="D39" s="407">
        <v>2.5000000000000001E-2</v>
      </c>
      <c r="E39" s="397"/>
      <c r="F39" s="407">
        <v>1.6666666666666666E-2</v>
      </c>
      <c r="G39" s="397"/>
      <c r="H39" s="408" t="s">
        <v>88</v>
      </c>
      <c r="I39" s="408"/>
      <c r="J39" s="15"/>
    </row>
    <row r="40" spans="1:10" ht="23.1" customHeight="1">
      <c r="A40" s="13" t="s">
        <v>89</v>
      </c>
      <c r="B40" s="13" t="s">
        <v>90</v>
      </c>
    </row>
    <row r="41" spans="1:10" ht="23.1" customHeight="1">
      <c r="A41" s="13" t="s">
        <v>91</v>
      </c>
      <c r="B41" s="13" t="s">
        <v>92</v>
      </c>
    </row>
    <row r="42" spans="1:10" ht="23.1" customHeight="1">
      <c r="B42" s="13" t="s">
        <v>93</v>
      </c>
    </row>
    <row r="43" spans="1:10" ht="23.1" customHeight="1">
      <c r="H43" s="16" t="s">
        <v>77</v>
      </c>
    </row>
    <row r="44" spans="1:10" ht="23.1" customHeight="1">
      <c r="A44" s="397" t="s">
        <v>72</v>
      </c>
      <c r="B44" s="397"/>
      <c r="C44" s="397" t="s">
        <v>74</v>
      </c>
      <c r="D44" s="397"/>
      <c r="E44" s="397" t="s">
        <v>94</v>
      </c>
      <c r="F44" s="397"/>
      <c r="G44" s="397" t="s">
        <v>76</v>
      </c>
      <c r="H44" s="397"/>
    </row>
    <row r="45" spans="1:10" ht="23.1" customHeight="1">
      <c r="A45" s="397" t="s">
        <v>73</v>
      </c>
      <c r="B45" s="397"/>
      <c r="C45" s="397">
        <f>C31</f>
        <v>1599945.5</v>
      </c>
      <c r="D45" s="397"/>
      <c r="E45" s="397">
        <f>C45/15</f>
        <v>106663.03333333334</v>
      </c>
      <c r="F45" s="397"/>
      <c r="G45" s="397"/>
      <c r="H45" s="397"/>
    </row>
    <row r="46" spans="1:10" ht="23.1" customHeight="1"/>
    <row r="47" spans="1:10" ht="23.1" customHeight="1">
      <c r="A47" s="13" t="s">
        <v>95</v>
      </c>
    </row>
    <row r="48" spans="1:10" ht="23.1" customHeight="1">
      <c r="B48" s="13" t="s">
        <v>96</v>
      </c>
    </row>
    <row r="49" spans="1:10" ht="23.1" customHeight="1">
      <c r="B49" s="13" t="s">
        <v>99</v>
      </c>
    </row>
    <row r="50" spans="1:10" ht="23.1" customHeight="1">
      <c r="H50" s="16" t="s">
        <v>77</v>
      </c>
    </row>
    <row r="51" spans="1:10" ht="23.1" customHeight="1">
      <c r="A51" s="397" t="s">
        <v>72</v>
      </c>
      <c r="B51" s="397"/>
      <c r="C51" s="397" t="s">
        <v>97</v>
      </c>
      <c r="D51" s="397"/>
      <c r="E51" s="397" t="s">
        <v>98</v>
      </c>
      <c r="F51" s="397"/>
      <c r="G51" s="397" t="s">
        <v>76</v>
      </c>
      <c r="H51" s="397"/>
    </row>
    <row r="52" spans="1:10" ht="23.1" customHeight="1">
      <c r="A52" s="397" t="s">
        <v>73</v>
      </c>
      <c r="B52" s="397"/>
      <c r="C52" s="397">
        <f>E45*G52</f>
        <v>5333.1516666666676</v>
      </c>
      <c r="D52" s="397"/>
      <c r="E52" s="397">
        <f>E45-C52</f>
        <v>101329.88166666667</v>
      </c>
      <c r="F52" s="397"/>
      <c r="G52" s="409">
        <v>0.05</v>
      </c>
      <c r="H52" s="409"/>
    </row>
    <row r="54" spans="1:10" ht="24.95" customHeight="1">
      <c r="A54" s="13" t="s">
        <v>100</v>
      </c>
    </row>
    <row r="55" spans="1:10" ht="24.95" customHeight="1">
      <c r="B55" s="13" t="s">
        <v>101</v>
      </c>
    </row>
    <row r="56" spans="1:10" ht="24.95" customHeight="1">
      <c r="B56" s="13" t="s">
        <v>102</v>
      </c>
    </row>
    <row r="57" spans="1:10" ht="24.95" customHeight="1">
      <c r="B57" s="13" t="s">
        <v>103</v>
      </c>
    </row>
    <row r="58" spans="1:10" ht="24.95" customHeight="1">
      <c r="A58" s="397" t="s">
        <v>72</v>
      </c>
      <c r="B58" s="397"/>
      <c r="C58" s="397"/>
      <c r="D58" s="397" t="s">
        <v>97</v>
      </c>
      <c r="E58" s="397"/>
      <c r="F58" s="397" t="s">
        <v>98</v>
      </c>
      <c r="G58" s="397"/>
      <c r="H58" s="400" t="s">
        <v>76</v>
      </c>
      <c r="I58" s="410"/>
      <c r="J58" s="401"/>
    </row>
    <row r="59" spans="1:10" ht="24.95" customHeight="1">
      <c r="A59" s="411" t="s">
        <v>104</v>
      </c>
      <c r="B59" s="412"/>
      <c r="C59" s="10" t="s">
        <v>105</v>
      </c>
      <c r="D59" s="400">
        <v>54</v>
      </c>
      <c r="E59" s="410"/>
      <c r="F59" s="410"/>
      <c r="G59" s="401"/>
      <c r="H59" s="411" t="s">
        <v>107</v>
      </c>
      <c r="I59" s="415"/>
      <c r="J59" s="412"/>
    </row>
    <row r="60" spans="1:10" ht="24.95" customHeight="1">
      <c r="A60" s="413"/>
      <c r="B60" s="414"/>
      <c r="C60" s="10" t="s">
        <v>106</v>
      </c>
      <c r="D60" s="400">
        <f>D59*1.35</f>
        <v>72.900000000000006</v>
      </c>
      <c r="E60" s="410"/>
      <c r="F60" s="410"/>
      <c r="G60" s="401"/>
      <c r="H60" s="413"/>
      <c r="I60" s="416"/>
      <c r="J60" s="414"/>
    </row>
    <row r="61" spans="1:10" ht="24.95" customHeight="1">
      <c r="A61" s="397" t="s">
        <v>108</v>
      </c>
      <c r="B61" s="397"/>
      <c r="C61" s="397"/>
      <c r="D61" s="397">
        <f>C52</f>
        <v>5333.1516666666676</v>
      </c>
      <c r="E61" s="397"/>
      <c r="F61" s="397">
        <f>E52</f>
        <v>101329.88166666667</v>
      </c>
      <c r="G61" s="397"/>
      <c r="H61" s="400"/>
      <c r="I61" s="410"/>
      <c r="J61" s="401"/>
    </row>
    <row r="62" spans="1:10" ht="24.95" customHeight="1">
      <c r="A62" s="411" t="s">
        <v>109</v>
      </c>
      <c r="B62" s="412"/>
      <c r="C62" s="10" t="s">
        <v>105</v>
      </c>
      <c r="D62" s="397">
        <f>ROUND(D59*50%,0)</f>
        <v>27</v>
      </c>
      <c r="E62" s="397"/>
      <c r="F62" s="397">
        <f>ROUND(D59*15%,0)</f>
        <v>8</v>
      </c>
      <c r="G62" s="397"/>
      <c r="H62" s="400"/>
      <c r="I62" s="410"/>
      <c r="J62" s="401"/>
    </row>
    <row r="63" spans="1:10" ht="24.95" customHeight="1">
      <c r="A63" s="413"/>
      <c r="B63" s="414"/>
      <c r="C63" s="10" t="s">
        <v>106</v>
      </c>
      <c r="D63" s="397">
        <f>D62*1.35</f>
        <v>36.450000000000003</v>
      </c>
      <c r="E63" s="397"/>
      <c r="F63" s="397">
        <f>F62*1.35</f>
        <v>10.8</v>
      </c>
      <c r="G63" s="397"/>
      <c r="H63" s="400"/>
      <c r="I63" s="410"/>
      <c r="J63" s="401"/>
    </row>
    <row r="64" spans="1:10" ht="24.95" customHeight="1">
      <c r="A64" s="411" t="s">
        <v>110</v>
      </c>
      <c r="B64" s="412"/>
      <c r="C64" s="10" t="s">
        <v>105</v>
      </c>
      <c r="D64" s="397">
        <f>D62*D61/1000</f>
        <v>143.99509500000002</v>
      </c>
      <c r="E64" s="397"/>
      <c r="F64" s="397">
        <f>F62*F61/1000</f>
        <v>810.63905333333332</v>
      </c>
      <c r="G64" s="397"/>
      <c r="H64" s="400"/>
      <c r="I64" s="410"/>
      <c r="J64" s="401"/>
    </row>
    <row r="65" spans="1:10" ht="24.95" customHeight="1">
      <c r="A65" s="413"/>
      <c r="B65" s="414"/>
      <c r="C65" s="10" t="s">
        <v>106</v>
      </c>
      <c r="D65" s="397">
        <f>D63*D61/1000</f>
        <v>194.39337825000004</v>
      </c>
      <c r="E65" s="397"/>
      <c r="F65" s="397">
        <f>F63*F61/1000</f>
        <v>1094.3627220000001</v>
      </c>
      <c r="G65" s="397"/>
      <c r="H65" s="400"/>
      <c r="I65" s="410"/>
      <c r="J65" s="401"/>
    </row>
    <row r="66" spans="1:10" ht="24.95" customHeight="1"/>
    <row r="67" spans="1:10" ht="24.95" customHeight="1">
      <c r="A67" s="13" t="s">
        <v>111</v>
      </c>
    </row>
    <row r="68" spans="1:10" ht="24.95" customHeight="1">
      <c r="A68" s="397" t="s">
        <v>72</v>
      </c>
      <c r="B68" s="397"/>
      <c r="C68" s="397"/>
      <c r="D68" s="397" t="s">
        <v>112</v>
      </c>
      <c r="E68" s="397"/>
      <c r="F68" s="397" t="s">
        <v>97</v>
      </c>
      <c r="G68" s="397"/>
      <c r="H68" s="397" t="s">
        <v>98</v>
      </c>
      <c r="I68" s="397"/>
      <c r="J68" s="15" t="s">
        <v>76</v>
      </c>
    </row>
    <row r="69" spans="1:10" ht="24.95" customHeight="1">
      <c r="A69" s="417" t="s">
        <v>110</v>
      </c>
      <c r="B69" s="397"/>
      <c r="C69" s="10" t="s">
        <v>105</v>
      </c>
      <c r="D69" s="397">
        <f>SUM(F69:I69)</f>
        <v>954.63414833333331</v>
      </c>
      <c r="E69" s="397"/>
      <c r="F69" s="397">
        <f>D64</f>
        <v>143.99509500000002</v>
      </c>
      <c r="G69" s="397"/>
      <c r="H69" s="397">
        <f>F64</f>
        <v>810.63905333333332</v>
      </c>
      <c r="I69" s="397"/>
      <c r="J69" s="15"/>
    </row>
    <row r="70" spans="1:10" ht="24.95" customHeight="1">
      <c r="A70" s="397"/>
      <c r="B70" s="397"/>
      <c r="C70" s="10" t="s">
        <v>106</v>
      </c>
      <c r="D70" s="397">
        <f>SUM(F70:I70)</f>
        <v>1288.7561002500001</v>
      </c>
      <c r="E70" s="397"/>
      <c r="F70" s="397">
        <f>D65</f>
        <v>194.39337825000004</v>
      </c>
      <c r="G70" s="397"/>
      <c r="H70" s="397">
        <f>F65</f>
        <v>1094.3627220000001</v>
      </c>
      <c r="I70" s="397"/>
      <c r="J70" s="15"/>
    </row>
  </sheetData>
  <mergeCells count="119">
    <mergeCell ref="F70:G70"/>
    <mergeCell ref="H65:J65"/>
    <mergeCell ref="H70:I70"/>
    <mergeCell ref="D59:G59"/>
    <mergeCell ref="A59:B60"/>
    <mergeCell ref="D60:G60"/>
    <mergeCell ref="H59:J60"/>
    <mergeCell ref="A62:B63"/>
    <mergeCell ref="A64:B65"/>
    <mergeCell ref="D64:E64"/>
    <mergeCell ref="F64:G64"/>
    <mergeCell ref="D63:E63"/>
    <mergeCell ref="F63:G63"/>
    <mergeCell ref="A68:C68"/>
    <mergeCell ref="A69:B70"/>
    <mergeCell ref="F68:G68"/>
    <mergeCell ref="H68:I68"/>
    <mergeCell ref="D68:E68"/>
    <mergeCell ref="D69:E69"/>
    <mergeCell ref="D70:E70"/>
    <mergeCell ref="F69:G69"/>
    <mergeCell ref="H69:I69"/>
    <mergeCell ref="A61:C61"/>
    <mergeCell ref="D61:E61"/>
    <mergeCell ref="A58:C58"/>
    <mergeCell ref="H58:J58"/>
    <mergeCell ref="F61:G61"/>
    <mergeCell ref="D65:E65"/>
    <mergeCell ref="F65:G65"/>
    <mergeCell ref="H64:J64"/>
    <mergeCell ref="H61:J61"/>
    <mergeCell ref="H62:J62"/>
    <mergeCell ref="H63:J63"/>
    <mergeCell ref="D62:E62"/>
    <mergeCell ref="F62:G62"/>
    <mergeCell ref="H39:I39"/>
    <mergeCell ref="H38:I38"/>
    <mergeCell ref="D58:E58"/>
    <mergeCell ref="F58:G58"/>
    <mergeCell ref="G51:H51"/>
    <mergeCell ref="G52:H52"/>
    <mergeCell ref="G45:H45"/>
    <mergeCell ref="G44:H44"/>
    <mergeCell ref="E51:F51"/>
    <mergeCell ref="A52:B52"/>
    <mergeCell ref="C52:D52"/>
    <mergeCell ref="E52:F52"/>
    <mergeCell ref="A45:B45"/>
    <mergeCell ref="C45:D45"/>
    <mergeCell ref="E45:F45"/>
    <mergeCell ref="B38:C38"/>
    <mergeCell ref="A51:B51"/>
    <mergeCell ref="C51:D51"/>
    <mergeCell ref="A44:B44"/>
    <mergeCell ref="C44:D44"/>
    <mergeCell ref="E44:F44"/>
    <mergeCell ref="B39:C39"/>
    <mergeCell ref="D38:E38"/>
    <mergeCell ref="F38:G38"/>
    <mergeCell ref="F39:G39"/>
    <mergeCell ref="D39:E39"/>
    <mergeCell ref="G30:H30"/>
    <mergeCell ref="G31:H31"/>
    <mergeCell ref="D37:E37"/>
    <mergeCell ref="F37:G37"/>
    <mergeCell ref="C13:D13"/>
    <mergeCell ref="E13:F13"/>
    <mergeCell ref="G13:H13"/>
    <mergeCell ref="I13:J13"/>
    <mergeCell ref="I15:J15"/>
    <mergeCell ref="E30:F30"/>
    <mergeCell ref="E31:F31"/>
    <mergeCell ref="B37:C37"/>
    <mergeCell ref="A13:B13"/>
    <mergeCell ref="A14:B14"/>
    <mergeCell ref="A15:B15"/>
    <mergeCell ref="A16:B16"/>
    <mergeCell ref="A17:B17"/>
    <mergeCell ref="A19:B19"/>
    <mergeCell ref="A30:B30"/>
    <mergeCell ref="A31:B31"/>
    <mergeCell ref="C30:D30"/>
    <mergeCell ref="C31:D31"/>
    <mergeCell ref="A20:B20"/>
    <mergeCell ref="H37:I37"/>
    <mergeCell ref="I11:J12"/>
    <mergeCell ref="C20:D20"/>
    <mergeCell ref="E20:F20"/>
    <mergeCell ref="G20:H20"/>
    <mergeCell ref="I20:J20"/>
    <mergeCell ref="C19:D19"/>
    <mergeCell ref="E19:F19"/>
    <mergeCell ref="G19:H19"/>
    <mergeCell ref="I19:J19"/>
    <mergeCell ref="C18:D18"/>
    <mergeCell ref="I14:J14"/>
    <mergeCell ref="I18:J18"/>
    <mergeCell ref="C17:D17"/>
    <mergeCell ref="E17:F17"/>
    <mergeCell ref="G17:H17"/>
    <mergeCell ref="I17:J17"/>
    <mergeCell ref="I16:J16"/>
    <mergeCell ref="C12:D12"/>
    <mergeCell ref="E12:F12"/>
    <mergeCell ref="G12:H12"/>
    <mergeCell ref="C15:D15"/>
    <mergeCell ref="E15:F15"/>
    <mergeCell ref="G15:H15"/>
    <mergeCell ref="G14:H14"/>
    <mergeCell ref="C11:H11"/>
    <mergeCell ref="A11:B12"/>
    <mergeCell ref="A18:B18"/>
    <mergeCell ref="E18:F18"/>
    <mergeCell ref="G18:H18"/>
    <mergeCell ref="C16:D16"/>
    <mergeCell ref="E16:F16"/>
    <mergeCell ref="G16:H16"/>
    <mergeCell ref="C14:D14"/>
    <mergeCell ref="E14:F14"/>
  </mergeCells>
  <phoneticPr fontId="2" type="noConversion"/>
  <pageMargins left="0.59" right="0.6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8"/>
  </sheetPr>
  <dimension ref="A1:M23"/>
  <sheetViews>
    <sheetView showGridLines="0" view="pageBreakPreview" workbookViewId="0">
      <selection activeCell="T14" sqref="T14"/>
    </sheetView>
  </sheetViews>
  <sheetFormatPr defaultRowHeight="30" customHeight="1"/>
  <cols>
    <col min="1" max="2" width="7.109375" style="6" customWidth="1"/>
    <col min="3" max="12" width="5.21875" style="6" customWidth="1"/>
    <col min="13" max="13" width="8.44140625" style="6" customWidth="1"/>
    <col min="14" max="14" width="2.88671875" style="2" customWidth="1"/>
    <col min="15" max="16" width="8.88671875" style="2"/>
    <col min="17" max="17" width="9.44140625" style="2" bestFit="1" customWidth="1"/>
    <col min="18" max="16384" width="8.88671875" style="2"/>
  </cols>
  <sheetData>
    <row r="1" spans="1:13" ht="30" customHeight="1">
      <c r="A1" s="6" t="s">
        <v>116</v>
      </c>
    </row>
    <row r="2" spans="1:13" ht="30" customHeight="1">
      <c r="A2" s="4" t="s">
        <v>34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30" customHeight="1">
      <c r="A3" s="4"/>
      <c r="B3" s="9" t="s">
        <v>35</v>
      </c>
      <c r="C3" s="1"/>
      <c r="D3" s="1"/>
      <c r="E3" s="1"/>
      <c r="F3" s="1"/>
      <c r="G3" s="1"/>
      <c r="H3" s="1"/>
      <c r="J3" s="1"/>
      <c r="K3" s="1"/>
      <c r="L3" s="1"/>
    </row>
    <row r="4" spans="1:13" ht="30" customHeight="1">
      <c r="A4" s="4"/>
      <c r="B4" s="9" t="s">
        <v>37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30" customHeight="1">
      <c r="A5" s="4"/>
      <c r="B5" s="9" t="s">
        <v>36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30" customHeight="1">
      <c r="A6" s="4" t="s">
        <v>38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30" customHeight="1">
      <c r="A7" s="17" t="s">
        <v>27</v>
      </c>
      <c r="B7" s="17"/>
      <c r="C7" s="18" t="s">
        <v>45</v>
      </c>
      <c r="D7" s="17"/>
      <c r="E7" s="18" t="s">
        <v>46</v>
      </c>
      <c r="F7" s="17"/>
      <c r="G7" s="18" t="s">
        <v>47</v>
      </c>
      <c r="H7" s="17"/>
      <c r="I7" s="18" t="s">
        <v>48</v>
      </c>
      <c r="J7" s="17"/>
      <c r="K7" s="18" t="s">
        <v>49</v>
      </c>
      <c r="L7" s="17"/>
      <c r="M7" s="17" t="s">
        <v>28</v>
      </c>
    </row>
    <row r="8" spans="1:13" ht="30" customHeight="1">
      <c r="A8" s="17" t="s">
        <v>44</v>
      </c>
      <c r="B8" s="17"/>
      <c r="C8" s="418">
        <v>80863</v>
      </c>
      <c r="D8" s="419"/>
      <c r="E8" s="418"/>
      <c r="F8" s="419"/>
      <c r="G8" s="418">
        <f>SUM(G9:G13)</f>
        <v>1641</v>
      </c>
      <c r="H8" s="419"/>
      <c r="I8" s="418">
        <f>SUM(I9:I13)</f>
        <v>2215</v>
      </c>
      <c r="J8" s="419"/>
      <c r="K8" s="418">
        <f>SUM(K9:K13)</f>
        <v>2464</v>
      </c>
      <c r="L8" s="419"/>
      <c r="M8" s="20"/>
    </row>
    <row r="9" spans="1:13" ht="30" customHeight="1">
      <c r="A9" s="17" t="s">
        <v>39</v>
      </c>
      <c r="B9" s="17"/>
      <c r="C9" s="418">
        <v>18675</v>
      </c>
      <c r="D9" s="419"/>
      <c r="E9" s="21">
        <v>1200</v>
      </c>
      <c r="F9" s="19"/>
      <c r="G9" s="418">
        <f>ROUND(M9*E9/1000,0)</f>
        <v>269</v>
      </c>
      <c r="H9" s="419"/>
      <c r="I9" s="418">
        <f>ROUND(G9*1.35,0)</f>
        <v>363</v>
      </c>
      <c r="J9" s="419"/>
      <c r="K9" s="418">
        <f>ROUND(G9*1.5,0)</f>
        <v>404</v>
      </c>
      <c r="L9" s="419"/>
      <c r="M9" s="22">
        <f>ROUND(C9*0.6/50,0)</f>
        <v>224</v>
      </c>
    </row>
    <row r="10" spans="1:13" ht="30" customHeight="1">
      <c r="A10" s="17" t="s">
        <v>40</v>
      </c>
      <c r="B10" s="17"/>
      <c r="C10" s="418">
        <v>40857</v>
      </c>
      <c r="D10" s="419"/>
      <c r="E10" s="23">
        <v>25</v>
      </c>
      <c r="F10" s="19"/>
      <c r="G10" s="418">
        <f>ROUND(E10*C10/1000,0)</f>
        <v>1021</v>
      </c>
      <c r="H10" s="419"/>
      <c r="I10" s="418">
        <f>ROUND(G10*1.35,0)</f>
        <v>1378</v>
      </c>
      <c r="J10" s="419"/>
      <c r="K10" s="418">
        <f>ROUND(G10*1.5,0)</f>
        <v>1532</v>
      </c>
      <c r="L10" s="419"/>
      <c r="M10" s="20"/>
    </row>
    <row r="11" spans="1:13" ht="30" customHeight="1">
      <c r="A11" s="17" t="s">
        <v>41</v>
      </c>
      <c r="B11" s="17"/>
      <c r="C11" s="418">
        <v>11400</v>
      </c>
      <c r="D11" s="419"/>
      <c r="E11" s="23">
        <v>18</v>
      </c>
      <c r="F11" s="19"/>
      <c r="G11" s="418">
        <f>ROUND(E11*C11/1000,0)</f>
        <v>205</v>
      </c>
      <c r="H11" s="419"/>
      <c r="I11" s="418">
        <f>ROUND(G11*1.35,0)</f>
        <v>277</v>
      </c>
      <c r="J11" s="419"/>
      <c r="K11" s="418">
        <f>ROUND(G11*1.5,0)</f>
        <v>308</v>
      </c>
      <c r="L11" s="419"/>
      <c r="M11" s="20"/>
    </row>
    <row r="12" spans="1:13" ht="30" customHeight="1">
      <c r="A12" s="17" t="s">
        <v>42</v>
      </c>
      <c r="B12" s="17"/>
      <c r="C12" s="418">
        <v>3247</v>
      </c>
      <c r="D12" s="419"/>
      <c r="E12" s="23">
        <v>6</v>
      </c>
      <c r="F12" s="19"/>
      <c r="G12" s="418">
        <f>ROUND(E12*C12/1000,0)</f>
        <v>19</v>
      </c>
      <c r="H12" s="419"/>
      <c r="I12" s="418">
        <f>ROUND(G12*1.35,0)</f>
        <v>26</v>
      </c>
      <c r="J12" s="419"/>
      <c r="K12" s="418">
        <f>ROUND(G12*1.5,0)</f>
        <v>29</v>
      </c>
      <c r="L12" s="419"/>
      <c r="M12" s="20"/>
    </row>
    <row r="13" spans="1:13" ht="30" customHeight="1">
      <c r="A13" s="17" t="s">
        <v>43</v>
      </c>
      <c r="B13" s="17"/>
      <c r="C13" s="418">
        <v>6683</v>
      </c>
      <c r="D13" s="419"/>
      <c r="E13" s="23">
        <v>19</v>
      </c>
      <c r="F13" s="19"/>
      <c r="G13" s="418">
        <f>ROUND(E13*C13/1000,0)</f>
        <v>127</v>
      </c>
      <c r="H13" s="419"/>
      <c r="I13" s="418">
        <f>ROUND(G13*1.35,0)</f>
        <v>171</v>
      </c>
      <c r="J13" s="419"/>
      <c r="K13" s="418">
        <f>ROUND(G13*1.5,0)</f>
        <v>191</v>
      </c>
      <c r="L13" s="419"/>
      <c r="M13" s="20"/>
    </row>
    <row r="14" spans="1:13" ht="30" customHeight="1">
      <c r="A14" s="8" t="s">
        <v>51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 ht="30" customHeight="1">
      <c r="A15" s="8" t="s">
        <v>52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 ht="30" customHeight="1">
      <c r="A16" s="8" t="s">
        <v>53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ht="30" customHeight="1">
      <c r="A17" s="8" t="s">
        <v>54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ht="30" customHeight="1">
      <c r="A18" s="8" t="s">
        <v>55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30" customHeight="1">
      <c r="A19" s="8" t="s">
        <v>56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ht="30" customHeight="1">
      <c r="A20" s="8" t="s">
        <v>50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30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30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30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</sheetData>
  <mergeCells count="25">
    <mergeCell ref="C8:D8"/>
    <mergeCell ref="G8:H8"/>
    <mergeCell ref="G9:H9"/>
    <mergeCell ref="G10:H10"/>
    <mergeCell ref="G11:H11"/>
    <mergeCell ref="C10:D10"/>
    <mergeCell ref="C11:D11"/>
    <mergeCell ref="E8:F8"/>
    <mergeCell ref="C9:D9"/>
    <mergeCell ref="K8:L8"/>
    <mergeCell ref="K9:L9"/>
    <mergeCell ref="G12:H12"/>
    <mergeCell ref="I12:J12"/>
    <mergeCell ref="I11:J11"/>
    <mergeCell ref="I10:J10"/>
    <mergeCell ref="K10:L10"/>
    <mergeCell ref="K11:L11"/>
    <mergeCell ref="I9:J9"/>
    <mergeCell ref="I8:J8"/>
    <mergeCell ref="C12:D12"/>
    <mergeCell ref="C13:D13"/>
    <mergeCell ref="K12:L12"/>
    <mergeCell ref="K13:L13"/>
    <mergeCell ref="G13:H13"/>
    <mergeCell ref="I13:J13"/>
  </mergeCells>
  <phoneticPr fontId="2" type="noConversion"/>
  <printOptions horizontalCentered="1"/>
  <pageMargins left="0.47" right="0.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13</vt:i4>
      </vt:variant>
    </vt:vector>
  </HeadingPairs>
  <TitlesOfParts>
    <vt:vector size="26" baseType="lpstr">
      <vt:lpstr>기타용수 총괄</vt:lpstr>
      <vt:lpstr>관광용수량(남당)</vt:lpstr>
      <vt:lpstr>관광용수량(옥암지구 온천)</vt:lpstr>
      <vt:lpstr>대학용수량</vt:lpstr>
      <vt:lpstr>교도소용수량</vt:lpstr>
      <vt:lpstr>출력안함☞</vt:lpstr>
      <vt:lpstr>Sheet1</vt:lpstr>
      <vt:lpstr>관광용수량(1)X</vt:lpstr>
      <vt:lpstr>관광용수량(2)</vt:lpstr>
      <vt:lpstr>관광용수량(3)</vt:lpstr>
      <vt:lpstr>관광용수량(남당)(숙박단위조정)</vt:lpstr>
      <vt:lpstr>관광용수량(남당)결정</vt:lpstr>
      <vt:lpstr>군부대용수량</vt:lpstr>
      <vt:lpstr>'관광용수량(1)X'!Print_Area</vt:lpstr>
      <vt:lpstr>'관광용수량(2)'!Print_Area</vt:lpstr>
      <vt:lpstr>'관광용수량(3)'!Print_Area</vt:lpstr>
      <vt:lpstr>'관광용수량(남당)'!Print_Area</vt:lpstr>
      <vt:lpstr>'관광용수량(남당)(숙박단위조정)'!Print_Area</vt:lpstr>
      <vt:lpstr>'관광용수량(남당)결정'!Print_Area</vt:lpstr>
      <vt:lpstr>'관광용수량(옥암지구 온천)'!Print_Area</vt:lpstr>
      <vt:lpstr>교도소용수량!Print_Area</vt:lpstr>
      <vt:lpstr>군부대용수량!Print_Area</vt:lpstr>
      <vt:lpstr>'기타용수 총괄'!Print_Area</vt:lpstr>
      <vt:lpstr>대학용수량!Print_Area</vt:lpstr>
      <vt:lpstr>'관광용수량(3)'!Print_Titles</vt:lpstr>
      <vt:lpstr>'관광용수량(남당)(숙박단위조정)'!Print_Titles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김선호</dc:creator>
  <cp:lastModifiedBy>선호</cp:lastModifiedBy>
  <cp:lastPrinted>2017-04-25T02:05:34Z</cp:lastPrinted>
  <dcterms:created xsi:type="dcterms:W3CDTF">2007-04-18T01:11:17Z</dcterms:created>
  <dcterms:modified xsi:type="dcterms:W3CDTF">2017-10-24T07:47:04Z</dcterms:modified>
</cp:coreProperties>
</file>