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제6장 재정계획\"/>
    </mc:Choice>
  </mc:AlternateContent>
  <bookViews>
    <workbookView xWindow="0" yWindow="0" windowWidth="28800" windowHeight="12435" tabRatio="703" activeTab="1"/>
  </bookViews>
  <sheets>
    <sheet name="0.시설공사비 산정근거" sheetId="1" r:id="rId1"/>
    <sheet name="사업비 총괄" sheetId="13" r:id="rId2"/>
    <sheet name="1.1 공공하수처리시설 증설" sheetId="2" r:id="rId3"/>
    <sheet name="1.2 소규모 하수도" sheetId="3" r:id="rId4"/>
    <sheet name="2.1 하수관로 신설" sheetId="7" r:id="rId5"/>
    <sheet name="2.2 하수관로 교체" sheetId="8" r:id="rId6"/>
    <sheet name="2.3 하수관로 보수" sheetId="9" r:id="rId7"/>
    <sheet name="3. 하수처리수 재이용시설" sheetId="11" r:id="rId8"/>
    <sheet name="4. 하수저류시설 및 우수침투시설" sheetId="12" r:id="rId9"/>
  </sheets>
  <definedNames>
    <definedName name="_xlnm.Print_Area" localSheetId="0">'0.시설공사비 산정근거'!$A$1:$F$166</definedName>
    <definedName name="_xlnm.Print_Area" localSheetId="2">'1.1 공공하수처리시설 증설'!$A$1:$J$70</definedName>
    <definedName name="_xlnm.Print_Area" localSheetId="3">'1.2 소규모 하수도'!$A$1:$J$493</definedName>
    <definedName name="_xlnm.Print_Area" localSheetId="4">'2.1 하수관로 신설'!$A$1:$J$229</definedName>
    <definedName name="_xlnm.Print_Area" localSheetId="5">'2.2 하수관로 교체'!$A$1:$I$253</definedName>
    <definedName name="_xlnm.Print_Area" localSheetId="6">'2.3 하수관로 보수'!$A$1:$I$76</definedName>
    <definedName name="_xlnm.Print_Area" localSheetId="7">'3. 하수처리수 재이용시설'!$A$1:$H$33</definedName>
    <definedName name="_xlnm.Print_Area" localSheetId="8">'4. 하수저류시설 및 우수침투시설'!$A$1:$H$31</definedName>
    <definedName name="_xlnm.Print_Area" localSheetId="1">'사업비 총괄'!$A$1:$I$59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2" i="7" l="1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7" i="7"/>
  <c r="H137" i="7"/>
  <c r="G137" i="7"/>
  <c r="F137" i="7"/>
  <c r="G206" i="7"/>
  <c r="E206" i="7" s="1"/>
  <c r="G205" i="7"/>
  <c r="E205" i="7" s="1"/>
  <c r="G204" i="7"/>
  <c r="G203" i="7"/>
  <c r="G201" i="7"/>
  <c r="E201" i="7" s="1"/>
  <c r="I202" i="7"/>
  <c r="H202" i="7"/>
  <c r="H200" i="7" s="1"/>
  <c r="F202" i="7"/>
  <c r="I200" i="7"/>
  <c r="F200" i="7"/>
  <c r="A129" i="7"/>
  <c r="A130" i="7" s="1"/>
  <c r="A131" i="7" s="1"/>
  <c r="A132" i="7" s="1"/>
  <c r="E83" i="7"/>
  <c r="E82" i="7"/>
  <c r="E81" i="7"/>
  <c r="E80" i="7"/>
  <c r="E75" i="7"/>
  <c r="E74" i="7"/>
  <c r="E73" i="7"/>
  <c r="E72" i="7"/>
  <c r="G83" i="7"/>
  <c r="I83" i="7" s="1"/>
  <c r="G82" i="7"/>
  <c r="G81" i="7"/>
  <c r="G80" i="7"/>
  <c r="I80" i="7" s="1"/>
  <c r="E14" i="7"/>
  <c r="E67" i="7" l="1"/>
  <c r="E64" i="7"/>
  <c r="E31" i="7"/>
  <c r="E23" i="7"/>
  <c r="E56" i="7"/>
  <c r="I180" i="7"/>
  <c r="H180" i="7"/>
  <c r="G180" i="7"/>
  <c r="G178" i="7" s="1"/>
  <c r="I178" i="7"/>
  <c r="H178" i="7"/>
  <c r="A114" i="7"/>
  <c r="A115" i="7" s="1"/>
  <c r="A116" i="7" s="1"/>
  <c r="A117" i="7" s="1"/>
  <c r="A119" i="7"/>
  <c r="A120" i="7" s="1"/>
  <c r="A121" i="7" s="1"/>
  <c r="A122" i="7" s="1"/>
  <c r="A109" i="7"/>
  <c r="A110" i="7" s="1"/>
  <c r="A111" i="7" s="1"/>
  <c r="A112" i="7" s="1"/>
  <c r="A104" i="7"/>
  <c r="A105" i="7" s="1"/>
  <c r="A106" i="7" s="1"/>
  <c r="A107" i="7" s="1"/>
  <c r="A99" i="7"/>
  <c r="A100" i="7" s="1"/>
  <c r="A101" i="7" s="1"/>
  <c r="A102" i="7" s="1"/>
  <c r="A94" i="7"/>
  <c r="A95" i="7" s="1"/>
  <c r="A96" i="7" s="1"/>
  <c r="A97" i="7" s="1"/>
  <c r="I195" i="7"/>
  <c r="I193" i="7" s="1"/>
  <c r="H195" i="7"/>
  <c r="H193" i="7" s="1"/>
  <c r="F195" i="7"/>
  <c r="F193" i="7"/>
  <c r="F120" i="7"/>
  <c r="F121" i="7" s="1"/>
  <c r="F122" i="7" s="1"/>
  <c r="D120" i="7"/>
  <c r="F90" i="7"/>
  <c r="F91" i="7" s="1"/>
  <c r="F92" i="7" s="1"/>
  <c r="A124" i="7"/>
  <c r="A125" i="7" s="1"/>
  <c r="A126" i="7" s="1"/>
  <c r="A127" i="7" s="1"/>
  <c r="E62" i="7"/>
  <c r="G75" i="7"/>
  <c r="G74" i="7"/>
  <c r="G73" i="7"/>
  <c r="G72" i="7"/>
  <c r="E13" i="7"/>
  <c r="I74" i="7" l="1"/>
  <c r="I72" i="7"/>
  <c r="D122" i="7"/>
  <c r="D121" i="7"/>
  <c r="I75" i="7"/>
  <c r="G368" i="3" l="1"/>
  <c r="G365" i="3" s="1"/>
  <c r="E476" i="3"/>
  <c r="I295" i="3"/>
  <c r="H295" i="3"/>
  <c r="I299" i="3"/>
  <c r="H299" i="3"/>
  <c r="G299" i="3"/>
  <c r="F299" i="3"/>
  <c r="I298" i="3"/>
  <c r="H298" i="3"/>
  <c r="G298" i="3"/>
  <c r="F298" i="3"/>
  <c r="I297" i="3"/>
  <c r="H297" i="3"/>
  <c r="G297" i="3"/>
  <c r="F297" i="3"/>
  <c r="I296" i="3"/>
  <c r="H296" i="3"/>
  <c r="G296" i="3"/>
  <c r="F296" i="3"/>
  <c r="I294" i="3"/>
  <c r="H294" i="3"/>
  <c r="G294" i="3"/>
  <c r="F294" i="3"/>
  <c r="I293" i="3"/>
  <c r="H293" i="3"/>
  <c r="G293" i="3"/>
  <c r="F293" i="3"/>
  <c r="F468" i="3"/>
  <c r="F469" i="3"/>
  <c r="F470" i="3"/>
  <c r="F467" i="3"/>
  <c r="F458" i="3"/>
  <c r="F465" i="3"/>
  <c r="F464" i="3"/>
  <c r="F460" i="3"/>
  <c r="F461" i="3"/>
  <c r="F462" i="3"/>
  <c r="F459" i="3"/>
  <c r="F457" i="3"/>
  <c r="E457" i="3" s="1"/>
  <c r="F456" i="3"/>
  <c r="G458" i="3"/>
  <c r="G455" i="3"/>
  <c r="G454" i="3"/>
  <c r="G452" i="3"/>
  <c r="G453" i="3"/>
  <c r="G451" i="3"/>
  <c r="G449" i="3"/>
  <c r="G448" i="3"/>
  <c r="F450" i="3"/>
  <c r="F447" i="3"/>
  <c r="F444" i="3"/>
  <c r="F445" i="3"/>
  <c r="F446" i="3"/>
  <c r="E446" i="3" s="1"/>
  <c r="F443" i="3"/>
  <c r="F441" i="3"/>
  <c r="F440" i="3"/>
  <c r="G437" i="3"/>
  <c r="G436" i="3"/>
  <c r="G435" i="3"/>
  <c r="G434" i="3"/>
  <c r="G432" i="3"/>
  <c r="G431" i="3"/>
  <c r="F433" i="3"/>
  <c r="F430" i="3"/>
  <c r="F425" i="3"/>
  <c r="F427" i="3"/>
  <c r="F428" i="3"/>
  <c r="F429" i="3"/>
  <c r="F426" i="3"/>
  <c r="F424" i="3"/>
  <c r="F423" i="3"/>
  <c r="G422" i="3"/>
  <c r="G425" i="3"/>
  <c r="G419" i="3"/>
  <c r="G420" i="3"/>
  <c r="E420" i="3" s="1"/>
  <c r="G421" i="3"/>
  <c r="G418" i="3"/>
  <c r="G416" i="3"/>
  <c r="G415" i="3"/>
  <c r="F417" i="3"/>
  <c r="F414" i="3"/>
  <c r="G411" i="3"/>
  <c r="G412" i="3"/>
  <c r="G413" i="3"/>
  <c r="G410" i="3"/>
  <c r="G408" i="3"/>
  <c r="G407" i="3"/>
  <c r="F403" i="3"/>
  <c r="F404" i="3"/>
  <c r="F405" i="3"/>
  <c r="E405" i="3" s="1"/>
  <c r="F402" i="3"/>
  <c r="F400" i="3"/>
  <c r="F399" i="3"/>
  <c r="I393" i="3"/>
  <c r="H393" i="3"/>
  <c r="F393" i="3"/>
  <c r="F395" i="3"/>
  <c r="F396" i="3"/>
  <c r="E396" i="3" s="1"/>
  <c r="F397" i="3"/>
  <c r="F394" i="3"/>
  <c r="F392" i="3"/>
  <c r="F391" i="3"/>
  <c r="F388" i="3"/>
  <c r="F387" i="3"/>
  <c r="F386" i="3"/>
  <c r="F385" i="3"/>
  <c r="F383" i="3"/>
  <c r="F382" i="3"/>
  <c r="G381" i="3"/>
  <c r="G384" i="3"/>
  <c r="G380" i="3"/>
  <c r="E380" i="3" s="1"/>
  <c r="G379" i="3"/>
  <c r="G378" i="3"/>
  <c r="G377" i="3"/>
  <c r="G375" i="3"/>
  <c r="G374" i="3"/>
  <c r="F367" i="3"/>
  <c r="F365" i="3" s="1"/>
  <c r="F366" i="3"/>
  <c r="E470" i="3"/>
  <c r="E469" i="3"/>
  <c r="E468" i="3"/>
  <c r="E467" i="3"/>
  <c r="E465" i="3"/>
  <c r="E464" i="3"/>
  <c r="E462" i="3"/>
  <c r="E461" i="3"/>
  <c r="E460" i="3"/>
  <c r="E459" i="3"/>
  <c r="E458" i="3"/>
  <c r="E456" i="3"/>
  <c r="E454" i="3"/>
  <c r="E453" i="3"/>
  <c r="E452" i="3"/>
  <c r="E451" i="3"/>
  <c r="E449" i="3"/>
  <c r="E448" i="3"/>
  <c r="E445" i="3"/>
  <c r="E444" i="3"/>
  <c r="E443" i="3"/>
  <c r="E441" i="3"/>
  <c r="E440" i="3"/>
  <c r="E437" i="3"/>
  <c r="E436" i="3"/>
  <c r="E435" i="3"/>
  <c r="E434" i="3"/>
  <c r="E432" i="3"/>
  <c r="E431" i="3"/>
  <c r="E429" i="3"/>
  <c r="E428" i="3"/>
  <c r="E427" i="3"/>
  <c r="E426" i="3"/>
  <c r="E425" i="3"/>
  <c r="E424" i="3"/>
  <c r="E423" i="3"/>
  <c r="E421" i="3"/>
  <c r="E419" i="3"/>
  <c r="E418" i="3"/>
  <c r="E416" i="3"/>
  <c r="E415" i="3"/>
  <c r="E413" i="3"/>
  <c r="E412" i="3"/>
  <c r="E411" i="3"/>
  <c r="E410" i="3"/>
  <c r="E408" i="3"/>
  <c r="E407" i="3"/>
  <c r="E404" i="3"/>
  <c r="E403" i="3"/>
  <c r="E402" i="3"/>
  <c r="E400" i="3"/>
  <c r="E399" i="3"/>
  <c r="E397" i="3"/>
  <c r="E395" i="3"/>
  <c r="E394" i="3"/>
  <c r="E392" i="3"/>
  <c r="E391" i="3"/>
  <c r="E388" i="3"/>
  <c r="E387" i="3"/>
  <c r="E386" i="3"/>
  <c r="E385" i="3"/>
  <c r="E383" i="3"/>
  <c r="E382" i="3"/>
  <c r="E379" i="3"/>
  <c r="E378" i="3"/>
  <c r="E377" i="3"/>
  <c r="E375" i="3"/>
  <c r="E374" i="3"/>
  <c r="E372" i="3"/>
  <c r="E371" i="3"/>
  <c r="E370" i="3"/>
  <c r="E369" i="3"/>
  <c r="E367" i="3"/>
  <c r="E366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F359" i="3"/>
  <c r="F358" i="3"/>
  <c r="G357" i="3"/>
  <c r="F357" i="3"/>
  <c r="G360" i="3"/>
  <c r="G353" i="3"/>
  <c r="G351" i="3"/>
  <c r="G350" i="3"/>
  <c r="G345" i="3"/>
  <c r="G343" i="3"/>
  <c r="G342" i="3"/>
  <c r="G336" i="3"/>
  <c r="G334" i="3"/>
  <c r="G333" i="3"/>
  <c r="G328" i="3"/>
  <c r="G326" i="3"/>
  <c r="G325" i="3"/>
  <c r="G320" i="3"/>
  <c r="G318" i="3"/>
  <c r="G317" i="3"/>
  <c r="F308" i="3"/>
  <c r="F311" i="3"/>
  <c r="G308" i="3"/>
  <c r="A285" i="3"/>
  <c r="A286" i="3" s="1"/>
  <c r="A287" i="3" s="1"/>
  <c r="A288" i="3" s="1"/>
  <c r="A280" i="3"/>
  <c r="A281" i="3" s="1"/>
  <c r="A282" i="3" s="1"/>
  <c r="A283" i="3" s="1"/>
  <c r="A275" i="3"/>
  <c r="A276" i="3" s="1"/>
  <c r="A277" i="3" s="1"/>
  <c r="A278" i="3" s="1"/>
  <c r="A270" i="3"/>
  <c r="A271" i="3" s="1"/>
  <c r="A272" i="3" s="1"/>
  <c r="A273" i="3" s="1"/>
  <c r="A265" i="3"/>
  <c r="A266" i="3" s="1"/>
  <c r="A267" i="3" s="1"/>
  <c r="A268" i="3" s="1"/>
  <c r="A261" i="3"/>
  <c r="A262" i="3" s="1"/>
  <c r="A263" i="3" s="1"/>
  <c r="A260" i="3"/>
  <c r="A255" i="3"/>
  <c r="A256" i="3" s="1"/>
  <c r="A257" i="3" s="1"/>
  <c r="A258" i="3" s="1"/>
  <c r="A251" i="3"/>
  <c r="A252" i="3" s="1"/>
  <c r="A253" i="3" s="1"/>
  <c r="A250" i="3"/>
  <c r="A245" i="3"/>
  <c r="A246" i="3" s="1"/>
  <c r="A247" i="3" s="1"/>
  <c r="A248" i="3" s="1"/>
  <c r="A240" i="3"/>
  <c r="A241" i="3" s="1"/>
  <c r="A242" i="3" s="1"/>
  <c r="A243" i="3" s="1"/>
  <c r="E286" i="3"/>
  <c r="E287" i="3" s="1"/>
  <c r="E288" i="3" s="1"/>
  <c r="E261" i="3"/>
  <c r="E262" i="3" s="1"/>
  <c r="E263" i="3" s="1"/>
  <c r="E256" i="3"/>
  <c r="E257" i="3" s="1"/>
  <c r="E258" i="3" s="1"/>
  <c r="E251" i="3"/>
  <c r="E252" i="3" s="1"/>
  <c r="E253" i="3" s="1"/>
  <c r="E246" i="3"/>
  <c r="E247" i="3" s="1"/>
  <c r="E248" i="3" s="1"/>
  <c r="E241" i="3"/>
  <c r="E242" i="3" s="1"/>
  <c r="E243" i="3" s="1"/>
  <c r="E234" i="3"/>
  <c r="E235" i="3" s="1"/>
  <c r="E236" i="3" s="1"/>
  <c r="E224" i="3"/>
  <c r="E225" i="3" s="1"/>
  <c r="E226" i="3" s="1"/>
  <c r="E204" i="3"/>
  <c r="E205" i="3" s="1"/>
  <c r="E206" i="3" s="1"/>
  <c r="C281" i="3"/>
  <c r="C283" i="3" s="1"/>
  <c r="C271" i="3"/>
  <c r="C273" i="3" s="1"/>
  <c r="C224" i="3"/>
  <c r="C226" i="3" s="1"/>
  <c r="C189" i="3"/>
  <c r="G176" i="3"/>
  <c r="E176" i="3"/>
  <c r="G175" i="3"/>
  <c r="E175" i="3"/>
  <c r="G174" i="3"/>
  <c r="E174" i="3"/>
  <c r="G173" i="3"/>
  <c r="E173" i="3"/>
  <c r="E172" i="3"/>
  <c r="I172" i="3" s="1"/>
  <c r="G169" i="3"/>
  <c r="E169" i="3"/>
  <c r="G168" i="3"/>
  <c r="E168" i="3"/>
  <c r="G167" i="3"/>
  <c r="E167" i="3"/>
  <c r="G166" i="3"/>
  <c r="E166" i="3"/>
  <c r="E165" i="3"/>
  <c r="I165" i="3" s="1"/>
  <c r="G162" i="3"/>
  <c r="E162" i="3"/>
  <c r="G161" i="3"/>
  <c r="E161" i="3"/>
  <c r="G160" i="3"/>
  <c r="E160" i="3"/>
  <c r="I160" i="3" s="1"/>
  <c r="G159" i="3"/>
  <c r="E159" i="3"/>
  <c r="E158" i="3"/>
  <c r="I158" i="3" s="1"/>
  <c r="G155" i="3"/>
  <c r="E155" i="3"/>
  <c r="G154" i="3"/>
  <c r="E154" i="3"/>
  <c r="G153" i="3"/>
  <c r="E153" i="3"/>
  <c r="G152" i="3"/>
  <c r="E152" i="3"/>
  <c r="E151" i="3"/>
  <c r="I151" i="3" s="1"/>
  <c r="G148" i="3"/>
  <c r="E148" i="3"/>
  <c r="G147" i="3"/>
  <c r="E147" i="3"/>
  <c r="I147" i="3" s="1"/>
  <c r="G146" i="3"/>
  <c r="E146" i="3"/>
  <c r="G145" i="3"/>
  <c r="E145" i="3"/>
  <c r="E144" i="3"/>
  <c r="I144" i="3" s="1"/>
  <c r="G141" i="3"/>
  <c r="E141" i="3"/>
  <c r="G140" i="3"/>
  <c r="E140" i="3"/>
  <c r="G139" i="3"/>
  <c r="E139" i="3"/>
  <c r="G138" i="3"/>
  <c r="E138" i="3"/>
  <c r="E137" i="3"/>
  <c r="I137" i="3" s="1"/>
  <c r="G134" i="3"/>
  <c r="E134" i="3"/>
  <c r="G133" i="3"/>
  <c r="E133" i="3"/>
  <c r="G132" i="3"/>
  <c r="E132" i="3"/>
  <c r="G131" i="3"/>
  <c r="E131" i="3"/>
  <c r="E130" i="3"/>
  <c r="I130" i="3" s="1"/>
  <c r="G126" i="3"/>
  <c r="E126" i="3"/>
  <c r="G125" i="3"/>
  <c r="E125" i="3"/>
  <c r="G124" i="3"/>
  <c r="E124" i="3"/>
  <c r="G123" i="3"/>
  <c r="E123" i="3"/>
  <c r="E122" i="3"/>
  <c r="I122" i="3" s="1"/>
  <c r="G119" i="3"/>
  <c r="E119" i="3"/>
  <c r="G118" i="3"/>
  <c r="E118" i="3"/>
  <c r="G117" i="3"/>
  <c r="E117" i="3"/>
  <c r="G116" i="3"/>
  <c r="E116" i="3"/>
  <c r="E115" i="3"/>
  <c r="I115" i="3" s="1"/>
  <c r="G112" i="3"/>
  <c r="E112" i="3"/>
  <c r="G111" i="3"/>
  <c r="E111" i="3"/>
  <c r="G110" i="3"/>
  <c r="E110" i="3"/>
  <c r="G109" i="3"/>
  <c r="E109" i="3"/>
  <c r="E108" i="3"/>
  <c r="I108" i="3" s="1"/>
  <c r="G105" i="3"/>
  <c r="E105" i="3"/>
  <c r="G104" i="3"/>
  <c r="E104" i="3"/>
  <c r="G103" i="3"/>
  <c r="E103" i="3"/>
  <c r="G102" i="3"/>
  <c r="E102" i="3"/>
  <c r="E101" i="3"/>
  <c r="I101" i="3" s="1"/>
  <c r="G98" i="3"/>
  <c r="E98" i="3"/>
  <c r="G97" i="3"/>
  <c r="E97" i="3"/>
  <c r="G96" i="3"/>
  <c r="E96" i="3"/>
  <c r="G95" i="3"/>
  <c r="E95" i="3"/>
  <c r="E94" i="3"/>
  <c r="I94" i="3" s="1"/>
  <c r="G91" i="3"/>
  <c r="E91" i="3"/>
  <c r="G90" i="3"/>
  <c r="E90" i="3"/>
  <c r="I90" i="3" s="1"/>
  <c r="G89" i="3"/>
  <c r="E89" i="3"/>
  <c r="G88" i="3"/>
  <c r="E88" i="3"/>
  <c r="E87" i="3"/>
  <c r="I87" i="3" s="1"/>
  <c r="G84" i="3"/>
  <c r="E84" i="3"/>
  <c r="G83" i="3"/>
  <c r="E83" i="3"/>
  <c r="G82" i="3"/>
  <c r="E82" i="3"/>
  <c r="G81" i="3"/>
  <c r="E81" i="3"/>
  <c r="E80" i="3"/>
  <c r="I80" i="3" s="1"/>
  <c r="G76" i="3"/>
  <c r="E76" i="3"/>
  <c r="I76" i="3" s="1"/>
  <c r="G75" i="3"/>
  <c r="E75" i="3"/>
  <c r="G74" i="3"/>
  <c r="E74" i="3"/>
  <c r="G73" i="3"/>
  <c r="E73" i="3"/>
  <c r="E72" i="3"/>
  <c r="I72" i="3" s="1"/>
  <c r="G69" i="3"/>
  <c r="E69" i="3"/>
  <c r="G68" i="3"/>
  <c r="E68" i="3"/>
  <c r="G67" i="3"/>
  <c r="E67" i="3"/>
  <c r="G66" i="3"/>
  <c r="E66" i="3"/>
  <c r="E65" i="3"/>
  <c r="I65" i="3" s="1"/>
  <c r="G62" i="3"/>
  <c r="E62" i="3"/>
  <c r="G61" i="3"/>
  <c r="E61" i="3"/>
  <c r="G60" i="3"/>
  <c r="E60" i="3"/>
  <c r="G59" i="3"/>
  <c r="E59" i="3"/>
  <c r="E58" i="3"/>
  <c r="I58" i="3" s="1"/>
  <c r="G55" i="3"/>
  <c r="E55" i="3"/>
  <c r="G54" i="3"/>
  <c r="E54" i="3"/>
  <c r="G53" i="3"/>
  <c r="E53" i="3"/>
  <c r="G52" i="3"/>
  <c r="E52" i="3"/>
  <c r="E51" i="3"/>
  <c r="I51" i="3" s="1"/>
  <c r="G48" i="3"/>
  <c r="E48" i="3"/>
  <c r="G47" i="3"/>
  <c r="E47" i="3"/>
  <c r="G46" i="3"/>
  <c r="E46" i="3"/>
  <c r="G45" i="3"/>
  <c r="E45" i="3"/>
  <c r="E44" i="3"/>
  <c r="I44" i="3" s="1"/>
  <c r="G41" i="3"/>
  <c r="E41" i="3"/>
  <c r="G40" i="3"/>
  <c r="E40" i="3"/>
  <c r="G39" i="3"/>
  <c r="E39" i="3"/>
  <c r="G38" i="3"/>
  <c r="E38" i="3"/>
  <c r="E37" i="3"/>
  <c r="I37" i="3" s="1"/>
  <c r="I53" i="3" l="1"/>
  <c r="I110" i="3"/>
  <c r="I141" i="3"/>
  <c r="I154" i="3"/>
  <c r="I68" i="3"/>
  <c r="I82" i="3"/>
  <c r="I95" i="3"/>
  <c r="I139" i="3"/>
  <c r="I152" i="3"/>
  <c r="I146" i="3"/>
  <c r="I159" i="3"/>
  <c r="I176" i="3"/>
  <c r="C272" i="3"/>
  <c r="C282" i="3"/>
  <c r="C191" i="3"/>
  <c r="C190" i="3"/>
  <c r="C225" i="3"/>
  <c r="I74" i="3"/>
  <c r="I88" i="3"/>
  <c r="I105" i="3"/>
  <c r="I118" i="3"/>
  <c r="I145" i="3"/>
  <c r="I162" i="3"/>
  <c r="I81" i="3"/>
  <c r="I124" i="3"/>
  <c r="I155" i="3"/>
  <c r="I168" i="3"/>
  <c r="I60" i="3"/>
  <c r="I91" i="3"/>
  <c r="I148" i="3"/>
  <c r="I143" i="3" s="1"/>
  <c r="D265" i="3" s="1"/>
  <c r="I161" i="3"/>
  <c r="I157" i="3" s="1"/>
  <c r="D275" i="3" s="1"/>
  <c r="I174" i="3"/>
  <c r="I109" i="3"/>
  <c r="I126" i="3"/>
  <c r="I166" i="3"/>
  <c r="I138" i="3"/>
  <c r="I98" i="3"/>
  <c r="I104" i="3"/>
  <c r="I119" i="3"/>
  <c r="I125" i="3"/>
  <c r="I175" i="3"/>
  <c r="I102" i="3"/>
  <c r="I111" i="3"/>
  <c r="I140" i="3"/>
  <c r="I167" i="3"/>
  <c r="I173" i="3"/>
  <c r="I169" i="3"/>
  <c r="I153" i="3"/>
  <c r="I131" i="3"/>
  <c r="I117" i="3"/>
  <c r="I97" i="3"/>
  <c r="I89" i="3"/>
  <c r="I112" i="3"/>
  <c r="I133" i="3"/>
  <c r="I75" i="3"/>
  <c r="I134" i="3"/>
  <c r="I96" i="3"/>
  <c r="I116" i="3"/>
  <c r="I61" i="3"/>
  <c r="I73" i="3"/>
  <c r="I83" i="3"/>
  <c r="I103" i="3"/>
  <c r="I123" i="3"/>
  <c r="I132" i="3"/>
  <c r="I41" i="3"/>
  <c r="I46" i="3"/>
  <c r="I62" i="3"/>
  <c r="I67" i="3"/>
  <c r="I59" i="3"/>
  <c r="I69" i="3"/>
  <c r="I84" i="3"/>
  <c r="I45" i="3"/>
  <c r="I55" i="3"/>
  <c r="I66" i="3"/>
  <c r="I40" i="3"/>
  <c r="I52" i="3"/>
  <c r="I47" i="3"/>
  <c r="I48" i="3"/>
  <c r="I54" i="3"/>
  <c r="I38" i="3"/>
  <c r="I39" i="3"/>
  <c r="C275" i="3" l="1"/>
  <c r="C276" i="3" s="1"/>
  <c r="E275" i="3"/>
  <c r="E276" i="3" s="1"/>
  <c r="E277" i="3" s="1"/>
  <c r="E278" i="3" s="1"/>
  <c r="D276" i="3"/>
  <c r="D277" i="3" s="1"/>
  <c r="D278" i="3" s="1"/>
  <c r="I86" i="3"/>
  <c r="D223" i="3" s="1"/>
  <c r="D224" i="3" s="1"/>
  <c r="D225" i="3" s="1"/>
  <c r="D226" i="3" s="1"/>
  <c r="C265" i="3"/>
  <c r="C266" i="3" s="1"/>
  <c r="E265" i="3"/>
  <c r="E266" i="3" s="1"/>
  <c r="E267" i="3" s="1"/>
  <c r="E268" i="3" s="1"/>
  <c r="D266" i="3"/>
  <c r="D267" i="3" s="1"/>
  <c r="D268" i="3" s="1"/>
  <c r="I150" i="3"/>
  <c r="D270" i="3" s="1"/>
  <c r="I107" i="3"/>
  <c r="D240" i="3" s="1"/>
  <c r="I114" i="3"/>
  <c r="D245" i="3" s="1"/>
  <c r="I136" i="3"/>
  <c r="D260" i="3" s="1"/>
  <c r="I100" i="3"/>
  <c r="D233" i="3" s="1"/>
  <c r="I164" i="3"/>
  <c r="D280" i="3" s="1"/>
  <c r="I171" i="3"/>
  <c r="D285" i="3" s="1"/>
  <c r="D286" i="3" s="1"/>
  <c r="D287" i="3" s="1"/>
  <c r="D288" i="3" s="1"/>
  <c r="I121" i="3"/>
  <c r="D250" i="3" s="1"/>
  <c r="I43" i="3"/>
  <c r="D193" i="3" s="1"/>
  <c r="I129" i="3"/>
  <c r="D255" i="3" s="1"/>
  <c r="I57" i="3"/>
  <c r="D203" i="3" s="1"/>
  <c r="I93" i="3"/>
  <c r="D228" i="3" s="1"/>
  <c r="I79" i="3"/>
  <c r="D218" i="3" s="1"/>
  <c r="I71" i="3"/>
  <c r="D213" i="3" s="1"/>
  <c r="I64" i="3"/>
  <c r="D208" i="3" s="1"/>
  <c r="I36" i="3"/>
  <c r="I50" i="3"/>
  <c r="D198" i="3" s="1"/>
  <c r="E193" i="3" l="1"/>
  <c r="E194" i="3" s="1"/>
  <c r="E195" i="3" s="1"/>
  <c r="E196" i="3" s="1"/>
  <c r="D194" i="3"/>
  <c r="D195" i="3" s="1"/>
  <c r="D196" i="3" s="1"/>
  <c r="C193" i="3"/>
  <c r="C194" i="3" s="1"/>
  <c r="D251" i="3"/>
  <c r="D252" i="3" s="1"/>
  <c r="D253" i="3" s="1"/>
  <c r="C250" i="3"/>
  <c r="C251" i="3" s="1"/>
  <c r="D281" i="3"/>
  <c r="D282" i="3" s="1"/>
  <c r="D283" i="3" s="1"/>
  <c r="E280" i="3"/>
  <c r="E281" i="3" s="1"/>
  <c r="E282" i="3" s="1"/>
  <c r="E283" i="3" s="1"/>
  <c r="C267" i="3"/>
  <c r="C268" i="3"/>
  <c r="E218" i="3"/>
  <c r="E219" i="3" s="1"/>
  <c r="E220" i="3" s="1"/>
  <c r="E221" i="3" s="1"/>
  <c r="C218" i="3"/>
  <c r="C219" i="3" s="1"/>
  <c r="D219" i="3"/>
  <c r="D220" i="3" s="1"/>
  <c r="D221" i="3" s="1"/>
  <c r="D234" i="3"/>
  <c r="D235" i="3" s="1"/>
  <c r="D236" i="3" s="1"/>
  <c r="C233" i="3"/>
  <c r="C234" i="3" s="1"/>
  <c r="D199" i="3"/>
  <c r="D200" i="3" s="1"/>
  <c r="D201" i="3" s="1"/>
  <c r="C198" i="3"/>
  <c r="C199" i="3" s="1"/>
  <c r="E198" i="3"/>
  <c r="E199" i="3" s="1"/>
  <c r="E200" i="3" s="1"/>
  <c r="E201" i="3" s="1"/>
  <c r="G309" i="3"/>
  <c r="D188" i="3"/>
  <c r="C208" i="3"/>
  <c r="C209" i="3" s="1"/>
  <c r="E208" i="3"/>
  <c r="E209" i="3" s="1"/>
  <c r="E210" i="3" s="1"/>
  <c r="E211" i="3" s="1"/>
  <c r="D209" i="3"/>
  <c r="D210" i="3" s="1"/>
  <c r="D211" i="3" s="1"/>
  <c r="E213" i="3"/>
  <c r="E214" i="3" s="1"/>
  <c r="E215" i="3" s="1"/>
  <c r="E216" i="3" s="1"/>
  <c r="D214" i="3"/>
  <c r="D215" i="3" s="1"/>
  <c r="D216" i="3" s="1"/>
  <c r="C213" i="3"/>
  <c r="C214" i="3" s="1"/>
  <c r="E270" i="3"/>
  <c r="E271" i="3" s="1"/>
  <c r="E272" i="3" s="1"/>
  <c r="E273" i="3" s="1"/>
  <c r="D271" i="3"/>
  <c r="D272" i="3" s="1"/>
  <c r="D273" i="3" s="1"/>
  <c r="D229" i="3"/>
  <c r="D230" i="3" s="1"/>
  <c r="D231" i="3" s="1"/>
  <c r="E228" i="3"/>
  <c r="E229" i="3" s="1"/>
  <c r="E230" i="3" s="1"/>
  <c r="E231" i="3" s="1"/>
  <c r="C228" i="3"/>
  <c r="C229" i="3" s="1"/>
  <c r="D261" i="3"/>
  <c r="D262" i="3" s="1"/>
  <c r="D263" i="3" s="1"/>
  <c r="C260" i="3"/>
  <c r="C261" i="3" s="1"/>
  <c r="D204" i="3"/>
  <c r="D205" i="3" s="1"/>
  <c r="D206" i="3" s="1"/>
  <c r="C203" i="3"/>
  <c r="C204" i="3" s="1"/>
  <c r="D246" i="3"/>
  <c r="D247" i="3" s="1"/>
  <c r="D248" i="3" s="1"/>
  <c r="C245" i="3"/>
  <c r="C246" i="3" s="1"/>
  <c r="D256" i="3"/>
  <c r="D257" i="3" s="1"/>
  <c r="D258" i="3" s="1"/>
  <c r="C255" i="3"/>
  <c r="C256" i="3" s="1"/>
  <c r="C240" i="3"/>
  <c r="C241" i="3" s="1"/>
  <c r="D241" i="3"/>
  <c r="D242" i="3" s="1"/>
  <c r="D243" i="3" s="1"/>
  <c r="C277" i="3"/>
  <c r="C278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D25" i="3"/>
  <c r="E177" i="3" s="1"/>
  <c r="I177" i="3" s="1"/>
  <c r="D23" i="3"/>
  <c r="E163" i="3" s="1"/>
  <c r="I163" i="3" s="1"/>
  <c r="D22" i="3"/>
  <c r="E156" i="3" s="1"/>
  <c r="I156" i="3" s="1"/>
  <c r="D21" i="3"/>
  <c r="E149" i="3" s="1"/>
  <c r="I149" i="3" s="1"/>
  <c r="D20" i="3"/>
  <c r="E142" i="3" s="1"/>
  <c r="I142" i="3" s="1"/>
  <c r="D19" i="3"/>
  <c r="E135" i="3" s="1"/>
  <c r="I135" i="3" s="1"/>
  <c r="D18" i="3"/>
  <c r="E127" i="3" s="1"/>
  <c r="I127" i="3" s="1"/>
  <c r="D17" i="3"/>
  <c r="E120" i="3" s="1"/>
  <c r="I120" i="3" s="1"/>
  <c r="D16" i="3"/>
  <c r="E113" i="3" s="1"/>
  <c r="I113" i="3" s="1"/>
  <c r="D15" i="3"/>
  <c r="E106" i="3" s="1"/>
  <c r="I106" i="3" s="1"/>
  <c r="D14" i="3"/>
  <c r="E99" i="3" s="1"/>
  <c r="I99" i="3" s="1"/>
  <c r="D13" i="3"/>
  <c r="E92" i="3" s="1"/>
  <c r="I92" i="3" s="1"/>
  <c r="D12" i="3"/>
  <c r="E85" i="3" s="1"/>
  <c r="I85" i="3" s="1"/>
  <c r="D11" i="3"/>
  <c r="E77" i="3" s="1"/>
  <c r="I77" i="3" s="1"/>
  <c r="D10" i="3"/>
  <c r="E70" i="3" s="1"/>
  <c r="I70" i="3" s="1"/>
  <c r="D9" i="3"/>
  <c r="E63" i="3" s="1"/>
  <c r="I63" i="3" s="1"/>
  <c r="D8" i="3"/>
  <c r="E56" i="3" s="1"/>
  <c r="I56" i="3" s="1"/>
  <c r="D24" i="3"/>
  <c r="E170" i="3" s="1"/>
  <c r="I170" i="3" s="1"/>
  <c r="E5" i="3"/>
  <c r="D7" i="3"/>
  <c r="E49" i="3" s="1"/>
  <c r="I49" i="3" s="1"/>
  <c r="D6" i="3"/>
  <c r="E42" i="3" s="1"/>
  <c r="I42" i="3" s="1"/>
  <c r="G310" i="3" s="1"/>
  <c r="C263" i="3" l="1"/>
  <c r="C262" i="3"/>
  <c r="C201" i="3"/>
  <c r="C200" i="3"/>
  <c r="C243" i="3"/>
  <c r="C242" i="3"/>
  <c r="C257" i="3"/>
  <c r="C258" i="3"/>
  <c r="C231" i="3"/>
  <c r="C230" i="3"/>
  <c r="C236" i="3"/>
  <c r="C235" i="3"/>
  <c r="C253" i="3"/>
  <c r="C252" i="3"/>
  <c r="E188" i="3"/>
  <c r="E189" i="3" s="1"/>
  <c r="E190" i="3" s="1"/>
  <c r="E191" i="3" s="1"/>
  <c r="D189" i="3"/>
  <c r="D190" i="3" s="1"/>
  <c r="D191" i="3" s="1"/>
  <c r="C206" i="3"/>
  <c r="C205" i="3"/>
  <c r="C247" i="3"/>
  <c r="C248" i="3"/>
  <c r="C211" i="3"/>
  <c r="C210" i="3"/>
  <c r="C220" i="3"/>
  <c r="C221" i="3"/>
  <c r="C196" i="3"/>
  <c r="C195" i="3"/>
  <c r="C216" i="3"/>
  <c r="C215" i="3"/>
  <c r="E30" i="3"/>
  <c r="E31" i="3"/>
  <c r="E33" i="3"/>
  <c r="E34" i="3"/>
  <c r="E32" i="3"/>
  <c r="D5" i="3" l="1"/>
  <c r="E35" i="3" s="1"/>
  <c r="I35" i="3" s="1"/>
  <c r="F302" i="3" s="1"/>
  <c r="I30" i="3"/>
  <c r="G34" i="3"/>
  <c r="I34" i="3" s="1"/>
  <c r="G33" i="3"/>
  <c r="I33" i="3" s="1"/>
  <c r="G32" i="3"/>
  <c r="I32" i="3" s="1"/>
  <c r="G31" i="3"/>
  <c r="I31" i="3" s="1"/>
  <c r="I29" i="3" l="1"/>
  <c r="E57" i="7"/>
  <c r="E55" i="7"/>
  <c r="E54" i="7"/>
  <c r="G57" i="7"/>
  <c r="G56" i="7"/>
  <c r="I56" i="7" s="1"/>
  <c r="G55" i="7"/>
  <c r="G54" i="7"/>
  <c r="E12" i="7"/>
  <c r="I54" i="7" l="1"/>
  <c r="F301" i="3"/>
  <c r="D183" i="3"/>
  <c r="I55" i="7"/>
  <c r="I57" i="7"/>
  <c r="F188" i="7"/>
  <c r="F186" i="7" s="1"/>
  <c r="H188" i="7"/>
  <c r="I188" i="7"/>
  <c r="A89" i="7"/>
  <c r="A90" i="7" s="1"/>
  <c r="A91" i="7" s="1"/>
  <c r="A92" i="7" s="1"/>
  <c r="G66" i="7"/>
  <c r="G65" i="7"/>
  <c r="G63" i="7"/>
  <c r="F455" i="3"/>
  <c r="E455" i="3" s="1"/>
  <c r="F422" i="3"/>
  <c r="F406" i="3"/>
  <c r="F390" i="3"/>
  <c r="F373" i="3"/>
  <c r="E365" i="3"/>
  <c r="F349" i="3"/>
  <c r="F341" i="3"/>
  <c r="F332" i="3"/>
  <c r="F324" i="3"/>
  <c r="F316" i="3"/>
  <c r="I53" i="7" l="1"/>
  <c r="E114" i="7"/>
  <c r="D114" i="7" s="1"/>
  <c r="D115" i="7" s="1"/>
  <c r="F179" i="7"/>
  <c r="C183" i="3"/>
  <c r="C184" i="3" s="1"/>
  <c r="E183" i="3"/>
  <c r="E184" i="3" s="1"/>
  <c r="E185" i="3" s="1"/>
  <c r="E186" i="3" s="1"/>
  <c r="D184" i="3"/>
  <c r="D185" i="3" s="1"/>
  <c r="D186" i="3" s="1"/>
  <c r="H292" i="3"/>
  <c r="I292" i="3"/>
  <c r="F114" i="7" l="1"/>
  <c r="F115" i="7" s="1"/>
  <c r="F116" i="7" s="1"/>
  <c r="F117" i="7" s="1"/>
  <c r="E179" i="7"/>
  <c r="D116" i="7"/>
  <c r="D117" i="7"/>
  <c r="C186" i="3"/>
  <c r="C185" i="3"/>
  <c r="E294" i="3" l="1"/>
  <c r="I476" i="3"/>
  <c r="G486" i="3" s="1"/>
  <c r="J476" i="3" l="1"/>
  <c r="E493" i="3"/>
  <c r="D493" i="3" s="1"/>
  <c r="I43" i="2" l="1"/>
  <c r="H43" i="2"/>
  <c r="F43" i="2"/>
  <c r="I40" i="2"/>
  <c r="H40" i="2"/>
  <c r="F40" i="2"/>
  <c r="I39" i="2" l="1"/>
  <c r="H39" i="2"/>
  <c r="C20" i="2"/>
  <c r="F14" i="2"/>
  <c r="I173" i="7" l="1"/>
  <c r="I171" i="7" s="1"/>
  <c r="H173" i="7"/>
  <c r="H171" i="7" s="1"/>
  <c r="G173" i="7"/>
  <c r="G171" i="7" s="1"/>
  <c r="I186" i="7"/>
  <c r="H186" i="7"/>
  <c r="H145" i="7"/>
  <c r="E49" i="7"/>
  <c r="G49" i="7"/>
  <c r="I66" i="7"/>
  <c r="I65" i="7"/>
  <c r="I63" i="7"/>
  <c r="G67" i="7"/>
  <c r="G64" i="7"/>
  <c r="G62" i="7"/>
  <c r="E44" i="7"/>
  <c r="E43" i="7"/>
  <c r="G44" i="7"/>
  <c r="G43" i="7"/>
  <c r="I43" i="7" s="1"/>
  <c r="E38" i="7"/>
  <c r="E37" i="7"/>
  <c r="G38" i="7"/>
  <c r="G37" i="7"/>
  <c r="E32" i="7"/>
  <c r="G32" i="7"/>
  <c r="G31" i="7"/>
  <c r="G30" i="7"/>
  <c r="G29" i="7"/>
  <c r="G24" i="7"/>
  <c r="G23" i="7"/>
  <c r="G22" i="7"/>
  <c r="G21" i="7"/>
  <c r="E30" i="7"/>
  <c r="E29" i="7"/>
  <c r="E24" i="7"/>
  <c r="E22" i="7"/>
  <c r="E21" i="7"/>
  <c r="E11" i="7"/>
  <c r="E15" i="7"/>
  <c r="E10" i="7"/>
  <c r="E9" i="7"/>
  <c r="E8" i="7"/>
  <c r="E7" i="7"/>
  <c r="H224" i="8"/>
  <c r="G224" i="8"/>
  <c r="E231" i="8"/>
  <c r="E229" i="8" s="1"/>
  <c r="E230" i="8"/>
  <c r="E235" i="8"/>
  <c r="E234" i="8"/>
  <c r="E200" i="8"/>
  <c r="H200" i="8" s="1"/>
  <c r="H199" i="8"/>
  <c r="A199" i="8"/>
  <c r="A200" i="8" s="1"/>
  <c r="A201" i="8" s="1"/>
  <c r="A202" i="8" s="1"/>
  <c r="E179" i="8"/>
  <c r="E177" i="8"/>
  <c r="E178" i="8" s="1"/>
  <c r="E171" i="8"/>
  <c r="E164" i="8"/>
  <c r="E166" i="8"/>
  <c r="E173" i="8"/>
  <c r="E176" i="8" s="1"/>
  <c r="E167" i="8"/>
  <c r="E162" i="8"/>
  <c r="E153" i="8" s="1"/>
  <c r="E142" i="8"/>
  <c r="E143" i="8" s="1"/>
  <c r="E144" i="8" s="1"/>
  <c r="E141" i="8"/>
  <c r="E140" i="8"/>
  <c r="E139" i="8"/>
  <c r="E138" i="8"/>
  <c r="E137" i="8"/>
  <c r="E136" i="8"/>
  <c r="E135" i="8"/>
  <c r="E134" i="8"/>
  <c r="E133" i="8"/>
  <c r="E132" i="8"/>
  <c r="C97" i="8"/>
  <c r="C179" i="8" s="1"/>
  <c r="C96" i="8"/>
  <c r="C178" i="8" s="1"/>
  <c r="C95" i="8"/>
  <c r="C177" i="8" s="1"/>
  <c r="C94" i="8"/>
  <c r="C176" i="8" s="1"/>
  <c r="C93" i="8"/>
  <c r="C175" i="8" s="1"/>
  <c r="C92" i="8"/>
  <c r="C174" i="8" s="1"/>
  <c r="C91" i="8"/>
  <c r="C173" i="8" s="1"/>
  <c r="C90" i="8"/>
  <c r="C172" i="8" s="1"/>
  <c r="C89" i="8"/>
  <c r="C171" i="8" s="1"/>
  <c r="C88" i="8"/>
  <c r="C170" i="8" s="1"/>
  <c r="C87" i="8"/>
  <c r="C169" i="8" s="1"/>
  <c r="C86" i="8"/>
  <c r="C168" i="8" s="1"/>
  <c r="C85" i="8"/>
  <c r="C167" i="8" s="1"/>
  <c r="C84" i="8"/>
  <c r="C166" i="8" s="1"/>
  <c r="C83" i="8"/>
  <c r="C165" i="8" s="1"/>
  <c r="C82" i="8"/>
  <c r="C164" i="8" s="1"/>
  <c r="C81" i="8"/>
  <c r="C163" i="8" s="1"/>
  <c r="C80" i="8"/>
  <c r="C162" i="8" s="1"/>
  <c r="C79" i="8"/>
  <c r="C161" i="8" s="1"/>
  <c r="C78" i="8"/>
  <c r="C160" i="8" s="1"/>
  <c r="C77" i="8"/>
  <c r="C159" i="8" s="1"/>
  <c r="C76" i="8"/>
  <c r="C158" i="8" s="1"/>
  <c r="C75" i="8"/>
  <c r="C157" i="8" s="1"/>
  <c r="C74" i="8"/>
  <c r="C156" i="8" s="1"/>
  <c r="C73" i="8"/>
  <c r="C155" i="8" s="1"/>
  <c r="C72" i="8"/>
  <c r="C154" i="8" s="1"/>
  <c r="C71" i="8"/>
  <c r="C153" i="8" s="1"/>
  <c r="C70" i="8"/>
  <c r="C152" i="8" s="1"/>
  <c r="C69" i="8"/>
  <c r="C151" i="8" s="1"/>
  <c r="C68" i="8"/>
  <c r="C150" i="8" s="1"/>
  <c r="C67" i="8"/>
  <c r="C149" i="8" s="1"/>
  <c r="C66" i="8"/>
  <c r="C148" i="8" s="1"/>
  <c r="C65" i="8"/>
  <c r="C147" i="8" s="1"/>
  <c r="C64" i="8"/>
  <c r="C146" i="8" s="1"/>
  <c r="C63" i="8"/>
  <c r="C145" i="8" s="1"/>
  <c r="C62" i="8"/>
  <c r="C144" i="8" s="1"/>
  <c r="C61" i="8"/>
  <c r="C143" i="8" s="1"/>
  <c r="C60" i="8"/>
  <c r="C142" i="8" s="1"/>
  <c r="C59" i="8"/>
  <c r="C141" i="8" s="1"/>
  <c r="C58" i="8"/>
  <c r="C140" i="8" s="1"/>
  <c r="C57" i="8"/>
  <c r="C139" i="8" s="1"/>
  <c r="C56" i="8"/>
  <c r="C138" i="8" s="1"/>
  <c r="C55" i="8"/>
  <c r="C137" i="8" s="1"/>
  <c r="C54" i="8"/>
  <c r="C136" i="8" s="1"/>
  <c r="C53" i="8"/>
  <c r="C135" i="8" s="1"/>
  <c r="C52" i="8"/>
  <c r="C134" i="8" s="1"/>
  <c r="C51" i="8"/>
  <c r="C133" i="8" s="1"/>
  <c r="C50" i="8"/>
  <c r="C132" i="8" s="1"/>
  <c r="C49" i="8"/>
  <c r="C131" i="8" s="1"/>
  <c r="G48" i="8"/>
  <c r="F48" i="8"/>
  <c r="E48" i="8"/>
  <c r="D48" i="8"/>
  <c r="E125" i="8"/>
  <c r="E124" i="8"/>
  <c r="E123" i="8"/>
  <c r="E122" i="8"/>
  <c r="E121" i="8"/>
  <c r="E120" i="8"/>
  <c r="E119" i="8"/>
  <c r="E118" i="8"/>
  <c r="E110" i="8"/>
  <c r="E109" i="8"/>
  <c r="E108" i="8"/>
  <c r="E107" i="8"/>
  <c r="E106" i="8"/>
  <c r="E105" i="8"/>
  <c r="E104" i="8"/>
  <c r="I23" i="7" l="1"/>
  <c r="I82" i="7" s="1"/>
  <c r="I81" i="7"/>
  <c r="I31" i="7"/>
  <c r="I73" i="7"/>
  <c r="I71" i="7" s="1"/>
  <c r="I49" i="7"/>
  <c r="I48" i="7" s="1"/>
  <c r="I21" i="7"/>
  <c r="I22" i="7"/>
  <c r="I64" i="7"/>
  <c r="I67" i="7"/>
  <c r="I62" i="7"/>
  <c r="I44" i="7"/>
  <c r="I24" i="7"/>
  <c r="I38" i="7"/>
  <c r="I30" i="7"/>
  <c r="I37" i="7"/>
  <c r="I32" i="7"/>
  <c r="I29" i="7"/>
  <c r="G178" i="8"/>
  <c r="G140" i="8"/>
  <c r="G136" i="8"/>
  <c r="G132" i="8"/>
  <c r="G164" i="8"/>
  <c r="G135" i="8"/>
  <c r="G143" i="8"/>
  <c r="G144" i="8"/>
  <c r="G142" i="8"/>
  <c r="E155" i="8"/>
  <c r="G155" i="8" s="1"/>
  <c r="E174" i="8"/>
  <c r="G174" i="8" s="1"/>
  <c r="E175" i="8"/>
  <c r="G175" i="8" s="1"/>
  <c r="G137" i="8"/>
  <c r="E148" i="8"/>
  <c r="G148" i="8" s="1"/>
  <c r="E165" i="8"/>
  <c r="G165" i="8" s="1"/>
  <c r="E154" i="8"/>
  <c r="G154" i="8" s="1"/>
  <c r="E160" i="8"/>
  <c r="G160" i="8" s="1"/>
  <c r="G139" i="8"/>
  <c r="E163" i="8"/>
  <c r="G163" i="8" s="1"/>
  <c r="E150" i="8"/>
  <c r="G150" i="8" s="1"/>
  <c r="E169" i="8"/>
  <c r="G169" i="8" s="1"/>
  <c r="E147" i="8"/>
  <c r="G147" i="8" s="1"/>
  <c r="E152" i="8"/>
  <c r="G152" i="8" s="1"/>
  <c r="G176" i="8"/>
  <c r="G153" i="8"/>
  <c r="G177" i="8"/>
  <c r="E146" i="8"/>
  <c r="G146" i="8" s="1"/>
  <c r="E158" i="8"/>
  <c r="G158" i="8" s="1"/>
  <c r="G138" i="8"/>
  <c r="E201" i="8"/>
  <c r="G133" i="8"/>
  <c r="G141" i="8"/>
  <c r="G134" i="8"/>
  <c r="G166" i="8"/>
  <c r="G171" i="8"/>
  <c r="C130" i="8"/>
  <c r="G162" i="8"/>
  <c r="G173" i="8"/>
  <c r="E161" i="8"/>
  <c r="G161" i="8" s="1"/>
  <c r="E151" i="8"/>
  <c r="G151" i="8" s="1"/>
  <c r="E159" i="8"/>
  <c r="G159" i="8" s="1"/>
  <c r="G167" i="8"/>
  <c r="E168" i="8"/>
  <c r="E172" i="8" s="1"/>
  <c r="G172" i="8" s="1"/>
  <c r="E170" i="8"/>
  <c r="G170" i="8" s="1"/>
  <c r="E149" i="8"/>
  <c r="G149" i="8" s="1"/>
  <c r="E156" i="8"/>
  <c r="G156" i="8" s="1"/>
  <c r="E145" i="8"/>
  <c r="G145" i="8" s="1"/>
  <c r="E157" i="8"/>
  <c r="G157" i="8" s="1"/>
  <c r="G179" i="8"/>
  <c r="C48" i="8"/>
  <c r="I79" i="7" l="1"/>
  <c r="E129" i="7" s="1"/>
  <c r="E109" i="7"/>
  <c r="F172" i="7"/>
  <c r="E172" i="7" s="1"/>
  <c r="E124" i="7"/>
  <c r="G194" i="7"/>
  <c r="I61" i="7"/>
  <c r="I20" i="7"/>
  <c r="F144" i="7" s="1"/>
  <c r="I42" i="7"/>
  <c r="F165" i="7" s="1"/>
  <c r="E165" i="7" s="1"/>
  <c r="I36" i="7"/>
  <c r="F158" i="7" s="1"/>
  <c r="E158" i="7" s="1"/>
  <c r="I28" i="7"/>
  <c r="F151" i="7" s="1"/>
  <c r="E151" i="7" s="1"/>
  <c r="H201" i="8"/>
  <c r="E202" i="8"/>
  <c r="H202" i="8" s="1"/>
  <c r="G168" i="8"/>
  <c r="E64" i="1"/>
  <c r="E63" i="1" s="1"/>
  <c r="D64" i="1"/>
  <c r="E117" i="8" s="1"/>
  <c r="C64" i="1"/>
  <c r="C63" i="1" s="1"/>
  <c r="E49" i="1"/>
  <c r="E48" i="1" s="1"/>
  <c r="D49" i="1"/>
  <c r="D48" i="1" s="1"/>
  <c r="C49" i="1"/>
  <c r="C48" i="1" s="1"/>
  <c r="E31" i="1"/>
  <c r="D31" i="1"/>
  <c r="E131" i="8" s="1"/>
  <c r="G131" i="8" s="1"/>
  <c r="E30" i="1"/>
  <c r="D30" i="1"/>
  <c r="C31" i="1"/>
  <c r="C30" i="1" s="1"/>
  <c r="E125" i="7" l="1"/>
  <c r="E126" i="7" s="1"/>
  <c r="E127" i="7" s="1"/>
  <c r="F124" i="7"/>
  <c r="D129" i="7"/>
  <c r="F129" i="7"/>
  <c r="E130" i="7"/>
  <c r="E131" i="7" s="1"/>
  <c r="E194" i="7"/>
  <c r="E144" i="7"/>
  <c r="E119" i="7"/>
  <c r="E120" i="7" s="1"/>
  <c r="E121" i="7" s="1"/>
  <c r="E122" i="7" s="1"/>
  <c r="G187" i="7"/>
  <c r="E187" i="7" s="1"/>
  <c r="E94" i="7"/>
  <c r="E99" i="7"/>
  <c r="E104" i="7"/>
  <c r="E89" i="7"/>
  <c r="D124" i="7"/>
  <c r="D125" i="7" s="1"/>
  <c r="E115" i="7"/>
  <c r="F109" i="7"/>
  <c r="F110" i="7" s="1"/>
  <c r="F111" i="7" s="1"/>
  <c r="F112" i="7" s="1"/>
  <c r="D109" i="7"/>
  <c r="D110" i="7" s="1"/>
  <c r="E110" i="7"/>
  <c r="E111" i="7" s="1"/>
  <c r="E112" i="7" s="1"/>
  <c r="D63" i="1"/>
  <c r="E116" i="8" s="1"/>
  <c r="G130" i="8"/>
  <c r="H183" i="8" s="1"/>
  <c r="D230" i="8" s="1"/>
  <c r="F230" i="8" s="1"/>
  <c r="G129" i="7" l="1"/>
  <c r="H129" i="7" s="1"/>
  <c r="J129" i="7" s="1"/>
  <c r="D130" i="7"/>
  <c r="E132" i="7"/>
  <c r="I129" i="7"/>
  <c r="F130" i="7"/>
  <c r="F125" i="7"/>
  <c r="I124" i="7"/>
  <c r="E137" i="7"/>
  <c r="G124" i="7"/>
  <c r="G114" i="7"/>
  <c r="E116" i="7"/>
  <c r="I114" i="7"/>
  <c r="E95" i="7"/>
  <c r="E96" i="7" s="1"/>
  <c r="E97" i="7" s="1"/>
  <c r="F94" i="7"/>
  <c r="F95" i="7" s="1"/>
  <c r="F96" i="7" s="1"/>
  <c r="F97" i="7" s="1"/>
  <c r="D94" i="7"/>
  <c r="D95" i="7" s="1"/>
  <c r="D127" i="7"/>
  <c r="G127" i="7" s="1"/>
  <c r="G125" i="7"/>
  <c r="D126" i="7"/>
  <c r="G126" i="7" s="1"/>
  <c r="D99" i="7"/>
  <c r="D100" i="7" s="1"/>
  <c r="F99" i="7"/>
  <c r="F100" i="7" s="1"/>
  <c r="F101" i="7" s="1"/>
  <c r="F102" i="7" s="1"/>
  <c r="E100" i="7"/>
  <c r="E101" i="7" s="1"/>
  <c r="E102" i="7" s="1"/>
  <c r="E90" i="7"/>
  <c r="E91" i="7" s="1"/>
  <c r="E92" i="7" s="1"/>
  <c r="D89" i="7"/>
  <c r="D90" i="7" s="1"/>
  <c r="E105" i="7"/>
  <c r="E106" i="7" s="1"/>
  <c r="E107" i="7" s="1"/>
  <c r="D104" i="7"/>
  <c r="D105" i="7" s="1"/>
  <c r="F104" i="7"/>
  <c r="F105" i="7" s="1"/>
  <c r="F106" i="7" s="1"/>
  <c r="F107" i="7" s="1"/>
  <c r="D112" i="7"/>
  <c r="D111" i="7"/>
  <c r="D201" i="8"/>
  <c r="G230" i="8"/>
  <c r="D199" i="8"/>
  <c r="D200" i="8"/>
  <c r="D202" i="8"/>
  <c r="G209" i="8"/>
  <c r="H230" i="8"/>
  <c r="F126" i="7" l="1"/>
  <c r="I125" i="7"/>
  <c r="F131" i="7"/>
  <c r="I130" i="7"/>
  <c r="H125" i="7"/>
  <c r="J125" i="7" s="1"/>
  <c r="G197" i="7" s="1"/>
  <c r="E197" i="7" s="1"/>
  <c r="H124" i="7"/>
  <c r="J124" i="7" s="1"/>
  <c r="G196" i="7" s="1"/>
  <c r="E196" i="7" s="1"/>
  <c r="G130" i="7"/>
  <c r="D132" i="7"/>
  <c r="G132" i="7" s="1"/>
  <c r="D131" i="7"/>
  <c r="G131" i="7" s="1"/>
  <c r="I115" i="7"/>
  <c r="E117" i="7"/>
  <c r="G116" i="7"/>
  <c r="G115" i="7"/>
  <c r="G117" i="7"/>
  <c r="H114" i="7"/>
  <c r="J114" i="7" s="1"/>
  <c r="F181" i="7" s="1"/>
  <c r="D107" i="7"/>
  <c r="D106" i="7"/>
  <c r="D92" i="7"/>
  <c r="D91" i="7"/>
  <c r="D97" i="7"/>
  <c r="D96" i="7"/>
  <c r="D102" i="7"/>
  <c r="D101" i="7"/>
  <c r="H209" i="8"/>
  <c r="H130" i="7" l="1"/>
  <c r="J130" i="7" s="1"/>
  <c r="F132" i="7"/>
  <c r="I132" i="7" s="1"/>
  <c r="H132" i="7" s="1"/>
  <c r="J132" i="7" s="1"/>
  <c r="I131" i="7"/>
  <c r="H131" i="7"/>
  <c r="J131" i="7" s="1"/>
  <c r="F127" i="7"/>
  <c r="I127" i="7" s="1"/>
  <c r="H127" i="7" s="1"/>
  <c r="J127" i="7" s="1"/>
  <c r="G199" i="7" s="1"/>
  <c r="I126" i="7"/>
  <c r="H126" i="7" s="1"/>
  <c r="J126" i="7" s="1"/>
  <c r="G198" i="7" s="1"/>
  <c r="E198" i="7" s="1"/>
  <c r="E181" i="7"/>
  <c r="H115" i="7"/>
  <c r="J115" i="7" s="1"/>
  <c r="F182" i="7" s="1"/>
  <c r="I116" i="7"/>
  <c r="H116" i="7" s="1"/>
  <c r="J116" i="7" s="1"/>
  <c r="F183" i="7" s="1"/>
  <c r="I117" i="7"/>
  <c r="H117" i="7" s="1"/>
  <c r="J117" i="7" s="1"/>
  <c r="C20" i="8"/>
  <c r="C116" i="8" s="1"/>
  <c r="C21" i="8"/>
  <c r="C117" i="8" s="1"/>
  <c r="C29" i="8"/>
  <c r="C125" i="8" s="1"/>
  <c r="C28" i="8"/>
  <c r="C124" i="8" s="1"/>
  <c r="C27" i="8"/>
  <c r="C123" i="8" s="1"/>
  <c r="C26" i="8"/>
  <c r="C122" i="8" s="1"/>
  <c r="G122" i="8" s="1"/>
  <c r="C25" i="8"/>
  <c r="C121" i="8" s="1"/>
  <c r="C24" i="8"/>
  <c r="C120" i="8" s="1"/>
  <c r="C23" i="8"/>
  <c r="C119" i="8" s="1"/>
  <c r="C22" i="8"/>
  <c r="C118" i="8" s="1"/>
  <c r="G33" i="8"/>
  <c r="F33" i="8"/>
  <c r="E33" i="8"/>
  <c r="D33" i="8"/>
  <c r="C33" i="8"/>
  <c r="J128" i="7" l="1"/>
  <c r="E204" i="7"/>
  <c r="G195" i="7"/>
  <c r="E195" i="7" s="1"/>
  <c r="E203" i="7"/>
  <c r="E199" i="7"/>
  <c r="J123" i="7"/>
  <c r="E182" i="7"/>
  <c r="E183" i="7"/>
  <c r="F184" i="7"/>
  <c r="J113" i="7"/>
  <c r="G123" i="8"/>
  <c r="G124" i="8"/>
  <c r="H33" i="8"/>
  <c r="G202" i="7" l="1"/>
  <c r="E184" i="7"/>
  <c r="H54" i="9"/>
  <c r="G54" i="9"/>
  <c r="H217" i="8"/>
  <c r="H215" i="8" s="1"/>
  <c r="G217" i="8"/>
  <c r="G215" i="8" s="1"/>
  <c r="F217" i="8"/>
  <c r="F215" i="8" s="1"/>
  <c r="I166" i="7"/>
  <c r="G166" i="7"/>
  <c r="H166" i="7"/>
  <c r="I159" i="7"/>
  <c r="H159" i="7"/>
  <c r="G159" i="7"/>
  <c r="I152" i="7"/>
  <c r="I151" i="7" s="1"/>
  <c r="H152" i="7"/>
  <c r="H151" i="7" s="1"/>
  <c r="G152" i="7"/>
  <c r="G151" i="7" s="1"/>
  <c r="G145" i="7"/>
  <c r="G9" i="13"/>
  <c r="H9" i="13"/>
  <c r="I466" i="3"/>
  <c r="I463" i="3" s="1"/>
  <c r="H466" i="3"/>
  <c r="H463" i="3" s="1"/>
  <c r="G466" i="3"/>
  <c r="G463" i="3" s="1"/>
  <c r="I458" i="3"/>
  <c r="I455" i="3" s="1"/>
  <c r="H458" i="3"/>
  <c r="H455" i="3" s="1"/>
  <c r="I450" i="3"/>
  <c r="I447" i="3" s="1"/>
  <c r="H450" i="3"/>
  <c r="H447" i="3" s="1"/>
  <c r="G450" i="3"/>
  <c r="I442" i="3"/>
  <c r="I439" i="3" s="1"/>
  <c r="H442" i="3"/>
  <c r="H439" i="3" s="1"/>
  <c r="G442" i="3"/>
  <c r="G439" i="3" s="1"/>
  <c r="I433" i="3"/>
  <c r="I430" i="3" s="1"/>
  <c r="H433" i="3"/>
  <c r="H430" i="3" s="1"/>
  <c r="G433" i="3"/>
  <c r="I425" i="3"/>
  <c r="I422" i="3" s="1"/>
  <c r="H425" i="3"/>
  <c r="H422" i="3" s="1"/>
  <c r="I417" i="3"/>
  <c r="I414" i="3" s="1"/>
  <c r="H417" i="3"/>
  <c r="H414" i="3" s="1"/>
  <c r="G417" i="3"/>
  <c r="I409" i="3"/>
  <c r="I406" i="3" s="1"/>
  <c r="H409" i="3"/>
  <c r="H406" i="3" s="1"/>
  <c r="I401" i="3"/>
  <c r="I398" i="3" s="1"/>
  <c r="H401" i="3"/>
  <c r="H398" i="3" s="1"/>
  <c r="G401" i="3"/>
  <c r="G398" i="3" s="1"/>
  <c r="I390" i="3"/>
  <c r="H390" i="3"/>
  <c r="I384" i="3"/>
  <c r="I381" i="3" s="1"/>
  <c r="H384" i="3"/>
  <c r="H381" i="3" s="1"/>
  <c r="I376" i="3"/>
  <c r="I373" i="3" s="1"/>
  <c r="H376" i="3"/>
  <c r="H373" i="3" s="1"/>
  <c r="I368" i="3"/>
  <c r="I365" i="3" s="1"/>
  <c r="H368" i="3"/>
  <c r="H365" i="3" s="1"/>
  <c r="I360" i="3"/>
  <c r="I357" i="3" s="1"/>
  <c r="H360" i="3"/>
  <c r="H357" i="3" s="1"/>
  <c r="I352" i="3"/>
  <c r="I349" i="3" s="1"/>
  <c r="H352" i="3"/>
  <c r="H349" i="3" s="1"/>
  <c r="I344" i="3"/>
  <c r="I341" i="3" s="1"/>
  <c r="H344" i="3"/>
  <c r="H341" i="3" s="1"/>
  <c r="I335" i="3"/>
  <c r="I332" i="3" s="1"/>
  <c r="H335" i="3"/>
  <c r="H332" i="3" s="1"/>
  <c r="I327" i="3"/>
  <c r="I324" i="3" s="1"/>
  <c r="H327" i="3"/>
  <c r="H324" i="3" s="1"/>
  <c r="I319" i="3"/>
  <c r="I316" i="3" s="1"/>
  <c r="H319" i="3"/>
  <c r="H316" i="3" s="1"/>
  <c r="I311" i="3"/>
  <c r="I308" i="3" s="1"/>
  <c r="H311" i="3"/>
  <c r="H308" i="3" s="1"/>
  <c r="I303" i="3"/>
  <c r="I300" i="3" s="1"/>
  <c r="H303" i="3"/>
  <c r="H300" i="3" s="1"/>
  <c r="G303" i="3"/>
  <c r="G300" i="3" s="1"/>
  <c r="H59" i="13"/>
  <c r="G59" i="13"/>
  <c r="F59" i="13"/>
  <c r="E59" i="13"/>
  <c r="H58" i="13"/>
  <c r="G58" i="13"/>
  <c r="F58" i="13"/>
  <c r="E58" i="13"/>
  <c r="H57" i="13"/>
  <c r="G57" i="13"/>
  <c r="F57" i="13"/>
  <c r="E57" i="13"/>
  <c r="H55" i="13"/>
  <c r="G55" i="13"/>
  <c r="F55" i="13"/>
  <c r="E55" i="13"/>
  <c r="H54" i="13"/>
  <c r="G54" i="13"/>
  <c r="F54" i="13"/>
  <c r="E54" i="13"/>
  <c r="D54" i="13" s="1"/>
  <c r="H53" i="13"/>
  <c r="G53" i="13"/>
  <c r="F53" i="13"/>
  <c r="E53" i="13"/>
  <c r="H51" i="13"/>
  <c r="G51" i="13"/>
  <c r="F51" i="13"/>
  <c r="E51" i="13"/>
  <c r="H50" i="13"/>
  <c r="G50" i="13"/>
  <c r="H49" i="13"/>
  <c r="G49" i="13"/>
  <c r="H47" i="13"/>
  <c r="G47" i="13"/>
  <c r="F47" i="13"/>
  <c r="E47" i="13"/>
  <c r="H43" i="13"/>
  <c r="G43" i="13"/>
  <c r="H42" i="13"/>
  <c r="G42" i="13"/>
  <c r="H41" i="13"/>
  <c r="G41" i="13"/>
  <c r="H35" i="13"/>
  <c r="G35" i="13"/>
  <c r="F35" i="13"/>
  <c r="E35" i="13"/>
  <c r="H34" i="13"/>
  <c r="G34" i="13"/>
  <c r="H33" i="13"/>
  <c r="G33" i="13"/>
  <c r="G29" i="13"/>
  <c r="H29" i="13"/>
  <c r="G30" i="13"/>
  <c r="H30" i="13"/>
  <c r="G31" i="13"/>
  <c r="H31" i="13"/>
  <c r="F15" i="13"/>
  <c r="G15" i="13"/>
  <c r="H15" i="13"/>
  <c r="E15" i="13"/>
  <c r="F14" i="13"/>
  <c r="G14" i="13"/>
  <c r="H14" i="13"/>
  <c r="E14" i="13"/>
  <c r="G13" i="13"/>
  <c r="H13" i="13"/>
  <c r="G8" i="13"/>
  <c r="H8" i="13"/>
  <c r="G28" i="12"/>
  <c r="F28" i="12"/>
  <c r="E28" i="12"/>
  <c r="C10" i="12"/>
  <c r="C24" i="12" s="1"/>
  <c r="G30" i="11"/>
  <c r="F30" i="11"/>
  <c r="E30" i="11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G200" i="7" l="1"/>
  <c r="E200" i="7" s="1"/>
  <c r="E202" i="7"/>
  <c r="G447" i="3"/>
  <c r="E447" i="3" s="1"/>
  <c r="E450" i="3"/>
  <c r="G430" i="3"/>
  <c r="E430" i="3" s="1"/>
  <c r="E433" i="3"/>
  <c r="G414" i="3"/>
  <c r="E414" i="3" s="1"/>
  <c r="E417" i="3"/>
  <c r="G26" i="13"/>
  <c r="H25" i="13"/>
  <c r="G25" i="13"/>
  <c r="H27" i="13"/>
  <c r="G27" i="13"/>
  <c r="H26" i="13"/>
  <c r="G52" i="13"/>
  <c r="E23" i="13"/>
  <c r="H56" i="13"/>
  <c r="F23" i="13"/>
  <c r="G56" i="13"/>
  <c r="D53" i="13"/>
  <c r="D55" i="13"/>
  <c r="F56" i="13"/>
  <c r="E52" i="13"/>
  <c r="H52" i="13"/>
  <c r="D59" i="13"/>
  <c r="F52" i="13"/>
  <c r="D58" i="13"/>
  <c r="I164" i="7"/>
  <c r="H164" i="7"/>
  <c r="G150" i="7"/>
  <c r="G157" i="7"/>
  <c r="H157" i="7"/>
  <c r="I157" i="7"/>
  <c r="H150" i="7"/>
  <c r="D51" i="13"/>
  <c r="G48" i="13"/>
  <c r="H48" i="13"/>
  <c r="D47" i="13"/>
  <c r="G222" i="8"/>
  <c r="H222" i="8"/>
  <c r="G39" i="13"/>
  <c r="H39" i="13"/>
  <c r="G164" i="7"/>
  <c r="I150" i="7"/>
  <c r="H138" i="7"/>
  <c r="H143" i="7"/>
  <c r="G143" i="7"/>
  <c r="I145" i="7"/>
  <c r="I143" i="7" s="1"/>
  <c r="I138" i="7"/>
  <c r="H40" i="13"/>
  <c r="G40" i="13"/>
  <c r="D35" i="13"/>
  <c r="G7" i="13"/>
  <c r="H32" i="13"/>
  <c r="G32" i="13"/>
  <c r="H28" i="13"/>
  <c r="G28" i="13"/>
  <c r="D57" i="13"/>
  <c r="E56" i="13"/>
  <c r="D15" i="13"/>
  <c r="D14" i="13"/>
  <c r="H7" i="13"/>
  <c r="D31" i="12"/>
  <c r="C31" i="12" s="1"/>
  <c r="D29" i="12"/>
  <c r="D14" i="12"/>
  <c r="C14" i="12" s="1"/>
  <c r="H23" i="13" l="1"/>
  <c r="G23" i="13"/>
  <c r="D56" i="13"/>
  <c r="D52" i="13"/>
  <c r="I136" i="7"/>
  <c r="H11" i="13" s="1"/>
  <c r="H22" i="13"/>
  <c r="G22" i="13"/>
  <c r="H136" i="7"/>
  <c r="G11" i="13" s="1"/>
  <c r="G24" i="13"/>
  <c r="H24" i="13"/>
  <c r="C29" i="12"/>
  <c r="D30" i="12"/>
  <c r="C30" i="12" s="1"/>
  <c r="H226" i="7" l="1"/>
  <c r="G226" i="7"/>
  <c r="D28" i="12"/>
  <c r="C28" i="12" s="1"/>
  <c r="C12" i="11" l="1"/>
  <c r="C26" i="11" s="1"/>
  <c r="F26" i="11" l="1"/>
  <c r="D33" i="11" s="1"/>
  <c r="C33" i="11" s="1"/>
  <c r="D26" i="11"/>
  <c r="D31" i="11"/>
  <c r="D16" i="11"/>
  <c r="C16" i="11" s="1"/>
  <c r="E26" i="11" l="1"/>
  <c r="D32" i="11" s="1"/>
  <c r="C32" i="11" s="1"/>
  <c r="C31" i="11"/>
  <c r="D30" i="11" l="1"/>
  <c r="C30" i="11" s="1"/>
  <c r="D6" i="9" l="1"/>
  <c r="D25" i="9" s="1"/>
  <c r="H25" i="9" s="1"/>
  <c r="D7" i="9"/>
  <c r="D26" i="9" s="1"/>
  <c r="H26" i="9" s="1"/>
  <c r="D8" i="9"/>
  <c r="D27" i="9" s="1"/>
  <c r="H27" i="9" s="1"/>
  <c r="D9" i="9"/>
  <c r="D28" i="9" s="1"/>
  <c r="H28" i="9" s="1"/>
  <c r="D10" i="9"/>
  <c r="D29" i="9" s="1"/>
  <c r="H29" i="9" s="1"/>
  <c r="D11" i="9"/>
  <c r="D30" i="9" s="1"/>
  <c r="H30" i="9" s="1"/>
  <c r="D12" i="9"/>
  <c r="D31" i="9" s="1"/>
  <c r="H31" i="9" s="1"/>
  <c r="D13" i="9"/>
  <c r="D32" i="9" s="1"/>
  <c r="H32" i="9" s="1"/>
  <c r="D14" i="9"/>
  <c r="D33" i="9" s="1"/>
  <c r="H33" i="9" s="1"/>
  <c r="D15" i="9"/>
  <c r="D34" i="9" s="1"/>
  <c r="H34" i="9" s="1"/>
  <c r="D16" i="9"/>
  <c r="D35" i="9" s="1"/>
  <c r="H35" i="9" s="1"/>
  <c r="D17" i="9"/>
  <c r="D36" i="9" s="1"/>
  <c r="H36" i="9" s="1"/>
  <c r="D18" i="9"/>
  <c r="D37" i="9" s="1"/>
  <c r="H37" i="9" s="1"/>
  <c r="D19" i="9"/>
  <c r="D38" i="9" s="1"/>
  <c r="H38" i="9" s="1"/>
  <c r="D20" i="9"/>
  <c r="D39" i="9" s="1"/>
  <c r="H39" i="9" s="1"/>
  <c r="E46" i="9"/>
  <c r="H46" i="9" s="1"/>
  <c r="H45" i="9"/>
  <c r="E190" i="8"/>
  <c r="E191" i="8" s="1"/>
  <c r="E192" i="8" s="1"/>
  <c r="C104" i="8"/>
  <c r="C105" i="8"/>
  <c r="C106" i="8"/>
  <c r="C107" i="8"/>
  <c r="C108" i="8"/>
  <c r="C109" i="8"/>
  <c r="C110" i="8"/>
  <c r="I7" i="8"/>
  <c r="H7" i="8"/>
  <c r="G7" i="8"/>
  <c r="F7" i="8"/>
  <c r="E7" i="8"/>
  <c r="D7" i="8"/>
  <c r="H19" i="8"/>
  <c r="G19" i="8"/>
  <c r="F19" i="8"/>
  <c r="E19" i="8"/>
  <c r="D19" i="8"/>
  <c r="C19" i="8" l="1"/>
  <c r="G104" i="8"/>
  <c r="H24" i="9"/>
  <c r="E47" i="9"/>
  <c r="G125" i="8"/>
  <c r="G121" i="8"/>
  <c r="G110" i="8"/>
  <c r="G118" i="8"/>
  <c r="G116" i="8"/>
  <c r="C115" i="8"/>
  <c r="G119" i="8"/>
  <c r="G117" i="8"/>
  <c r="G108" i="8"/>
  <c r="G120" i="8"/>
  <c r="C103" i="8"/>
  <c r="G107" i="8"/>
  <c r="G106" i="8"/>
  <c r="G105" i="8"/>
  <c r="G109" i="8"/>
  <c r="C7" i="8"/>
  <c r="F53" i="9" l="1"/>
  <c r="D53" i="9" s="1"/>
  <c r="D47" i="9"/>
  <c r="D46" i="9"/>
  <c r="D48" i="9"/>
  <c r="D45" i="9"/>
  <c r="H47" i="9"/>
  <c r="E48" i="9"/>
  <c r="H48" i="9" s="1"/>
  <c r="G115" i="8"/>
  <c r="G103" i="8"/>
  <c r="D183" i="8" l="1"/>
  <c r="F183" i="8"/>
  <c r="F223" i="8" s="1"/>
  <c r="F209" i="8" s="1"/>
  <c r="F45" i="9"/>
  <c r="G45" i="9" s="1"/>
  <c r="I45" i="9" s="1"/>
  <c r="F55" i="9" s="1"/>
  <c r="F46" i="9"/>
  <c r="G46" i="9" s="1"/>
  <c r="I46" i="9" s="1"/>
  <c r="F48" i="9"/>
  <c r="G48" i="9" s="1"/>
  <c r="I48" i="9" s="1"/>
  <c r="F47" i="9"/>
  <c r="G47" i="9" s="1"/>
  <c r="I47" i="9" s="1"/>
  <c r="D191" i="8" l="1"/>
  <c r="E216" i="8"/>
  <c r="E209" i="8" s="1"/>
  <c r="F56" i="9"/>
  <c r="F58" i="9"/>
  <c r="D58" i="9" s="1"/>
  <c r="F57" i="9"/>
  <c r="D57" i="9" s="1"/>
  <c r="B183" i="8"/>
  <c r="D223" i="8"/>
  <c r="D190" i="8"/>
  <c r="D189" i="8"/>
  <c r="D192" i="8"/>
  <c r="D55" i="9"/>
  <c r="E54" i="9"/>
  <c r="D216" i="8"/>
  <c r="D194" i="8"/>
  <c r="D196" i="8"/>
  <c r="D197" i="8"/>
  <c r="D195" i="8"/>
  <c r="I44" i="9"/>
  <c r="F54" i="9" l="1"/>
  <c r="F52" i="9" s="1"/>
  <c r="D56" i="9"/>
  <c r="F200" i="8"/>
  <c r="G200" i="8" s="1"/>
  <c r="I200" i="8" s="1"/>
  <c r="D233" i="8" s="1"/>
  <c r="F201" i="8"/>
  <c r="G201" i="8" s="1"/>
  <c r="I201" i="8" s="1"/>
  <c r="D234" i="8" s="1"/>
  <c r="F202" i="8"/>
  <c r="G202" i="8" s="1"/>
  <c r="I202" i="8" s="1"/>
  <c r="D235" i="8" s="1"/>
  <c r="F199" i="8"/>
  <c r="G199" i="8" s="1"/>
  <c r="I199" i="8" s="1"/>
  <c r="D232" i="8" s="1"/>
  <c r="D54" i="9"/>
  <c r="E52" i="9"/>
  <c r="E13" i="13" s="1"/>
  <c r="D209" i="8"/>
  <c r="F232" i="8" l="1"/>
  <c r="G232" i="8"/>
  <c r="D231" i="8"/>
  <c r="D229" i="8" s="1"/>
  <c r="G233" i="8"/>
  <c r="G212" i="8" s="1"/>
  <c r="F233" i="8"/>
  <c r="H233" i="8" s="1"/>
  <c r="H212" i="8" s="1"/>
  <c r="F13" i="13"/>
  <c r="D13" i="13" s="1"/>
  <c r="F73" i="9"/>
  <c r="F235" i="8"/>
  <c r="G235" i="8"/>
  <c r="G214" i="8" s="1"/>
  <c r="G234" i="8"/>
  <c r="G213" i="8" s="1"/>
  <c r="F234" i="8"/>
  <c r="I198" i="8"/>
  <c r="D52" i="9"/>
  <c r="D69" i="9" s="1"/>
  <c r="E69" i="9" s="1"/>
  <c r="F69" i="9" s="1"/>
  <c r="E73" i="9"/>
  <c r="H235" i="8" l="1"/>
  <c r="H214" i="8" s="1"/>
  <c r="F231" i="8"/>
  <c r="F229" i="8" s="1"/>
  <c r="H234" i="8"/>
  <c r="H213" i="8" s="1"/>
  <c r="H232" i="8"/>
  <c r="F74" i="9"/>
  <c r="F49" i="13" s="1"/>
  <c r="F75" i="9"/>
  <c r="F50" i="13" s="1"/>
  <c r="G211" i="8"/>
  <c r="G210" i="8" s="1"/>
  <c r="G208" i="8" s="1"/>
  <c r="G231" i="8"/>
  <c r="G229" i="8" s="1"/>
  <c r="D73" i="9"/>
  <c r="E74" i="9"/>
  <c r="G250" i="8" l="1"/>
  <c r="G251" i="8" s="1"/>
  <c r="G12" i="13"/>
  <c r="G10" i="13" s="1"/>
  <c r="G6" i="13" s="1"/>
  <c r="F48" i="13"/>
  <c r="H211" i="8"/>
  <c r="H210" i="8" s="1"/>
  <c r="H208" i="8" s="1"/>
  <c r="H231" i="8"/>
  <c r="H229" i="8" s="1"/>
  <c r="D74" i="9"/>
  <c r="E49" i="13"/>
  <c r="E75" i="9"/>
  <c r="G252" i="8" l="1"/>
  <c r="G46" i="13" s="1"/>
  <c r="G38" i="13" s="1"/>
  <c r="G45" i="13"/>
  <c r="H12" i="13"/>
  <c r="H10" i="13" s="1"/>
  <c r="H6" i="13" s="1"/>
  <c r="H250" i="8"/>
  <c r="H251" i="8" s="1"/>
  <c r="D75" i="9"/>
  <c r="E50" i="13"/>
  <c r="D50" i="13" s="1"/>
  <c r="D49" i="13"/>
  <c r="G21" i="13" l="1"/>
  <c r="H252" i="8"/>
  <c r="H46" i="13" s="1"/>
  <c r="H38" i="13" s="1"/>
  <c r="H45" i="13"/>
  <c r="G37" i="13"/>
  <c r="G44" i="13"/>
  <c r="E48" i="13"/>
  <c r="D48" i="13" s="1"/>
  <c r="A189" i="8"/>
  <c r="E195" i="8"/>
  <c r="E196" i="8" s="1"/>
  <c r="H194" i="8"/>
  <c r="A194" i="8"/>
  <c r="H21" i="13" l="1"/>
  <c r="G20" i="13"/>
  <c r="G19" i="13" s="1"/>
  <c r="G36" i="13"/>
  <c r="H37" i="13"/>
  <c r="H44" i="13"/>
  <c r="F194" i="8"/>
  <c r="G194" i="8" s="1"/>
  <c r="I194" i="8" s="1"/>
  <c r="F225" i="8" s="1"/>
  <c r="H195" i="8"/>
  <c r="A195" i="8"/>
  <c r="A196" i="8" s="1"/>
  <c r="E197" i="8"/>
  <c r="H197" i="8" s="1"/>
  <c r="H196" i="8"/>
  <c r="A190" i="8"/>
  <c r="H36" i="13" l="1"/>
  <c r="H20" i="13"/>
  <c r="H19" i="13" s="1"/>
  <c r="F211" i="8"/>
  <c r="D225" i="8"/>
  <c r="F195" i="8"/>
  <c r="G195" i="8" s="1"/>
  <c r="I195" i="8" s="1"/>
  <c r="F226" i="8" s="1"/>
  <c r="F212" i="8" s="1"/>
  <c r="F189" i="8"/>
  <c r="A191" i="8"/>
  <c r="A197" i="8"/>
  <c r="D226" i="8" l="1"/>
  <c r="H189" i="8"/>
  <c r="G189" i="8" s="1"/>
  <c r="I189" i="8" s="1"/>
  <c r="E218" i="8" s="1"/>
  <c r="E211" i="8" s="1"/>
  <c r="F196" i="8"/>
  <c r="G196" i="8" s="1"/>
  <c r="I196" i="8" s="1"/>
  <c r="F227" i="8" s="1"/>
  <c r="F213" i="8" s="1"/>
  <c r="F190" i="8"/>
  <c r="H190" i="8"/>
  <c r="F197" i="8"/>
  <c r="G197" i="8" s="1"/>
  <c r="I197" i="8" s="1"/>
  <c r="F228" i="8" s="1"/>
  <c r="F214" i="8" s="1"/>
  <c r="A192" i="8"/>
  <c r="F210" i="8" l="1"/>
  <c r="F208" i="8" s="1"/>
  <c r="F250" i="8" s="1"/>
  <c r="F224" i="8"/>
  <c r="F222" i="8" s="1"/>
  <c r="D227" i="8"/>
  <c r="D218" i="8"/>
  <c r="D211" i="8"/>
  <c r="D228" i="8"/>
  <c r="I193" i="8"/>
  <c r="G190" i="8"/>
  <c r="I190" i="8" s="1"/>
  <c r="E219" i="8" s="1"/>
  <c r="E212" i="8" s="1"/>
  <c r="F192" i="8"/>
  <c r="H192" i="8"/>
  <c r="F191" i="8"/>
  <c r="H191" i="8"/>
  <c r="F12" i="13" l="1"/>
  <c r="F251" i="8"/>
  <c r="F45" i="13" s="1"/>
  <c r="F252" i="8"/>
  <c r="F46" i="13" s="1"/>
  <c r="D219" i="8"/>
  <c r="G191" i="8"/>
  <c r="I191" i="8" s="1"/>
  <c r="G192" i="8"/>
  <c r="I192" i="8" s="1"/>
  <c r="E221" i="8" s="1"/>
  <c r="E214" i="8" s="1"/>
  <c r="F44" i="13" l="1"/>
  <c r="D221" i="8"/>
  <c r="D214" i="8"/>
  <c r="E220" i="8"/>
  <c r="D212" i="8"/>
  <c r="I188" i="8"/>
  <c r="E217" i="8" l="1"/>
  <c r="D217" i="8" s="1"/>
  <c r="E213" i="8"/>
  <c r="D220" i="8"/>
  <c r="E215" i="8" l="1"/>
  <c r="D215" i="8" s="1"/>
  <c r="D213" i="8"/>
  <c r="E210" i="8"/>
  <c r="D210" i="8" l="1"/>
  <c r="E208" i="8"/>
  <c r="D208" i="8" l="1"/>
  <c r="D246" i="8" s="1"/>
  <c r="E246" i="8" s="1"/>
  <c r="F246" i="8" s="1"/>
  <c r="E12" i="13"/>
  <c r="D12" i="13" s="1"/>
  <c r="E250" i="8"/>
  <c r="D250" i="8" s="1"/>
  <c r="E251" i="8" l="1"/>
  <c r="D251" i="8" s="1"/>
  <c r="E252" i="8" l="1"/>
  <c r="D252" i="8" s="1"/>
  <c r="E45" i="13"/>
  <c r="D45" i="13" s="1"/>
  <c r="E224" i="8"/>
  <c r="E46" i="13" l="1"/>
  <c r="D224" i="8"/>
  <c r="E222" i="8"/>
  <c r="D222" i="8" s="1"/>
  <c r="D46" i="13" l="1"/>
  <c r="E44" i="13"/>
  <c r="D44" i="13" s="1"/>
  <c r="H67" i="2"/>
  <c r="G67" i="2"/>
  <c r="A233" i="3"/>
  <c r="A234" i="3" s="1"/>
  <c r="A228" i="3"/>
  <c r="A229" i="3" s="1"/>
  <c r="A223" i="3"/>
  <c r="A218" i="3"/>
  <c r="A213" i="3"/>
  <c r="A214" i="3" s="1"/>
  <c r="A208" i="3"/>
  <c r="A203" i="3"/>
  <c r="A204" i="3" s="1"/>
  <c r="A198" i="3"/>
  <c r="A199" i="3" s="1"/>
  <c r="A193" i="3"/>
  <c r="A194" i="3" s="1"/>
  <c r="A188" i="3"/>
  <c r="A183" i="3"/>
  <c r="A235" i="3" l="1"/>
  <c r="A224" i="3"/>
  <c r="A230" i="3"/>
  <c r="A215" i="3"/>
  <c r="A219" i="3"/>
  <c r="A205" i="3"/>
  <c r="A209" i="3"/>
  <c r="A195" i="3"/>
  <c r="A200" i="3"/>
  <c r="A189" i="3"/>
  <c r="A184" i="3"/>
  <c r="G89" i="7" l="1"/>
  <c r="I89" i="7"/>
  <c r="I101" i="7"/>
  <c r="A236" i="3"/>
  <c r="A225" i="3"/>
  <c r="A231" i="3"/>
  <c r="A216" i="3"/>
  <c r="A220" i="3"/>
  <c r="A206" i="3"/>
  <c r="A210" i="3"/>
  <c r="A201" i="3"/>
  <c r="A196" i="3"/>
  <c r="A190" i="3"/>
  <c r="A185" i="3"/>
  <c r="G95" i="7" l="1"/>
  <c r="I95" i="7"/>
  <c r="I97" i="7"/>
  <c r="H89" i="7"/>
  <c r="J89" i="7" s="1"/>
  <c r="F146" i="7" s="1"/>
  <c r="G101" i="7"/>
  <c r="H101" i="7" s="1"/>
  <c r="J101" i="7" s="1"/>
  <c r="F162" i="7" s="1"/>
  <c r="E162" i="7" s="1"/>
  <c r="I99" i="7"/>
  <c r="I100" i="7"/>
  <c r="I92" i="7"/>
  <c r="G92" i="7"/>
  <c r="I90" i="7"/>
  <c r="G90" i="7"/>
  <c r="I105" i="7"/>
  <c r="G105" i="7"/>
  <c r="I91" i="7"/>
  <c r="G91" i="7"/>
  <c r="A226" i="3"/>
  <c r="A221" i="3"/>
  <c r="A211" i="3"/>
  <c r="A191" i="3"/>
  <c r="A186" i="3"/>
  <c r="E146" i="7" l="1"/>
  <c r="G193" i="7"/>
  <c r="E193" i="7" s="1"/>
  <c r="G97" i="7"/>
  <c r="H97" i="7" s="1"/>
  <c r="J97" i="7" s="1"/>
  <c r="F156" i="7" s="1"/>
  <c r="E156" i="7" s="1"/>
  <c r="H95" i="7"/>
  <c r="J95" i="7" s="1"/>
  <c r="F154" i="7" s="1"/>
  <c r="E154" i="7" s="1"/>
  <c r="I109" i="7"/>
  <c r="I110" i="7"/>
  <c r="G96" i="7"/>
  <c r="I96" i="7"/>
  <c r="G94" i="7"/>
  <c r="I94" i="7"/>
  <c r="G102" i="7"/>
  <c r="I102" i="7"/>
  <c r="G110" i="7"/>
  <c r="G109" i="7"/>
  <c r="H91" i="7"/>
  <c r="J91" i="7" s="1"/>
  <c r="F148" i="7" s="1"/>
  <c r="H105" i="7"/>
  <c r="J105" i="7" s="1"/>
  <c r="F168" i="7" s="1"/>
  <c r="E168" i="7" s="1"/>
  <c r="H90" i="7"/>
  <c r="J90" i="7" s="1"/>
  <c r="F147" i="7" s="1"/>
  <c r="I112" i="7"/>
  <c r="G112" i="7"/>
  <c r="G111" i="7"/>
  <c r="I111" i="7"/>
  <c r="I104" i="7"/>
  <c r="G104" i="7"/>
  <c r="G121" i="7"/>
  <c r="I121" i="7"/>
  <c r="G120" i="7"/>
  <c r="I120" i="7"/>
  <c r="I122" i="7"/>
  <c r="G122" i="7"/>
  <c r="I119" i="7"/>
  <c r="G119" i="7"/>
  <c r="I106" i="7"/>
  <c r="G106" i="7"/>
  <c r="G100" i="7"/>
  <c r="H100" i="7" s="1"/>
  <c r="J100" i="7" s="1"/>
  <c r="F161" i="7" s="1"/>
  <c r="E161" i="7" s="1"/>
  <c r="G107" i="7"/>
  <c r="I107" i="7"/>
  <c r="G99" i="7"/>
  <c r="H99" i="7" s="1"/>
  <c r="J99" i="7" s="1"/>
  <c r="F160" i="7" s="1"/>
  <c r="E160" i="7" s="1"/>
  <c r="H92" i="7"/>
  <c r="J92" i="7" s="1"/>
  <c r="F149" i="7" s="1"/>
  <c r="E148" i="7" l="1"/>
  <c r="E149" i="7"/>
  <c r="E147" i="7"/>
  <c r="F145" i="7"/>
  <c r="E145" i="7" s="1"/>
  <c r="H102" i="7"/>
  <c r="J102" i="7" s="1"/>
  <c r="F163" i="7" s="1"/>
  <c r="E163" i="7" s="1"/>
  <c r="H110" i="7"/>
  <c r="J110" i="7" s="1"/>
  <c r="F175" i="7" s="1"/>
  <c r="E175" i="7" s="1"/>
  <c r="H94" i="7"/>
  <c r="J94" i="7" s="1"/>
  <c r="F153" i="7" s="1"/>
  <c r="H96" i="7"/>
  <c r="J96" i="7" s="1"/>
  <c r="H109" i="7"/>
  <c r="J109" i="7" s="1"/>
  <c r="F174" i="7" s="1"/>
  <c r="E174" i="7" s="1"/>
  <c r="J88" i="7"/>
  <c r="H122" i="7"/>
  <c r="J122" i="7" s="1"/>
  <c r="G192" i="7" s="1"/>
  <c r="H112" i="7"/>
  <c r="J112" i="7" s="1"/>
  <c r="F177" i="7" s="1"/>
  <c r="E177" i="7" s="1"/>
  <c r="H106" i="7"/>
  <c r="J106" i="7" s="1"/>
  <c r="F169" i="7" s="1"/>
  <c r="E169" i="7" s="1"/>
  <c r="H104" i="7"/>
  <c r="J104" i="7" s="1"/>
  <c r="H107" i="7"/>
  <c r="J107" i="7" s="1"/>
  <c r="F170" i="7" s="1"/>
  <c r="E170" i="7" s="1"/>
  <c r="H121" i="7"/>
  <c r="J121" i="7" s="1"/>
  <c r="G191" i="7" s="1"/>
  <c r="H120" i="7"/>
  <c r="J120" i="7" s="1"/>
  <c r="G190" i="7" s="1"/>
  <c r="H111" i="7"/>
  <c r="J111" i="7" s="1"/>
  <c r="F176" i="7" s="1"/>
  <c r="E176" i="7" s="1"/>
  <c r="H119" i="7"/>
  <c r="J119" i="7" s="1"/>
  <c r="G189" i="7" s="1"/>
  <c r="E189" i="7" l="1"/>
  <c r="E190" i="7"/>
  <c r="E192" i="7"/>
  <c r="E191" i="7"/>
  <c r="E153" i="7"/>
  <c r="F167" i="7"/>
  <c r="E167" i="7" s="1"/>
  <c r="J98" i="7"/>
  <c r="F159" i="7"/>
  <c r="J93" i="7"/>
  <c r="F155" i="7"/>
  <c r="F143" i="7"/>
  <c r="E143" i="7" s="1"/>
  <c r="F173" i="7"/>
  <c r="E173" i="7" s="1"/>
  <c r="G188" i="7"/>
  <c r="F166" i="7"/>
  <c r="E166" i="7" s="1"/>
  <c r="J108" i="7"/>
  <c r="J103" i="7"/>
  <c r="J118" i="7"/>
  <c r="E140" i="7" l="1"/>
  <c r="E139" i="7"/>
  <c r="E142" i="7"/>
  <c r="F157" i="7"/>
  <c r="E157" i="7" s="1"/>
  <c r="E159" i="7"/>
  <c r="G186" i="7"/>
  <c r="E186" i="7" s="1"/>
  <c r="E212" i="7" s="1"/>
  <c r="I212" i="7" s="1"/>
  <c r="E188" i="7"/>
  <c r="E155" i="7"/>
  <c r="E141" i="7"/>
  <c r="F180" i="7"/>
  <c r="E180" i="7" s="1"/>
  <c r="G138" i="7"/>
  <c r="G136" i="7" s="1"/>
  <c r="F226" i="7" s="1"/>
  <c r="F152" i="7"/>
  <c r="E152" i="7" s="1"/>
  <c r="F171" i="7"/>
  <c r="E171" i="7" s="1"/>
  <c r="F164" i="7"/>
  <c r="E164" i="7" s="1"/>
  <c r="F178" i="7" l="1"/>
  <c r="E178" i="7" s="1"/>
  <c r="F11" i="13"/>
  <c r="F150" i="7"/>
  <c r="E150" i="7" s="1"/>
  <c r="F138" i="7"/>
  <c r="J212" i="7"/>
  <c r="G222" i="7"/>
  <c r="F229" i="7" s="1"/>
  <c r="F43" i="13" s="1"/>
  <c r="F39" i="13" s="1"/>
  <c r="F136" i="7" l="1"/>
  <c r="E136" i="7" s="1"/>
  <c r="D222" i="7" s="1"/>
  <c r="E222" i="7" s="1"/>
  <c r="F222" i="7" s="1"/>
  <c r="E138" i="7"/>
  <c r="F227" i="7"/>
  <c r="D229" i="7"/>
  <c r="E43" i="13"/>
  <c r="E226" i="7" l="1"/>
  <c r="E227" i="7" s="1"/>
  <c r="E11" i="13"/>
  <c r="E39" i="13"/>
  <c r="D39" i="13" s="1"/>
  <c r="D43" i="13"/>
  <c r="H248" i="3" l="1"/>
  <c r="H245" i="3"/>
  <c r="H247" i="3"/>
  <c r="H246" i="3"/>
  <c r="H278" i="3"/>
  <c r="H272" i="3"/>
  <c r="H276" i="3"/>
  <c r="H271" i="3"/>
  <c r="H268" i="3"/>
  <c r="H266" i="3"/>
  <c r="H265" i="3"/>
  <c r="H277" i="3"/>
  <c r="H267" i="3"/>
  <c r="H275" i="3"/>
  <c r="H273" i="3"/>
  <c r="H270" i="3"/>
  <c r="H253" i="3"/>
  <c r="H251" i="3"/>
  <c r="H262" i="3"/>
  <c r="H250" i="3"/>
  <c r="H261" i="3"/>
  <c r="H252" i="3"/>
  <c r="H263" i="3"/>
  <c r="H260" i="3"/>
  <c r="H196" i="3"/>
  <c r="H195" i="3"/>
  <c r="H194" i="3"/>
  <c r="H193" i="3"/>
  <c r="H190" i="3"/>
  <c r="H189" i="3"/>
  <c r="H191" i="3"/>
  <c r="H188" i="3"/>
  <c r="D227" i="7" l="1"/>
  <c r="F10" i="13"/>
  <c r="E10" i="13" l="1"/>
  <c r="D10" i="13" s="1"/>
  <c r="D11" i="13"/>
  <c r="F228" i="7"/>
  <c r="F42" i="13" s="1"/>
  <c r="F38" i="13" s="1"/>
  <c r="F41" i="13"/>
  <c r="D226" i="7"/>
  <c r="E41" i="13" l="1"/>
  <c r="F40" i="13"/>
  <c r="F37" i="13"/>
  <c r="F36" i="13" s="1"/>
  <c r="E228" i="7"/>
  <c r="D228" i="7" s="1"/>
  <c r="E42" i="13" l="1"/>
  <c r="E40" i="13" s="1"/>
  <c r="D40" i="13" s="1"/>
  <c r="E37" i="13"/>
  <c r="D41" i="13"/>
  <c r="D37" i="13" l="1"/>
  <c r="D42" i="13"/>
  <c r="E38" i="13"/>
  <c r="D38" i="13" s="1"/>
  <c r="E36" i="13" l="1"/>
  <c r="D36" i="13" s="1"/>
  <c r="I20" i="2" l="1"/>
  <c r="G24" i="2" s="1"/>
  <c r="G42" i="2" s="1"/>
  <c r="E42" i="2" s="1"/>
  <c r="D8" i="2"/>
  <c r="H34" i="2" l="1"/>
  <c r="H33" i="2"/>
  <c r="H32" i="2"/>
  <c r="H31" i="2"/>
  <c r="H14" i="2"/>
  <c r="F8" i="1" l="1"/>
  <c r="F11" i="1" l="1"/>
  <c r="F9" i="1"/>
  <c r="G14" i="2" s="1"/>
  <c r="I14" i="2" s="1"/>
  <c r="F10" i="1"/>
  <c r="E24" i="2" l="1"/>
  <c r="G41" i="2" s="1"/>
  <c r="F257" i="3" l="1"/>
  <c r="F231" i="3"/>
  <c r="F204" i="3"/>
  <c r="F205" i="3"/>
  <c r="F255" i="3"/>
  <c r="F230" i="3"/>
  <c r="F203" i="3"/>
  <c r="F228" i="3"/>
  <c r="F256" i="3"/>
  <c r="F241" i="3"/>
  <c r="F250" i="3"/>
  <c r="G250" i="3" s="1"/>
  <c r="I250" i="3" s="1"/>
  <c r="F240" i="3"/>
  <c r="F272" i="3"/>
  <c r="G272" i="3" s="1"/>
  <c r="I272" i="3" s="1"/>
  <c r="F270" i="3"/>
  <c r="G270" i="3" s="1"/>
  <c r="I270" i="3" s="1"/>
  <c r="F266" i="3"/>
  <c r="G266" i="3" s="1"/>
  <c r="I266" i="3" s="1"/>
  <c r="F271" i="3"/>
  <c r="G271" i="3" s="1"/>
  <c r="I271" i="3" s="1"/>
  <c r="F245" i="3"/>
  <c r="G245" i="3" s="1"/>
  <c r="I245" i="3" s="1"/>
  <c r="F268" i="3"/>
  <c r="G268" i="3" s="1"/>
  <c r="I268" i="3" s="1"/>
  <c r="F273" i="3"/>
  <c r="G273" i="3" s="1"/>
  <c r="I273" i="3" s="1"/>
  <c r="F193" i="3"/>
  <c r="G193" i="3" s="1"/>
  <c r="I193" i="3" s="1"/>
  <c r="F267" i="3"/>
  <c r="G267" i="3" s="1"/>
  <c r="I267" i="3" s="1"/>
  <c r="F265" i="3"/>
  <c r="G265" i="3" s="1"/>
  <c r="I265" i="3" s="1"/>
  <c r="F277" i="3"/>
  <c r="G277" i="3" s="1"/>
  <c r="I277" i="3" s="1"/>
  <c r="F261" i="3"/>
  <c r="G261" i="3" s="1"/>
  <c r="I261" i="3" s="1"/>
  <c r="G40" i="2"/>
  <c r="E41" i="2"/>
  <c r="F242" i="3"/>
  <c r="C285" i="3"/>
  <c r="F229" i="3"/>
  <c r="H229" i="3"/>
  <c r="H210" i="3"/>
  <c r="F210" i="3"/>
  <c r="F233" i="3"/>
  <c r="H233" i="3"/>
  <c r="H209" i="3"/>
  <c r="F209" i="3"/>
  <c r="F281" i="3"/>
  <c r="H281" i="3"/>
  <c r="H234" i="3"/>
  <c r="F234" i="3"/>
  <c r="H225" i="3"/>
  <c r="F225" i="3"/>
  <c r="F283" i="3"/>
  <c r="H283" i="3"/>
  <c r="H213" i="3"/>
  <c r="F213" i="3"/>
  <c r="H199" i="3"/>
  <c r="F199" i="3"/>
  <c r="H223" i="3"/>
  <c r="F223" i="3"/>
  <c r="H215" i="3"/>
  <c r="F215" i="3"/>
  <c r="F236" i="3"/>
  <c r="H236" i="3"/>
  <c r="F211" i="3"/>
  <c r="H211" i="3"/>
  <c r="F198" i="3"/>
  <c r="H198" i="3"/>
  <c r="H216" i="3"/>
  <c r="F216" i="3"/>
  <c r="F258" i="3"/>
  <c r="H258" i="3"/>
  <c r="H235" i="3"/>
  <c r="F235" i="3"/>
  <c r="F206" i="3"/>
  <c r="H206" i="3"/>
  <c r="F201" i="3"/>
  <c r="H201" i="3"/>
  <c r="F226" i="3"/>
  <c r="H226" i="3"/>
  <c r="H214" i="3"/>
  <c r="F214" i="3"/>
  <c r="H184" i="3"/>
  <c r="F184" i="3"/>
  <c r="F282" i="3"/>
  <c r="H282" i="3"/>
  <c r="F208" i="3"/>
  <c r="H208" i="3"/>
  <c r="F280" i="3"/>
  <c r="H280" i="3"/>
  <c r="F200" i="3"/>
  <c r="H200" i="3"/>
  <c r="H287" i="3"/>
  <c r="F224" i="3"/>
  <c r="H224" i="3"/>
  <c r="C24" i="2"/>
  <c r="D31" i="2" s="1"/>
  <c r="F285" i="3" l="1"/>
  <c r="C286" i="3"/>
  <c r="H231" i="3"/>
  <c r="G231" i="3" s="1"/>
  <c r="I231" i="3" s="1"/>
  <c r="H257" i="3"/>
  <c r="G257" i="3" s="1"/>
  <c r="I257" i="3" s="1"/>
  <c r="H204" i="3"/>
  <c r="G204" i="3" s="1"/>
  <c r="I204" i="3" s="1"/>
  <c r="G337" i="3" s="1"/>
  <c r="H255" i="3"/>
  <c r="G255" i="3" s="1"/>
  <c r="I255" i="3" s="1"/>
  <c r="H205" i="3"/>
  <c r="G205" i="3" s="1"/>
  <c r="I205" i="3" s="1"/>
  <c r="G338" i="3" s="1"/>
  <c r="H203" i="3"/>
  <c r="G203" i="3" s="1"/>
  <c r="I203" i="3" s="1"/>
  <c r="H230" i="3"/>
  <c r="G230" i="3" s="1"/>
  <c r="I230" i="3" s="1"/>
  <c r="H228" i="3"/>
  <c r="G228" i="3" s="1"/>
  <c r="I228" i="3" s="1"/>
  <c r="H256" i="3"/>
  <c r="G256" i="3" s="1"/>
  <c r="I256" i="3" s="1"/>
  <c r="H241" i="3"/>
  <c r="G241" i="3" s="1"/>
  <c r="I241" i="3" s="1"/>
  <c r="H242" i="3"/>
  <c r="G242" i="3" s="1"/>
  <c r="I242" i="3" s="1"/>
  <c r="H240" i="3"/>
  <c r="G240" i="3" s="1"/>
  <c r="I240" i="3" s="1"/>
  <c r="H285" i="3"/>
  <c r="G285" i="3" s="1"/>
  <c r="I285" i="3" s="1"/>
  <c r="F442" i="3"/>
  <c r="I264" i="3"/>
  <c r="I269" i="3"/>
  <c r="F196" i="3"/>
  <c r="G196" i="3" s="1"/>
  <c r="I196" i="3" s="1"/>
  <c r="G323" i="3" s="1"/>
  <c r="F189" i="3"/>
  <c r="G189" i="3" s="1"/>
  <c r="I189" i="3" s="1"/>
  <c r="G313" i="3" s="1"/>
  <c r="F248" i="3"/>
  <c r="G248" i="3" s="1"/>
  <c r="I248" i="3" s="1"/>
  <c r="F251" i="3"/>
  <c r="G251" i="3" s="1"/>
  <c r="I251" i="3" s="1"/>
  <c r="F218" i="3"/>
  <c r="F191" i="3"/>
  <c r="G191" i="3" s="1"/>
  <c r="I191" i="3" s="1"/>
  <c r="G315" i="3" s="1"/>
  <c r="F275" i="3"/>
  <c r="G275" i="3" s="1"/>
  <c r="I275" i="3" s="1"/>
  <c r="F278" i="3"/>
  <c r="G278" i="3" s="1"/>
  <c r="I278" i="3" s="1"/>
  <c r="F186" i="3"/>
  <c r="F252" i="3"/>
  <c r="G252" i="3" s="1"/>
  <c r="I252" i="3" s="1"/>
  <c r="F260" i="3"/>
  <c r="G260" i="3" s="1"/>
  <c r="I260" i="3" s="1"/>
  <c r="H288" i="3"/>
  <c r="H220" i="3"/>
  <c r="F220" i="3"/>
  <c r="F276" i="3"/>
  <c r="G276" i="3" s="1"/>
  <c r="I276" i="3" s="1"/>
  <c r="F195" i="3"/>
  <c r="G195" i="3" s="1"/>
  <c r="I195" i="3" s="1"/>
  <c r="G322" i="3" s="1"/>
  <c r="F253" i="3"/>
  <c r="G253" i="3" s="1"/>
  <c r="I253" i="3" s="1"/>
  <c r="F247" i="3"/>
  <c r="G247" i="3" s="1"/>
  <c r="I247" i="3" s="1"/>
  <c r="F188" i="3"/>
  <c r="G188" i="3" s="1"/>
  <c r="I188" i="3" s="1"/>
  <c r="G312" i="3" s="1"/>
  <c r="F194" i="3"/>
  <c r="G194" i="3" s="1"/>
  <c r="I194" i="3" s="1"/>
  <c r="F185" i="3"/>
  <c r="F190" i="3"/>
  <c r="G190" i="3" s="1"/>
  <c r="I190" i="3" s="1"/>
  <c r="G314" i="3" s="1"/>
  <c r="H243" i="3"/>
  <c r="F243" i="3"/>
  <c r="F246" i="3"/>
  <c r="G246" i="3" s="1"/>
  <c r="I246" i="3" s="1"/>
  <c r="H286" i="3"/>
  <c r="F286" i="3"/>
  <c r="H219" i="3"/>
  <c r="F219" i="3"/>
  <c r="H221" i="3"/>
  <c r="F221" i="3"/>
  <c r="F263" i="3"/>
  <c r="G263" i="3" s="1"/>
  <c r="I263" i="3" s="1"/>
  <c r="F262" i="3"/>
  <c r="G262" i="3" s="1"/>
  <c r="I262" i="3" s="1"/>
  <c r="H185" i="3"/>
  <c r="H183" i="3"/>
  <c r="F183" i="3"/>
  <c r="H218" i="3"/>
  <c r="H186" i="3"/>
  <c r="G234" i="3"/>
  <c r="I234" i="3" s="1"/>
  <c r="G199" i="3"/>
  <c r="I199" i="3" s="1"/>
  <c r="G329" i="3" s="1"/>
  <c r="G209" i="3"/>
  <c r="I209" i="3" s="1"/>
  <c r="G346" i="3" s="1"/>
  <c r="G213" i="3"/>
  <c r="I213" i="3" s="1"/>
  <c r="G223" i="3"/>
  <c r="I223" i="3" s="1"/>
  <c r="F369" i="3" s="1"/>
  <c r="G210" i="3"/>
  <c r="I210" i="3" s="1"/>
  <c r="G347" i="3" s="1"/>
  <c r="G216" i="3"/>
  <c r="I216" i="3" s="1"/>
  <c r="G356" i="3" s="1"/>
  <c r="G215" i="3"/>
  <c r="I215" i="3" s="1"/>
  <c r="G355" i="3" s="1"/>
  <c r="G208" i="3"/>
  <c r="I208" i="3" s="1"/>
  <c r="G226" i="3"/>
  <c r="I226" i="3" s="1"/>
  <c r="F372" i="3" s="1"/>
  <c r="G224" i="3"/>
  <c r="I224" i="3" s="1"/>
  <c r="F370" i="3" s="1"/>
  <c r="G282" i="3"/>
  <c r="I282" i="3" s="1"/>
  <c r="G201" i="3"/>
  <c r="I201" i="3" s="1"/>
  <c r="G331" i="3" s="1"/>
  <c r="G235" i="3"/>
  <c r="I235" i="3" s="1"/>
  <c r="G225" i="3"/>
  <c r="I225" i="3" s="1"/>
  <c r="F371" i="3" s="1"/>
  <c r="G233" i="3"/>
  <c r="I233" i="3" s="1"/>
  <c r="G211" i="3"/>
  <c r="I211" i="3" s="1"/>
  <c r="G348" i="3" s="1"/>
  <c r="G280" i="3"/>
  <c r="I280" i="3" s="1"/>
  <c r="G214" i="3"/>
  <c r="I214" i="3" s="1"/>
  <c r="G354" i="3" s="1"/>
  <c r="G236" i="3"/>
  <c r="I236" i="3" s="1"/>
  <c r="G281" i="3"/>
  <c r="I281" i="3" s="1"/>
  <c r="G229" i="3"/>
  <c r="I229" i="3" s="1"/>
  <c r="G200" i="3"/>
  <c r="I200" i="3" s="1"/>
  <c r="G330" i="3" s="1"/>
  <c r="G198" i="3"/>
  <c r="I198" i="3" s="1"/>
  <c r="G283" i="3"/>
  <c r="I283" i="3" s="1"/>
  <c r="G184" i="3"/>
  <c r="I184" i="3" s="1"/>
  <c r="F305" i="3" s="1"/>
  <c r="G206" i="3"/>
  <c r="I206" i="3" s="1"/>
  <c r="G339" i="3" s="1"/>
  <c r="G258" i="3"/>
  <c r="I258" i="3" s="1"/>
  <c r="E40" i="2"/>
  <c r="D33" i="2"/>
  <c r="C33" i="2" s="1"/>
  <c r="F33" i="2" s="1"/>
  <c r="G33" i="2" s="1"/>
  <c r="I33" i="2" s="1"/>
  <c r="G46" i="2" s="1"/>
  <c r="E46" i="2" s="1"/>
  <c r="D32" i="2"/>
  <c r="C32" i="2" s="1"/>
  <c r="F32" i="2" s="1"/>
  <c r="G32" i="2" s="1"/>
  <c r="I32" i="2" s="1"/>
  <c r="G45" i="2" s="1"/>
  <c r="E45" i="2" s="1"/>
  <c r="D34" i="2"/>
  <c r="C34" i="2" s="1"/>
  <c r="F34" i="2" s="1"/>
  <c r="G34" i="2" s="1"/>
  <c r="I34" i="2" s="1"/>
  <c r="G47" i="2" s="1"/>
  <c r="E47" i="2" s="1"/>
  <c r="C31" i="2"/>
  <c r="F31" i="2" s="1"/>
  <c r="G31" i="2" s="1"/>
  <c r="I31" i="2" s="1"/>
  <c r="G44" i="2" s="1"/>
  <c r="F439" i="3" l="1"/>
  <c r="E439" i="3" s="1"/>
  <c r="E442" i="3"/>
  <c r="C288" i="3"/>
  <c r="F288" i="3" s="1"/>
  <c r="C287" i="3"/>
  <c r="F287" i="3" s="1"/>
  <c r="G287" i="3" s="1"/>
  <c r="I287" i="3" s="1"/>
  <c r="G288" i="3"/>
  <c r="I288" i="3" s="1"/>
  <c r="G221" i="3"/>
  <c r="I221" i="3" s="1"/>
  <c r="F364" i="3" s="1"/>
  <c r="G219" i="3"/>
  <c r="I219" i="3" s="1"/>
  <c r="F362" i="3" s="1"/>
  <c r="G286" i="3"/>
  <c r="I286" i="3" s="1"/>
  <c r="G220" i="3"/>
  <c r="I220" i="3" s="1"/>
  <c r="F363" i="3" s="1"/>
  <c r="G243" i="3"/>
  <c r="I243" i="3" s="1"/>
  <c r="I274" i="3"/>
  <c r="I187" i="3"/>
  <c r="I249" i="3"/>
  <c r="G321" i="3"/>
  <c r="I192" i="3"/>
  <c r="I244" i="3"/>
  <c r="I259" i="3"/>
  <c r="G185" i="3"/>
  <c r="I185" i="3" s="1"/>
  <c r="F306" i="3" s="1"/>
  <c r="G186" i="3"/>
  <c r="I186" i="3" s="1"/>
  <c r="F307" i="3" s="1"/>
  <c r="G218" i="3"/>
  <c r="I218" i="3" s="1"/>
  <c r="F361" i="3" s="1"/>
  <c r="E44" i="2"/>
  <c r="G43" i="2"/>
  <c r="G39" i="2" s="1"/>
  <c r="F8" i="13" s="1"/>
  <c r="G183" i="3"/>
  <c r="I183" i="3" s="1"/>
  <c r="E293" i="3"/>
  <c r="I222" i="3"/>
  <c r="F368" i="3"/>
  <c r="I212" i="3"/>
  <c r="I197" i="3"/>
  <c r="I279" i="3"/>
  <c r="I232" i="3"/>
  <c r="G352" i="3"/>
  <c r="G349" i="3" s="1"/>
  <c r="I227" i="3"/>
  <c r="I207" i="3"/>
  <c r="G344" i="3"/>
  <c r="G341" i="3" s="1"/>
  <c r="I254" i="3"/>
  <c r="E422" i="3"/>
  <c r="I202" i="3"/>
  <c r="E43" i="2"/>
  <c r="I30" i="2"/>
  <c r="E368" i="3" l="1"/>
  <c r="G376" i="3"/>
  <c r="I284" i="3"/>
  <c r="I217" i="3"/>
  <c r="F360" i="3"/>
  <c r="F401" i="3"/>
  <c r="I239" i="3"/>
  <c r="G409" i="3"/>
  <c r="G311" i="3"/>
  <c r="I182" i="3"/>
  <c r="G319" i="3"/>
  <c r="G316" i="3" s="1"/>
  <c r="F304" i="3"/>
  <c r="G393" i="3"/>
  <c r="G335" i="3"/>
  <c r="G332" i="3" s="1"/>
  <c r="F384" i="3"/>
  <c r="F381" i="3" s="1"/>
  <c r="E381" i="3" s="1"/>
  <c r="F466" i="3"/>
  <c r="G327" i="3"/>
  <c r="G324" i="3" s="1"/>
  <c r="F39" i="2"/>
  <c r="E39" i="2" s="1"/>
  <c r="E53" i="2" s="1"/>
  <c r="I53" i="2" s="1"/>
  <c r="F463" i="3" l="1"/>
  <c r="E463" i="3" s="1"/>
  <c r="E466" i="3"/>
  <c r="G406" i="3"/>
  <c r="E406" i="3" s="1"/>
  <c r="E409" i="3"/>
  <c r="F398" i="3"/>
  <c r="E398" i="3" s="1"/>
  <c r="E401" i="3"/>
  <c r="G390" i="3"/>
  <c r="E390" i="3" s="1"/>
  <c r="E393" i="3"/>
  <c r="E384" i="3"/>
  <c r="G373" i="3"/>
  <c r="E373" i="3" s="1"/>
  <c r="E376" i="3"/>
  <c r="F303" i="3"/>
  <c r="F300" i="3" s="1"/>
  <c r="E300" i="3" s="1"/>
  <c r="F295" i="3"/>
  <c r="E297" i="3"/>
  <c r="E299" i="3"/>
  <c r="E298" i="3"/>
  <c r="J53" i="2"/>
  <c r="G63" i="2"/>
  <c r="F70" i="2" s="1"/>
  <c r="F31" i="13" s="1"/>
  <c r="G295" i="3"/>
  <c r="G292" i="3" s="1"/>
  <c r="D63" i="2"/>
  <c r="E63" i="2" s="1"/>
  <c r="E8" i="13"/>
  <c r="F27" i="13" l="1"/>
  <c r="F22" i="13" s="1"/>
  <c r="F63" i="2"/>
  <c r="F69" i="2" s="1"/>
  <c r="F30" i="13" s="1"/>
  <c r="F68" i="2"/>
  <c r="F292" i="3"/>
  <c r="E490" i="3" s="1"/>
  <c r="E491" i="3" s="1"/>
  <c r="E296" i="3"/>
  <c r="D70" i="2"/>
  <c r="E31" i="13"/>
  <c r="E27" i="13" s="1"/>
  <c r="E29" i="13"/>
  <c r="E295" i="3"/>
  <c r="F490" i="3"/>
  <c r="D69" i="2"/>
  <c r="E30" i="13"/>
  <c r="D8" i="13"/>
  <c r="F29" i="13" l="1"/>
  <c r="F67" i="2"/>
  <c r="E9" i="13"/>
  <c r="E7" i="13" s="1"/>
  <c r="E6" i="13" s="1"/>
  <c r="E22" i="13"/>
  <c r="D31" i="13"/>
  <c r="D68" i="2"/>
  <c r="E28" i="13"/>
  <c r="D23" i="13" s="1"/>
  <c r="E67" i="2"/>
  <c r="F491" i="3"/>
  <c r="F33" i="13" s="1"/>
  <c r="F9" i="13"/>
  <c r="E292" i="3"/>
  <c r="D486" i="3" s="1"/>
  <c r="D30" i="13"/>
  <c r="F28" i="13" l="1"/>
  <c r="D28" i="13" s="1"/>
  <c r="F25" i="13"/>
  <c r="D67" i="2"/>
  <c r="D29" i="13"/>
  <c r="D22" i="13"/>
  <c r="D27" i="13"/>
  <c r="F492" i="3"/>
  <c r="F34" i="13" s="1"/>
  <c r="F26" i="13" s="1"/>
  <c r="E486" i="3"/>
  <c r="F486" i="3" s="1"/>
  <c r="F7" i="13"/>
  <c r="D9" i="13"/>
  <c r="F21" i="13" l="1"/>
  <c r="F20" i="13"/>
  <c r="F24" i="13"/>
  <c r="F32" i="13"/>
  <c r="F6" i="13"/>
  <c r="D6" i="13" s="1"/>
  <c r="D7" i="13"/>
  <c r="D490" i="3"/>
  <c r="F19" i="13" l="1"/>
  <c r="E492" i="3"/>
  <c r="D491" i="3"/>
  <c r="E33" i="13"/>
  <c r="E25" i="13" s="1"/>
  <c r="D33" i="13" l="1"/>
  <c r="E34" i="13"/>
  <c r="E26" i="13" s="1"/>
  <c r="D492" i="3"/>
  <c r="D34" i="13" l="1"/>
  <c r="E20" i="13"/>
  <c r="D25" i="13"/>
  <c r="E32" i="13"/>
  <c r="D32" i="13" s="1"/>
  <c r="E24" i="13" l="1"/>
  <c r="D24" i="13" s="1"/>
  <c r="D20" i="13"/>
  <c r="E21" i="13"/>
  <c r="D21" i="13" s="1"/>
  <c r="D26" i="13"/>
  <c r="E19" i="13" l="1"/>
  <c r="D19" i="13" s="1"/>
</calcChain>
</file>

<file path=xl/sharedStrings.xml><?xml version="1.0" encoding="utf-8"?>
<sst xmlns="http://schemas.openxmlformats.org/spreadsheetml/2006/main" count="2239" uniqueCount="598">
  <si>
    <t>▣ 시설공사비 산정근거</t>
    <phoneticPr fontId="4" type="noConversion"/>
  </si>
  <si>
    <t xml:space="preserve">    - 하수도분야 국고보조금 편성 및 실무요령(2014.02, 환경부)의 하수처리시설 소용비용 연구(2010.11, 환경부) 함수비 적용</t>
    <phoneticPr fontId="4" type="noConversion"/>
  </si>
  <si>
    <t>구 분</t>
    <phoneticPr fontId="4" type="noConversion"/>
  </si>
  <si>
    <t>함 수 식</t>
    <phoneticPr fontId="8" type="noConversion"/>
  </si>
  <si>
    <t>물가보정률</t>
    <phoneticPr fontId="4" type="noConversion"/>
  </si>
  <si>
    <t>하수처리시설</t>
    <phoneticPr fontId="8" type="noConversion"/>
  </si>
  <si>
    <t>복 개</t>
    <phoneticPr fontId="8" type="noConversion"/>
  </si>
  <si>
    <t>비복개</t>
    <phoneticPr fontId="8" type="noConversion"/>
  </si>
  <si>
    <t>고도처리(개량)</t>
    <phoneticPr fontId="8" type="noConversion"/>
  </si>
  <si>
    <t>소규모 하수도</t>
    <phoneticPr fontId="8" type="noConversion"/>
  </si>
  <si>
    <t>주) Y : 공사비(백만원), Q : 용량(㎥/일), 산정된 공사비에 소비자 물가변동율(2014.11/2010.11 = 108.83/100.60 = 1.082 ) 적용</t>
    <phoneticPr fontId="4" type="noConversion"/>
  </si>
  <si>
    <t>2. 하수관로</t>
    <phoneticPr fontId="4" type="noConversion"/>
  </si>
  <si>
    <t>관 종</t>
    <phoneticPr fontId="8" type="noConversion"/>
  </si>
  <si>
    <t>관 경(㎜)</t>
    <phoneticPr fontId="8" type="noConversion"/>
  </si>
  <si>
    <t>m당 공사비(원/m)</t>
    <phoneticPr fontId="8" type="noConversion"/>
  </si>
  <si>
    <t>비 고</t>
    <phoneticPr fontId="8" type="noConversion"/>
  </si>
  <si>
    <t>비포장</t>
    <phoneticPr fontId="8" type="noConversion"/>
  </si>
  <si>
    <t>아스팔트</t>
    <phoneticPr fontId="8" type="noConversion"/>
  </si>
  <si>
    <t>콘크리트</t>
    <phoneticPr fontId="8" type="noConversion"/>
  </si>
  <si>
    <t>콘크리트관</t>
    <phoneticPr fontId="8" type="noConversion"/>
  </si>
  <si>
    <t>(토피 2.0m 기준)</t>
    <phoneticPr fontId="8" type="noConversion"/>
  </si>
  <si>
    <t>강 관</t>
    <phoneticPr fontId="8" type="noConversion"/>
  </si>
  <si>
    <t>관 종</t>
    <phoneticPr fontId="8" type="noConversion"/>
  </si>
  <si>
    <t>관 경(㎜)</t>
    <phoneticPr fontId="8" type="noConversion"/>
  </si>
  <si>
    <t>m당 공사비(원/m)</t>
    <phoneticPr fontId="8" type="noConversion"/>
  </si>
  <si>
    <t>비 고</t>
    <phoneticPr fontId="8" type="noConversion"/>
  </si>
  <si>
    <t>비포장</t>
    <phoneticPr fontId="8" type="noConversion"/>
  </si>
  <si>
    <t>아스팔트</t>
    <phoneticPr fontId="8" type="noConversion"/>
  </si>
  <si>
    <t>콘크리트</t>
    <phoneticPr fontId="8" type="noConversion"/>
  </si>
  <si>
    <t>플라스틱관</t>
    <phoneticPr fontId="8" type="noConversion"/>
  </si>
  <si>
    <t>사각형거
(BOX)1련</t>
    <phoneticPr fontId="8" type="noConversion"/>
  </si>
  <si>
    <t>(토피0.7m 기준)
2련박스는 
동일규격의 
1.5배적용</t>
    <phoneticPr fontId="8" type="noConversion"/>
  </si>
  <si>
    <t>H1.0×W1.2</t>
  </si>
  <si>
    <t>H1.2×W1.2</t>
  </si>
  <si>
    <t>H1.0×W1.5</t>
  </si>
  <si>
    <t>H1.5×W1.5</t>
  </si>
  <si>
    <t>H1.5×W1.8</t>
  </si>
  <si>
    <t>H1.8×W1.8</t>
  </si>
  <si>
    <t>H1.5×W2.0</t>
  </si>
  <si>
    <t>H2.0×W2.0</t>
  </si>
  <si>
    <t>H1.5×W2.5</t>
  </si>
  <si>
    <t>H2.0×W2.5</t>
  </si>
  <si>
    <t>H2.5×W2.5</t>
  </si>
  <si>
    <t>H1.5×W3.0</t>
  </si>
  <si>
    <t>H2.0×W3.0</t>
  </si>
  <si>
    <t>H2.5×W3.0</t>
  </si>
  <si>
    <t>H3.0×W3.0</t>
  </si>
  <si>
    <t xml:space="preserve">    - 2013년 하수관거정비 BTL 사업 기본계획 사업비 산출근거(한국환경공단)의 표준공사비 적용</t>
    <phoneticPr fontId="4" type="noConversion"/>
  </si>
  <si>
    <t>전체보수</t>
    <phoneticPr fontId="8" type="noConversion"/>
  </si>
  <si>
    <t>부분보수</t>
    <phoneticPr fontId="8" type="noConversion"/>
  </si>
  <si>
    <t>관 경(㎜)</t>
  </si>
  <si>
    <t>3. 배수설비</t>
    <phoneticPr fontId="4" type="noConversion"/>
  </si>
  <si>
    <t>구 분</t>
    <phoneticPr fontId="8" type="noConversion"/>
  </si>
  <si>
    <t>공사비(원/개소)</t>
    <phoneticPr fontId="8" type="noConversion"/>
  </si>
  <si>
    <t>일반주택</t>
    <phoneticPr fontId="8" type="noConversion"/>
  </si>
  <si>
    <t>공동주택</t>
    <phoneticPr fontId="8" type="noConversion"/>
  </si>
  <si>
    <t>맨홀펌프장</t>
    <phoneticPr fontId="8" type="noConversion"/>
  </si>
  <si>
    <t>1㎥/분 미만</t>
    <phoneticPr fontId="8" type="noConversion"/>
  </si>
  <si>
    <t>1㎥/분 이상</t>
    <phoneticPr fontId="8" type="noConversion"/>
  </si>
  <si>
    <t>▣ 시설부대경비 산정근거</t>
    <phoneticPr fontId="4" type="noConversion"/>
  </si>
  <si>
    <t>기본조사설계비</t>
  </si>
  <si>
    <t>실시설계비</t>
  </si>
  <si>
    <t>공사감리비</t>
    <phoneticPr fontId="11" type="noConversion"/>
  </si>
  <si>
    <t>시설부대비</t>
  </si>
  <si>
    <t>비상주 감리</t>
    <phoneticPr fontId="8" type="noConversion"/>
  </si>
  <si>
    <t>전면 책임감리</t>
    <phoneticPr fontId="8" type="noConversion"/>
  </si>
  <si>
    <t>구 분</t>
    <phoneticPr fontId="3" type="noConversion"/>
  </si>
  <si>
    <t>함수식</t>
    <phoneticPr fontId="3" type="noConversion"/>
  </si>
  <si>
    <t>공사비(백만원)</t>
    <phoneticPr fontId="4" type="noConversion"/>
  </si>
  <si>
    <t>물가변동율</t>
    <phoneticPr fontId="3" type="noConversion"/>
  </si>
  <si>
    <t>항목</t>
    <phoneticPr fontId="11" type="noConversion"/>
  </si>
  <si>
    <t>공사비(백만원)</t>
    <phoneticPr fontId="11" type="noConversion"/>
  </si>
  <si>
    <t>요율(%)</t>
    <phoneticPr fontId="11" type="noConversion"/>
  </si>
  <si>
    <t>금액
(백만원)</t>
    <phoneticPr fontId="11" type="noConversion"/>
  </si>
  <si>
    <t>작은 금액</t>
    <phoneticPr fontId="11" type="noConversion"/>
  </si>
  <si>
    <t>당해공사비</t>
    <phoneticPr fontId="11" type="noConversion"/>
  </si>
  <si>
    <t>큰 금액</t>
    <phoneticPr fontId="11" type="noConversion"/>
  </si>
  <si>
    <t>합계</t>
    <phoneticPr fontId="11" type="noConversion"/>
  </si>
  <si>
    <t>기본조사설계비</t>
    <phoneticPr fontId="11" type="noConversion"/>
  </si>
  <si>
    <t>실시설계비</t>
    <phoneticPr fontId="11" type="noConversion"/>
  </si>
  <si>
    <t>공사감리비</t>
    <phoneticPr fontId="11" type="noConversion"/>
  </si>
  <si>
    <t>시설부대비</t>
    <phoneticPr fontId="11" type="noConversion"/>
  </si>
  <si>
    <t>하수처리시설</t>
    <phoneticPr fontId="3" type="noConversion"/>
  </si>
  <si>
    <t>비복개</t>
    <phoneticPr fontId="3" type="noConversion"/>
  </si>
  <si>
    <t>증설용량
(㎥/일)</t>
    <phoneticPr fontId="3" type="noConversion"/>
  </si>
  <si>
    <t>합 계</t>
    <phoneticPr fontId="3" type="noConversion"/>
  </si>
  <si>
    <t>시설공사비</t>
    <phoneticPr fontId="3" type="noConversion"/>
  </si>
  <si>
    <t>시설부대경비</t>
    <phoneticPr fontId="3" type="noConversion"/>
  </si>
  <si>
    <t>아포 하수처리시설 증설사업</t>
    <phoneticPr fontId="3" type="noConversion"/>
  </si>
  <si>
    <t xml:space="preserve">    - 감리비는 전면 책임감리의 요율 적용</t>
    <phoneticPr fontId="4" type="noConversion"/>
  </si>
  <si>
    <t>1) 사업개요</t>
    <phoneticPr fontId="4" type="noConversion"/>
  </si>
  <si>
    <t>2) 시설공사비</t>
    <phoneticPr fontId="4" type="noConversion"/>
  </si>
  <si>
    <t>3) 시설부대비</t>
    <phoneticPr fontId="4" type="noConversion"/>
  </si>
  <si>
    <t>1.2 총인처리시설</t>
    <phoneticPr fontId="4" type="noConversion"/>
  </si>
  <si>
    <t>1. 공공 하수처리시설</t>
    <phoneticPr fontId="4" type="noConversion"/>
  </si>
  <si>
    <t>1.1 공공 하수처리시설</t>
    <phoneticPr fontId="4" type="noConversion"/>
  </si>
  <si>
    <t>구 분</t>
  </si>
  <si>
    <t>시설개량</t>
  </si>
  <si>
    <t>침전</t>
  </si>
  <si>
    <t>여과</t>
  </si>
  <si>
    <t>디스크필터</t>
  </si>
  <si>
    <t>가압부상</t>
  </si>
  <si>
    <t>가중치</t>
  </si>
  <si>
    <t>톤당 사업비(만원/㎥)</t>
    <phoneticPr fontId="3" type="noConversion"/>
  </si>
  <si>
    <t>용량별(천㎥/일)</t>
    <phoneticPr fontId="3" type="noConversion"/>
  </si>
  <si>
    <t>3 이하</t>
  </si>
  <si>
    <t>5 이하</t>
  </si>
  <si>
    <t>10 이하</t>
  </si>
  <si>
    <t>100 이하</t>
  </si>
  <si>
    <t>100 이상</t>
  </si>
  <si>
    <t xml:space="preserve">    - 하수도분야 국고보조금 편성 및 실무요령(2014.02, 환경부)의 총인처리시설 설치비 적용</t>
    <phoneticPr fontId="4" type="noConversion"/>
  </si>
  <si>
    <t xml:space="preserve">    - 처리방식별 톤당 사업비</t>
    <phoneticPr fontId="4" type="noConversion"/>
  </si>
  <si>
    <t xml:space="preserve">    - 시설규모별 가중치</t>
    <phoneticPr fontId="4" type="noConversion"/>
  </si>
  <si>
    <t>2.3 맨홀보수</t>
    <phoneticPr fontId="4" type="noConversion"/>
  </si>
  <si>
    <t xml:space="preserve">    - 2013년 하수관거정비 BTL 사업 기본계획 사업비 산출근거(한국환경공단)의 맨홀보수 공사비적용</t>
    <phoneticPr fontId="4" type="noConversion"/>
  </si>
  <si>
    <t xml:space="preserve">    - 2013년 하수관거정비 BTL 사업 기본계획 사업비 산출근거(한국환경공단)의 배수설비 공사비적용</t>
    <phoneticPr fontId="4" type="noConversion"/>
  </si>
  <si>
    <t xml:space="preserve">    - 2013년 하수관거정비 BTL 사업 기본계획 사업비 산출근거(한국환경공단)의 맨홀펌프장 공사비적용</t>
    <phoneticPr fontId="4" type="noConversion"/>
  </si>
  <si>
    <t xml:space="preserve">    - 2013년 하수관거정비 BTL 사업 기본계획 사업비 산출근거(한국환경공단)의 압송관로 공사비적용</t>
    <phoneticPr fontId="4" type="noConversion"/>
  </si>
  <si>
    <t>내부 보수</t>
    <phoneticPr fontId="8" type="noConversion"/>
  </si>
  <si>
    <t>인버트 설치</t>
    <phoneticPr fontId="8" type="noConversion"/>
  </si>
  <si>
    <t>뚜껑 설치</t>
    <phoneticPr fontId="8" type="noConversion"/>
  </si>
  <si>
    <t>사다리 설치</t>
    <phoneticPr fontId="8" type="noConversion"/>
  </si>
  <si>
    <t>배수설비 신설</t>
    <phoneticPr fontId="8" type="noConversion"/>
  </si>
  <si>
    <t>배수설비 정비</t>
    <phoneticPr fontId="8" type="noConversion"/>
  </si>
  <si>
    <t xml:space="preserve">    - 송천택지개발사업으로 인한 아포 하수처리시설 증설</t>
    <phoneticPr fontId="4" type="noConversion"/>
  </si>
  <si>
    <t>합 계</t>
    <phoneticPr fontId="3" type="noConversion"/>
  </si>
  <si>
    <t>기 존</t>
    <phoneticPr fontId="3" type="noConversion"/>
  </si>
  <si>
    <t>증 설</t>
    <phoneticPr fontId="3" type="noConversion"/>
  </si>
  <si>
    <t>시설용량(㎥/일)</t>
    <phoneticPr fontId="3" type="noConversion"/>
  </si>
  <si>
    <t>가) 공공 하수처리시설</t>
    <phoneticPr fontId="3" type="noConversion"/>
  </si>
  <si>
    <t>나) 총인처리시설</t>
    <phoneticPr fontId="3" type="noConversion"/>
  </si>
  <si>
    <t xml:space="preserve">    - 기존 아포 하수처리시설에서 운영 중인 가압부상 공법 적용</t>
    <phoneticPr fontId="4" type="noConversion"/>
  </si>
  <si>
    <t>구 분</t>
    <phoneticPr fontId="3" type="noConversion"/>
  </si>
  <si>
    <t>가압부상</t>
    <phoneticPr fontId="3" type="noConversion"/>
  </si>
  <si>
    <t>시설용량
(㎥/일)</t>
    <phoneticPr fontId="3" type="noConversion"/>
  </si>
  <si>
    <t>가중치</t>
    <phoneticPr fontId="3" type="noConversion"/>
  </si>
  <si>
    <t>공사비(백만원)</t>
    <phoneticPr fontId="3" type="noConversion"/>
  </si>
  <si>
    <t>비 고</t>
    <phoneticPr fontId="3" type="noConversion"/>
  </si>
  <si>
    <t>톤당사업비
(만원/㎥)</t>
    <phoneticPr fontId="3" type="noConversion"/>
  </si>
  <si>
    <t>다) 공사비 합계</t>
    <phoneticPr fontId="3" type="noConversion"/>
  </si>
  <si>
    <t>합 계</t>
    <phoneticPr fontId="3" type="noConversion"/>
  </si>
  <si>
    <t>공공 하수처리시설</t>
    <phoneticPr fontId="3" type="noConversion"/>
  </si>
  <si>
    <t>총인처리시설</t>
    <phoneticPr fontId="3" type="noConversion"/>
  </si>
  <si>
    <t>공사비(백만원)</t>
    <phoneticPr fontId="3" type="noConversion"/>
  </si>
  <si>
    <t>주) Y : 공사비(백만원), Q : 용량(㎥/일), 산정된 공사비에 소비자 물가변동율(2014.11/2010.11 = 108.83/100.60 = 1.082) 적용</t>
    <phoneticPr fontId="4" type="noConversion"/>
  </si>
  <si>
    <t>5) 재원조달계획</t>
    <phoneticPr fontId="4" type="noConversion"/>
  </si>
  <si>
    <t>가) 원인자부담금 산정</t>
    <phoneticPr fontId="3" type="noConversion"/>
  </si>
  <si>
    <t xml:space="preserve">    - 송천택지개발사업 원인자 부담금 산정</t>
    <phoneticPr fontId="4" type="noConversion"/>
  </si>
  <si>
    <t>나) 국고보조율</t>
    <phoneticPr fontId="3" type="noConversion"/>
  </si>
  <si>
    <t>국고보조율(%)</t>
    <phoneticPr fontId="3" type="noConversion"/>
  </si>
  <si>
    <t>비 고</t>
    <phoneticPr fontId="3" type="noConversion"/>
  </si>
  <si>
    <t>하수처리장 설치사업</t>
    <phoneticPr fontId="3" type="noConversion"/>
  </si>
  <si>
    <t>일반 시ㆍ군(읍이상)</t>
    <phoneticPr fontId="3" type="noConversion"/>
  </si>
  <si>
    <t>다) 재원조달계획</t>
    <phoneticPr fontId="3" type="noConversion"/>
  </si>
  <si>
    <t>구 분</t>
    <phoneticPr fontId="3" type="noConversion"/>
  </si>
  <si>
    <t>국비</t>
    <phoneticPr fontId="3" type="noConversion"/>
  </si>
  <si>
    <t>지방비</t>
    <phoneticPr fontId="3" type="noConversion"/>
  </si>
  <si>
    <t>원인자부담금</t>
    <phoneticPr fontId="3" type="noConversion"/>
  </si>
  <si>
    <t>사업비(백만원)</t>
    <phoneticPr fontId="3" type="noConversion"/>
  </si>
  <si>
    <t xml:space="preserve">    - 하수도분야 보조금 편성 및 집행관리 실무요령(2014.02, 환경부)의 국고보조율 적용</t>
    <phoneticPr fontId="4" type="noConversion"/>
  </si>
  <si>
    <t>계</t>
  </si>
  <si>
    <t>구 분</t>
    <phoneticPr fontId="3" type="noConversion"/>
  </si>
  <si>
    <t>시설용량
(㎥/일)</t>
    <phoneticPr fontId="3" type="noConversion"/>
  </si>
  <si>
    <t>배수설비
(개소)</t>
    <phoneticPr fontId="3" type="noConversion"/>
  </si>
  <si>
    <t>비 고</t>
    <phoneticPr fontId="3" type="noConversion"/>
  </si>
  <si>
    <t>2) 시설공사비</t>
    <phoneticPr fontId="4" type="noConversion"/>
  </si>
  <si>
    <t>황소(증설)</t>
  </si>
  <si>
    <t>봉곡</t>
  </si>
  <si>
    <t>운곡</t>
  </si>
  <si>
    <t>초곡</t>
  </si>
  <si>
    <t>구야</t>
  </si>
  <si>
    <t>문무</t>
  </si>
  <si>
    <t>남곡</t>
  </si>
  <si>
    <t>던돌마</t>
  </si>
  <si>
    <t>덕남</t>
  </si>
  <si>
    <t>옥율</t>
  </si>
  <si>
    <t>능치</t>
  </si>
  <si>
    <t>도암</t>
  </si>
  <si>
    <t>태화</t>
  </si>
  <si>
    <t>신암</t>
  </si>
  <si>
    <t>광기</t>
  </si>
  <si>
    <t>신안</t>
  </si>
  <si>
    <t>대평</t>
  </si>
  <si>
    <t>하강</t>
  </si>
  <si>
    <t>월곡</t>
  </si>
  <si>
    <t>옥동</t>
  </si>
  <si>
    <t>합 계</t>
    <phoneticPr fontId="3" type="noConversion"/>
  </si>
  <si>
    <t>배수설비</t>
    <phoneticPr fontId="3" type="noConversion"/>
  </si>
  <si>
    <t>하수관로</t>
    <phoneticPr fontId="3" type="noConversion"/>
  </si>
  <si>
    <t>구 분</t>
    <phoneticPr fontId="11" type="noConversion"/>
  </si>
  <si>
    <t>합계</t>
    <phoneticPr fontId="11" type="noConversion"/>
  </si>
  <si>
    <r>
      <t>Y = 179.03 × Q</t>
    </r>
    <r>
      <rPr>
        <vertAlign val="superscript"/>
        <sz val="8"/>
        <color theme="1"/>
        <rFont val="나눔고딕"/>
        <family val="3"/>
        <charset val="129"/>
      </rPr>
      <t>0.5143</t>
    </r>
    <phoneticPr fontId="3" type="noConversion"/>
  </si>
  <si>
    <r>
      <t>Y = 95.478 × Q</t>
    </r>
    <r>
      <rPr>
        <vertAlign val="superscript"/>
        <sz val="8"/>
        <color theme="1"/>
        <rFont val="나눔고딕"/>
        <family val="3"/>
        <charset val="129"/>
      </rPr>
      <t>0.5978</t>
    </r>
    <phoneticPr fontId="8" type="noConversion"/>
  </si>
  <si>
    <r>
      <t>Y = 179.03 × Q</t>
    </r>
    <r>
      <rPr>
        <vertAlign val="superscript"/>
        <sz val="8"/>
        <color theme="1"/>
        <rFont val="나눔고딕"/>
        <family val="3"/>
        <charset val="129"/>
      </rPr>
      <t>0.5143</t>
    </r>
    <phoneticPr fontId="8" type="noConversion"/>
  </si>
  <si>
    <r>
      <t>Y = 7.8941 × Q</t>
    </r>
    <r>
      <rPr>
        <vertAlign val="superscript"/>
        <sz val="8"/>
        <color theme="1"/>
        <rFont val="나눔고딕"/>
        <family val="3"/>
        <charset val="129"/>
      </rPr>
      <t>0.7363</t>
    </r>
    <phoneticPr fontId="8" type="noConversion"/>
  </si>
  <si>
    <r>
      <t>Y = 40.09 × Q</t>
    </r>
    <r>
      <rPr>
        <vertAlign val="superscript"/>
        <sz val="8"/>
        <color theme="1"/>
        <rFont val="나눔고딕"/>
        <family val="3"/>
        <charset val="129"/>
      </rPr>
      <t>0.644</t>
    </r>
    <phoneticPr fontId="8" type="noConversion"/>
  </si>
  <si>
    <t>시설공사비</t>
    <phoneticPr fontId="3" type="noConversion"/>
  </si>
  <si>
    <t>시설부대경비</t>
    <phoneticPr fontId="3" type="noConversion"/>
  </si>
  <si>
    <t>사업비(백만원)</t>
    <phoneticPr fontId="3" type="noConversion"/>
  </si>
  <si>
    <t>사업비(백만원)</t>
    <phoneticPr fontId="3" type="noConversion"/>
  </si>
  <si>
    <t>1단계
(2020년)</t>
    <phoneticPr fontId="3" type="noConversion"/>
  </si>
  <si>
    <t>2단계
(2025년)</t>
    <phoneticPr fontId="3" type="noConversion"/>
  </si>
  <si>
    <t>3단계
(2030년)</t>
    <phoneticPr fontId="3" type="noConversion"/>
  </si>
  <si>
    <t>4단계
(2035년)</t>
    <phoneticPr fontId="3" type="noConversion"/>
  </si>
  <si>
    <t>가) 국고보조율</t>
    <phoneticPr fontId="3" type="noConversion"/>
  </si>
  <si>
    <t>농어촌 마을하수도정비</t>
    <phoneticPr fontId="3" type="noConversion"/>
  </si>
  <si>
    <t>국고보조율(%)</t>
    <phoneticPr fontId="3" type="noConversion"/>
  </si>
  <si>
    <t>소규모 하수도 설치사업</t>
    <phoneticPr fontId="3" type="noConversion"/>
  </si>
  <si>
    <t>국비</t>
    <phoneticPr fontId="3" type="noConversion"/>
  </si>
  <si>
    <t>지방비</t>
    <phoneticPr fontId="3" type="noConversion"/>
  </si>
  <si>
    <t>가) 사업비</t>
    <phoneticPr fontId="4" type="noConversion"/>
  </si>
  <si>
    <t>4) 사업비 총괄</t>
    <phoneticPr fontId="4" type="noConversion"/>
  </si>
  <si>
    <t>나) 단계별 사업비</t>
    <phoneticPr fontId="4" type="noConversion"/>
  </si>
  <si>
    <t>라) 단계별 재원조달계획</t>
    <phoneticPr fontId="4" type="noConversion"/>
  </si>
  <si>
    <t>원인자부담금</t>
    <phoneticPr fontId="3" type="noConversion"/>
  </si>
  <si>
    <t>나) 재원조달계획</t>
    <phoneticPr fontId="3" type="noConversion"/>
  </si>
  <si>
    <t>다) 단계별 재원조달계획</t>
    <phoneticPr fontId="4" type="noConversion"/>
  </si>
  <si>
    <t>김천</t>
  </si>
  <si>
    <t>문당동 당곡마을</t>
    <phoneticPr fontId="3" type="noConversion"/>
  </si>
  <si>
    <t>대광처리분구</t>
    <phoneticPr fontId="3" type="noConversion"/>
  </si>
  <si>
    <t>지좌처리분구</t>
    <phoneticPr fontId="3" type="noConversion"/>
  </si>
  <si>
    <t>어모처리분구</t>
    <phoneticPr fontId="3" type="noConversion"/>
  </si>
  <si>
    <t>봉산처리분구</t>
    <phoneticPr fontId="3" type="noConversion"/>
  </si>
  <si>
    <t>교동처리분구</t>
    <phoneticPr fontId="3" type="noConversion"/>
  </si>
  <si>
    <t>위 치</t>
    <phoneticPr fontId="3" type="noConversion"/>
  </si>
  <si>
    <t>개령면 신룡리, 황계리</t>
    <phoneticPr fontId="3" type="noConversion"/>
  </si>
  <si>
    <t>지좌동 새마을, 감천면 금송리</t>
    <phoneticPr fontId="3" type="noConversion"/>
  </si>
  <si>
    <t>어모면 남산리</t>
    <phoneticPr fontId="3" type="noConversion"/>
  </si>
  <si>
    <t>봉산면 예지2리</t>
    <phoneticPr fontId="3" type="noConversion"/>
  </si>
  <si>
    <t>아포읍 송천리, 송천택지</t>
    <phoneticPr fontId="3" type="noConversion"/>
  </si>
  <si>
    <t>송천처리분구</t>
    <phoneticPr fontId="3" type="noConversion"/>
  </si>
  <si>
    <t>하수관로 신설계획</t>
    <phoneticPr fontId="3" type="noConversion"/>
  </si>
  <si>
    <t>하수관로 정비사업</t>
    <phoneticPr fontId="3" type="noConversion"/>
  </si>
  <si>
    <t>일반 시ㆍ군</t>
    <phoneticPr fontId="3" type="noConversion"/>
  </si>
  <si>
    <t>관 경(㎜)</t>
    <phoneticPr fontId="3" type="noConversion"/>
  </si>
  <si>
    <t>오수관로</t>
    <phoneticPr fontId="3" type="noConversion"/>
  </si>
  <si>
    <t>소 계</t>
    <phoneticPr fontId="3" type="noConversion"/>
  </si>
  <si>
    <t>신음</t>
    <phoneticPr fontId="3" type="noConversion"/>
  </si>
  <si>
    <t>교동</t>
    <phoneticPr fontId="3" type="noConversion"/>
  </si>
  <si>
    <t>지좌</t>
    <phoneticPr fontId="3" type="noConversion"/>
  </si>
  <si>
    <t>평화</t>
    <phoneticPr fontId="3" type="noConversion"/>
  </si>
  <si>
    <t>모암</t>
    <phoneticPr fontId="3" type="noConversion"/>
  </si>
  <si>
    <t>김천 처리구역</t>
    <phoneticPr fontId="3" type="noConversion"/>
  </si>
  <si>
    <t>구 분</t>
    <phoneticPr fontId="3" type="noConversion"/>
  </si>
  <si>
    <t>관 경(㎜)</t>
    <phoneticPr fontId="3" type="noConversion"/>
  </si>
  <si>
    <t>김천 처리구역</t>
    <phoneticPr fontId="3" type="noConversion"/>
  </si>
  <si>
    <t>합 계</t>
    <phoneticPr fontId="3" type="noConversion"/>
  </si>
  <si>
    <t>A-LINE</t>
    <phoneticPr fontId="3" type="noConversion"/>
  </si>
  <si>
    <t>B-LINE</t>
    <phoneticPr fontId="3" type="noConversion"/>
  </si>
  <si>
    <t>C-LINE</t>
    <phoneticPr fontId="3" type="noConversion"/>
  </si>
  <si>
    <t>D-LINE</t>
    <phoneticPr fontId="3" type="noConversion"/>
  </si>
  <si>
    <t>E-LINE</t>
    <phoneticPr fontId="3" type="noConversion"/>
  </si>
  <si>
    <t>F-LINE</t>
    <phoneticPr fontId="3" type="noConversion"/>
  </si>
  <si>
    <t xml:space="preserve">    -  김천시 하수도정비 기본계획(변경)의 하수관로 수리계산에 따른 개량관로 연장 산출</t>
    <phoneticPr fontId="4" type="noConversion"/>
  </si>
  <si>
    <t>차집관로</t>
    <phoneticPr fontId="3" type="noConversion"/>
  </si>
  <si>
    <t>관로연장(m)</t>
    <phoneticPr fontId="3" type="noConversion"/>
  </si>
  <si>
    <t>m당 공사비(원)</t>
    <phoneticPr fontId="3" type="noConversion"/>
  </si>
  <si>
    <t>공사비(백만원)</t>
    <phoneticPr fontId="3" type="noConversion"/>
  </si>
  <si>
    <t>오수관로 교체</t>
    <phoneticPr fontId="3" type="noConversion"/>
  </si>
  <si>
    <t>차집관로 교체</t>
    <phoneticPr fontId="3" type="noConversion"/>
  </si>
  <si>
    <t xml:space="preserve">    -  김천시 신음지구외 2개소 하수관거 기술진단에 따른 하수관로 보수물량 산출</t>
    <phoneticPr fontId="4" type="noConversion"/>
  </si>
  <si>
    <t>맨홀보수</t>
    <phoneticPr fontId="8" type="noConversion"/>
  </si>
  <si>
    <t>맨홀뚜껑설치 및 보수</t>
    <phoneticPr fontId="8" type="noConversion"/>
  </si>
  <si>
    <t>배수설비정비</t>
    <phoneticPr fontId="8" type="noConversion"/>
  </si>
  <si>
    <t>부분보수
(개소)</t>
    <phoneticPr fontId="8" type="noConversion"/>
  </si>
  <si>
    <t>전체보수
(m)</t>
    <phoneticPr fontId="8" type="noConversion"/>
  </si>
  <si>
    <t>오수관로</t>
    <phoneticPr fontId="8" type="noConversion"/>
  </si>
  <si>
    <t>차집관로</t>
    <phoneticPr fontId="8" type="noConversion"/>
  </si>
  <si>
    <t>연장(m)</t>
    <phoneticPr fontId="3" type="noConversion"/>
  </si>
  <si>
    <t>수량</t>
    <phoneticPr fontId="3" type="noConversion"/>
  </si>
  <si>
    <t>단가</t>
    <phoneticPr fontId="3" type="noConversion"/>
  </si>
  <si>
    <t>하수관로 보수계획</t>
    <phoneticPr fontId="3" type="noConversion"/>
  </si>
  <si>
    <t>하수관로 보수</t>
    <phoneticPr fontId="3" type="noConversion"/>
  </si>
  <si>
    <t>하수관로 교체</t>
    <phoneticPr fontId="3" type="noConversion"/>
  </si>
  <si>
    <t>하수관로 교체계획</t>
    <phoneticPr fontId="3" type="noConversion"/>
  </si>
  <si>
    <t>하수관로 신설</t>
    <phoneticPr fontId="3" type="noConversion"/>
  </si>
  <si>
    <t xml:space="preserve">    - 김천 공공하수처리시설은 하수처리수 재이용시설로 김천1차, 김천2차, 김천일반1단계, 김천1일반2단계 산업단지와 대광 농공단지, </t>
    <phoneticPr fontId="4" type="noConversion"/>
  </si>
  <si>
    <t xml:space="preserve">      열병합발전소에 공업용수 18,000㎥/일 공급시설을 계획</t>
    <phoneticPr fontId="4" type="noConversion"/>
  </si>
  <si>
    <t xml:space="preserve">    - 김천시 물 재이용 관리계획(2015.03)의 시설공사비와 시설부대경비 적용</t>
    <phoneticPr fontId="4" type="noConversion"/>
  </si>
  <si>
    <t>2) 사업비 총괄</t>
    <phoneticPr fontId="4" type="noConversion"/>
  </si>
  <si>
    <t>하수처리수 재이용 계획</t>
    <phoneticPr fontId="3" type="noConversion"/>
  </si>
  <si>
    <t>하수처리수 재이용계획</t>
    <phoneticPr fontId="3" type="noConversion"/>
  </si>
  <si>
    <t>3) 재원조달계획</t>
    <phoneticPr fontId="4" type="noConversion"/>
  </si>
  <si>
    <t xml:space="preserve">    - 물 재이용 기본계획 수립을 위한 연구, 하수도분야 보조금 편성 및 집행관리 실무요령(2014.02, 환경부)의 국고보조율 적용</t>
    <phoneticPr fontId="4" type="noConversion"/>
  </si>
  <si>
    <t xml:space="preserve">    - 김천시 물 재이용 관리계획(2015.03)의 빗물이용시설 시설공사비와 시설부대경비 적용</t>
    <phoneticPr fontId="4" type="noConversion"/>
  </si>
  <si>
    <t>하수저류시설 및 우수침투시설 계획</t>
    <phoneticPr fontId="3" type="noConversion"/>
  </si>
  <si>
    <t>의무대상시설</t>
    <phoneticPr fontId="3" type="noConversion"/>
  </si>
  <si>
    <t>권장대상시설</t>
    <phoneticPr fontId="3" type="noConversion"/>
  </si>
  <si>
    <t>소규모 하수도</t>
    <phoneticPr fontId="3" type="noConversion"/>
  </si>
  <si>
    <t>공공
하수처리시설</t>
    <phoneticPr fontId="3" type="noConversion"/>
  </si>
  <si>
    <t>하수저류시설 및 우수침투시설</t>
    <phoneticPr fontId="3" type="noConversion"/>
  </si>
  <si>
    <t>1) 단계별 사업비 총괄</t>
    <phoneticPr fontId="4" type="noConversion"/>
  </si>
  <si>
    <t>2) 단계별 재원조달계획</t>
    <phoneticPr fontId="4" type="noConversion"/>
  </si>
  <si>
    <t>계</t>
    <phoneticPr fontId="3" type="noConversion"/>
  </si>
  <si>
    <t>하수처리수
재이용</t>
    <phoneticPr fontId="3" type="noConversion"/>
  </si>
  <si>
    <t>하수저류지 및
우수침투시설</t>
    <phoneticPr fontId="3" type="noConversion"/>
  </si>
  <si>
    <t>아포 
하수처리시설
 증설</t>
    <phoneticPr fontId="3" type="noConversion"/>
  </si>
  <si>
    <t>하수관로
신설</t>
    <phoneticPr fontId="3" type="noConversion"/>
  </si>
  <si>
    <t>하수관로
교체</t>
    <phoneticPr fontId="3" type="noConversion"/>
  </si>
  <si>
    <t>하수관로
보수</t>
    <phoneticPr fontId="3" type="noConversion"/>
  </si>
  <si>
    <t>합 계</t>
    <phoneticPr fontId="3" type="noConversion"/>
  </si>
  <si>
    <t>소 계</t>
    <phoneticPr fontId="3" type="noConversion"/>
  </si>
  <si>
    <t>하수처리시설</t>
    <phoneticPr fontId="3" type="noConversion"/>
  </si>
  <si>
    <t>총인처리시설</t>
    <phoneticPr fontId="3" type="noConversion"/>
  </si>
  <si>
    <t>시설공사비</t>
    <phoneticPr fontId="3" type="noConversion"/>
  </si>
  <si>
    <t>시설부대경비</t>
    <phoneticPr fontId="3" type="noConversion"/>
  </si>
  <si>
    <t>황소(증설)</t>
    <phoneticPr fontId="3" type="noConversion"/>
  </si>
  <si>
    <t>봉곡</t>
    <phoneticPr fontId="3" type="noConversion"/>
  </si>
  <si>
    <t>운곡</t>
    <phoneticPr fontId="3" type="noConversion"/>
  </si>
  <si>
    <t>초곡</t>
    <phoneticPr fontId="3" type="noConversion"/>
  </si>
  <si>
    <t>구야</t>
    <phoneticPr fontId="3" type="noConversion"/>
  </si>
  <si>
    <t>문무</t>
    <phoneticPr fontId="3" type="noConversion"/>
  </si>
  <si>
    <t>남곡</t>
    <phoneticPr fontId="3" type="noConversion"/>
  </si>
  <si>
    <t>던돌마</t>
    <phoneticPr fontId="3" type="noConversion"/>
  </si>
  <si>
    <t>덕남</t>
    <phoneticPr fontId="3" type="noConversion"/>
  </si>
  <si>
    <t>옥율</t>
    <phoneticPr fontId="3" type="noConversion"/>
  </si>
  <si>
    <t>능치</t>
    <phoneticPr fontId="3" type="noConversion"/>
  </si>
  <si>
    <t>도암</t>
    <phoneticPr fontId="3" type="noConversion"/>
  </si>
  <si>
    <t>태화</t>
    <phoneticPr fontId="3" type="noConversion"/>
  </si>
  <si>
    <t>신암</t>
    <phoneticPr fontId="3" type="noConversion"/>
  </si>
  <si>
    <t>광기</t>
    <phoneticPr fontId="3" type="noConversion"/>
  </si>
  <si>
    <t>신안</t>
    <phoneticPr fontId="3" type="noConversion"/>
  </si>
  <si>
    <t>대평</t>
    <phoneticPr fontId="3" type="noConversion"/>
  </si>
  <si>
    <t>하강</t>
    <phoneticPr fontId="3" type="noConversion"/>
  </si>
  <si>
    <t>월곡</t>
    <phoneticPr fontId="3" type="noConversion"/>
  </si>
  <si>
    <t>옥동</t>
    <phoneticPr fontId="3" type="noConversion"/>
  </si>
  <si>
    <t>오수관로 
교체</t>
    <phoneticPr fontId="3" type="noConversion"/>
  </si>
  <si>
    <t>차집관로
 교체</t>
    <phoneticPr fontId="3" type="noConversion"/>
  </si>
  <si>
    <t>6.1 사업비 산출근거</t>
    <phoneticPr fontId="4" type="noConversion"/>
  </si>
  <si>
    <t>가) 차집관로 교체</t>
    <phoneticPr fontId="3" type="noConversion"/>
  </si>
  <si>
    <t xml:space="preserve">- </t>
  </si>
  <si>
    <t>나) 오수관로 교체</t>
    <phoneticPr fontId="3" type="noConversion"/>
  </si>
  <si>
    <t>-</t>
  </si>
  <si>
    <t>봉산</t>
    <phoneticPr fontId="3" type="noConversion"/>
  </si>
  <si>
    <t>지좌</t>
    <phoneticPr fontId="3" type="noConversion"/>
  </si>
  <si>
    <t>평화</t>
    <phoneticPr fontId="3" type="noConversion"/>
  </si>
  <si>
    <t>공단하수</t>
    <phoneticPr fontId="3" type="noConversion"/>
  </si>
  <si>
    <t>소규모</t>
    <phoneticPr fontId="3" type="noConversion"/>
  </si>
  <si>
    <t>구 분</t>
    <phoneticPr fontId="3" type="noConversion"/>
  </si>
  <si>
    <t>교동</t>
    <phoneticPr fontId="3" type="noConversion"/>
  </si>
  <si>
    <t>농소</t>
    <phoneticPr fontId="3" type="noConversion"/>
  </si>
  <si>
    <t>대광</t>
    <phoneticPr fontId="3" type="noConversion"/>
  </si>
  <si>
    <t>대항</t>
    <phoneticPr fontId="3" type="noConversion"/>
  </si>
  <si>
    <t>모암</t>
    <phoneticPr fontId="3" type="noConversion"/>
  </si>
  <si>
    <t>2.1 하수관로 신설 및 교체</t>
    <phoneticPr fontId="4" type="noConversion"/>
  </si>
  <si>
    <t>2.2 하수관로 보수</t>
    <phoneticPr fontId="4" type="noConversion"/>
  </si>
  <si>
    <t>비 고</t>
    <phoneticPr fontId="8" type="noConversion"/>
  </si>
  <si>
    <t xml:space="preserve">    - 하수도분야 국고보조금 편성 및 실무요령(2014.02, 환경부)의 표준공사비 적용하였으며,</t>
    <phoneticPr fontId="4" type="noConversion"/>
  </si>
  <si>
    <t xml:space="preserve">       m당 공사비가 없는 관경에 대해서는 해당 관경과 다음 관경의 공사비의 비율을 적용하여산정하였다.</t>
    <phoneticPr fontId="3" type="noConversion"/>
  </si>
  <si>
    <t xml:space="preserve">    - 플라스틱관, 포장상태(아스팔트) 적용</t>
    <phoneticPr fontId="4" type="noConversion"/>
  </si>
  <si>
    <t>다) 우수관로 교체</t>
    <phoneticPr fontId="3" type="noConversion"/>
  </si>
  <si>
    <t>계</t>
    <phoneticPr fontId="20" type="noConversion"/>
  </si>
  <si>
    <t>0.3x0.5</t>
  </si>
  <si>
    <t>0.3x0.7</t>
  </si>
  <si>
    <t>0.4x0.4</t>
  </si>
  <si>
    <t>0.4x0.5</t>
  </si>
  <si>
    <t>0.4x0.6</t>
  </si>
  <si>
    <t>0.5x0.3</t>
  </si>
  <si>
    <t>0.5x0.5</t>
  </si>
  <si>
    <t>0.5x0.8</t>
  </si>
  <si>
    <t>0.6x0.6</t>
  </si>
  <si>
    <t>0.6x0.7</t>
  </si>
  <si>
    <t>0.7x0.6</t>
  </si>
  <si>
    <t>0.7x0.7</t>
  </si>
  <si>
    <t>0.7x0.8</t>
  </si>
  <si>
    <t>0.7x0.9</t>
  </si>
  <si>
    <t>0.8x0.6</t>
  </si>
  <si>
    <t>0.8x0.8</t>
  </si>
  <si>
    <t>0.8x0.9</t>
  </si>
  <si>
    <t>1.0x1.0</t>
  </si>
  <si>
    <t>1.0x1.1</t>
  </si>
  <si>
    <t>1.0x1.6</t>
  </si>
  <si>
    <t>1.2x0.8</t>
  </si>
  <si>
    <t>1.2x1.0</t>
  </si>
  <si>
    <t>1.2x1.2</t>
  </si>
  <si>
    <t>1.2x1.5</t>
  </si>
  <si>
    <t>1.3x0.6</t>
  </si>
  <si>
    <t>1.4x1.0</t>
  </si>
  <si>
    <t>1.5x1.0</t>
  </si>
  <si>
    <t>1.5x1.3</t>
  </si>
  <si>
    <t>1.5x1.5</t>
  </si>
  <si>
    <t>1.6x1.5</t>
  </si>
  <si>
    <t>1.9x0.6</t>
  </si>
  <si>
    <t>2.0x1.0</t>
  </si>
  <si>
    <t>2.0x1.5</t>
  </si>
  <si>
    <t>2.0x1.6</t>
  </si>
  <si>
    <t>2.5x1.5</t>
  </si>
  <si>
    <t>대항</t>
    <phoneticPr fontId="3" type="noConversion"/>
  </si>
  <si>
    <t>우수관로 교체</t>
    <phoneticPr fontId="3" type="noConversion"/>
  </si>
  <si>
    <t xml:space="preserve">    - 콘크리트관, 포장상태(아스팔트) 적용</t>
    <phoneticPr fontId="4" type="noConversion"/>
  </si>
  <si>
    <t>합 계</t>
    <phoneticPr fontId="3" type="noConversion"/>
  </si>
  <si>
    <t>합 계</t>
    <phoneticPr fontId="20" type="noConversion"/>
  </si>
  <si>
    <t>H1.0×W1.0</t>
    <phoneticPr fontId="3" type="noConversion"/>
  </si>
  <si>
    <t>H0.3×W0.5</t>
    <phoneticPr fontId="3" type="noConversion"/>
  </si>
  <si>
    <t>H0.3×W0.7</t>
    <phoneticPr fontId="3" type="noConversion"/>
  </si>
  <si>
    <t>H0.4×W0.4</t>
    <phoneticPr fontId="3" type="noConversion"/>
  </si>
  <si>
    <t>H0.4×W0.5</t>
    <phoneticPr fontId="3" type="noConversion"/>
  </si>
  <si>
    <t>H0.4×W0.6</t>
    <phoneticPr fontId="3" type="noConversion"/>
  </si>
  <si>
    <t>H0.5×W0.3</t>
    <phoneticPr fontId="3" type="noConversion"/>
  </si>
  <si>
    <t>H0.5×W0.5</t>
    <phoneticPr fontId="3" type="noConversion"/>
  </si>
  <si>
    <t>H0.5×W0.8</t>
    <phoneticPr fontId="3" type="noConversion"/>
  </si>
  <si>
    <t>H0.6×W0.6</t>
    <phoneticPr fontId="3" type="noConversion"/>
  </si>
  <si>
    <t>H0.6×W0.7</t>
    <phoneticPr fontId="3" type="noConversion"/>
  </si>
  <si>
    <t>H0.7×W0.6</t>
    <phoneticPr fontId="3" type="noConversion"/>
  </si>
  <si>
    <t>H0.7×W0.7</t>
    <phoneticPr fontId="3" type="noConversion"/>
  </si>
  <si>
    <t>H0.7×W0.8</t>
    <phoneticPr fontId="3" type="noConversion"/>
  </si>
  <si>
    <t>H0.7×W0.9</t>
    <phoneticPr fontId="3" type="noConversion"/>
  </si>
  <si>
    <t>H0.8×W0.6</t>
    <phoneticPr fontId="3" type="noConversion"/>
  </si>
  <si>
    <t>H0.8×W0.8</t>
    <phoneticPr fontId="3" type="noConversion"/>
  </si>
  <si>
    <t>h0.8×W0.9</t>
    <phoneticPr fontId="3" type="noConversion"/>
  </si>
  <si>
    <t>H1.0×W1.1</t>
    <phoneticPr fontId="3" type="noConversion"/>
  </si>
  <si>
    <t>H1.0×W1.6</t>
    <phoneticPr fontId="3" type="noConversion"/>
  </si>
  <si>
    <t>H1.2×W0.8</t>
    <phoneticPr fontId="3" type="noConversion"/>
  </si>
  <si>
    <t>H1.2×W1.0</t>
    <phoneticPr fontId="3" type="noConversion"/>
  </si>
  <si>
    <t>H1.2×W1.2</t>
    <phoneticPr fontId="3" type="noConversion"/>
  </si>
  <si>
    <t>H1.2×W1.5</t>
    <phoneticPr fontId="3" type="noConversion"/>
  </si>
  <si>
    <t>H1.3×W0.6</t>
    <phoneticPr fontId="3" type="noConversion"/>
  </si>
  <si>
    <t>H1.4×W1.0</t>
    <phoneticPr fontId="3" type="noConversion"/>
  </si>
  <si>
    <t>H1.5×W1.0</t>
    <phoneticPr fontId="3" type="noConversion"/>
  </si>
  <si>
    <t>H1.5×W1.3</t>
    <phoneticPr fontId="3" type="noConversion"/>
  </si>
  <si>
    <t>H1.5×W1.5</t>
    <phoneticPr fontId="3" type="noConversion"/>
  </si>
  <si>
    <t>H1.6×W1.5</t>
    <phoneticPr fontId="3" type="noConversion"/>
  </si>
  <si>
    <t>H1.9×W0.6</t>
    <phoneticPr fontId="3" type="noConversion"/>
  </si>
  <si>
    <t>H2.0×W1.0</t>
    <phoneticPr fontId="3" type="noConversion"/>
  </si>
  <si>
    <t>H2.0×W1.5</t>
    <phoneticPr fontId="3" type="noConversion"/>
  </si>
  <si>
    <t>H2.0×W1.6</t>
    <phoneticPr fontId="3" type="noConversion"/>
  </si>
  <si>
    <t>H2.5×W1.5</t>
    <phoneticPr fontId="3" type="noConversion"/>
  </si>
  <si>
    <t>우수관로</t>
    <phoneticPr fontId="3" type="noConversion"/>
  </si>
  <si>
    <t>우수관로 
교체</t>
    <phoneticPr fontId="3" type="noConversion"/>
  </si>
  <si>
    <t xml:space="preserve">    - 우수관로 교체계획은 2~4단계로 계획, 2단계(40%), 3단계(30%), 4단계(30%)로 계획</t>
    <phoneticPr fontId="4" type="noConversion"/>
  </si>
  <si>
    <t xml:space="preserve">    - 차집관로 교체계획은 1단계, 오수관로 교체계획은 2단계로 계획</t>
    <phoneticPr fontId="4" type="noConversion"/>
  </si>
  <si>
    <t>하수관로(m)</t>
    <phoneticPr fontId="3" type="noConversion"/>
  </si>
  <si>
    <t>오수관로</t>
    <phoneticPr fontId="3" type="noConversion"/>
  </si>
  <si>
    <t>압송관로</t>
    <phoneticPr fontId="3" type="noConversion"/>
  </si>
  <si>
    <t>중계펌프장</t>
    <phoneticPr fontId="3" type="noConversion"/>
  </si>
  <si>
    <t>맨홀펌프장</t>
    <phoneticPr fontId="3" type="noConversion"/>
  </si>
  <si>
    <t>합 계</t>
    <phoneticPr fontId="3" type="noConversion"/>
  </si>
  <si>
    <t>펌프장(개소)</t>
    <phoneticPr fontId="3" type="noConversion"/>
  </si>
  <si>
    <t>가) 대광처리분구</t>
    <phoneticPr fontId="3" type="noConversion"/>
  </si>
  <si>
    <t>4. 중계펌프장</t>
    <phoneticPr fontId="4" type="noConversion"/>
  </si>
  <si>
    <t>5. 맨홀펌프장</t>
    <phoneticPr fontId="4" type="noConversion"/>
  </si>
  <si>
    <t>6. 압송관로</t>
    <phoneticPr fontId="4" type="noConversion"/>
  </si>
  <si>
    <t xml:space="preserve">    - 하수도분야 국고보조금 편성 및 실무요령(2014.02, 환경부)의 유입펌프시설 공사비 함수식 적용</t>
    <phoneticPr fontId="4" type="noConversion"/>
  </si>
  <si>
    <t>유입펌프시설</t>
    <phoneticPr fontId="8" type="noConversion"/>
  </si>
  <si>
    <t>함 수 식</t>
    <phoneticPr fontId="3" type="noConversion"/>
  </si>
  <si>
    <t>비 고</t>
    <phoneticPr fontId="3" type="noConversion"/>
  </si>
  <si>
    <t xml:space="preserve">Y = 20.43 × Q + 21.21 × H + 903.46 </t>
    <phoneticPr fontId="3" type="noConversion"/>
  </si>
  <si>
    <t>주) Y : 공사비(백만원), Q : 용량(㎥/일), H : 양정(m), 2012년 기준 소비자 물가변동율 기 반영</t>
    <phoneticPr fontId="4" type="noConversion"/>
  </si>
  <si>
    <t>구 분</t>
    <phoneticPr fontId="3" type="noConversion"/>
  </si>
  <si>
    <t>맨홀펌프장</t>
    <phoneticPr fontId="3" type="noConversion"/>
  </si>
  <si>
    <t>배수설비</t>
    <phoneticPr fontId="3" type="noConversion"/>
  </si>
  <si>
    <t>수량</t>
    <phoneticPr fontId="3" type="noConversion"/>
  </si>
  <si>
    <t>단위공사비</t>
    <phoneticPr fontId="3" type="noConversion"/>
  </si>
  <si>
    <t>공사비(백만원)</t>
    <phoneticPr fontId="3" type="noConversion"/>
  </si>
  <si>
    <t>제 원</t>
    <phoneticPr fontId="3" type="noConversion"/>
  </si>
  <si>
    <t>D80㎜</t>
    <phoneticPr fontId="3" type="noConversion"/>
  </si>
  <si>
    <t>D200㎜</t>
    <phoneticPr fontId="3" type="noConversion"/>
  </si>
  <si>
    <t>Q=235㎥/일</t>
    <phoneticPr fontId="3" type="noConversion"/>
  </si>
  <si>
    <t>개소</t>
    <phoneticPr fontId="3" type="noConversion"/>
  </si>
  <si>
    <t>나) 지좌처리분구</t>
    <phoneticPr fontId="3" type="noConversion"/>
  </si>
  <si>
    <t>다) 어모처리분구</t>
    <phoneticPr fontId="3" type="noConversion"/>
  </si>
  <si>
    <t>라) 봉산처리분구</t>
    <phoneticPr fontId="3" type="noConversion"/>
  </si>
  <si>
    <t>D300㎜</t>
    <phoneticPr fontId="3" type="noConversion"/>
  </si>
  <si>
    <t>송천중계펌프장</t>
    <phoneticPr fontId="3" type="noConversion"/>
  </si>
  <si>
    <t>국사중계펌프장</t>
    <phoneticPr fontId="3" type="noConversion"/>
  </si>
  <si>
    <t>대광처리분구</t>
    <phoneticPr fontId="3" type="noConversion"/>
  </si>
  <si>
    <t>송천처리분구</t>
    <phoneticPr fontId="3" type="noConversion"/>
  </si>
  <si>
    <t>지좌처리분구</t>
    <phoneticPr fontId="3" type="noConversion"/>
  </si>
  <si>
    <t>어모처리분구</t>
    <phoneticPr fontId="3" type="noConversion"/>
  </si>
  <si>
    <t>봉산처리분구</t>
    <phoneticPr fontId="3" type="noConversion"/>
  </si>
  <si>
    <t>교동처리분구</t>
    <phoneticPr fontId="3" type="noConversion"/>
  </si>
  <si>
    <t>비 고</t>
    <phoneticPr fontId="11" type="noConversion"/>
  </si>
  <si>
    <t>비 고</t>
    <phoneticPr fontId="3" type="noConversion"/>
  </si>
  <si>
    <t xml:space="preserve">    - 아포 하수처리시설은 송천택지사업의 준공기한인 2025년에 증설하는 것으로 계획</t>
    <phoneticPr fontId="4" type="noConversion"/>
  </si>
  <si>
    <t>계획처리인구
(인)</t>
    <phoneticPr fontId="3" type="noConversion"/>
  </si>
  <si>
    <t>계획하수량
(㎥/일)</t>
    <phoneticPr fontId="3" type="noConversion"/>
  </si>
  <si>
    <t>증설용량
(㎥/일)</t>
    <phoneticPr fontId="3" type="noConversion"/>
  </si>
  <si>
    <t>원인자부담금
부과대상사업</t>
    <phoneticPr fontId="3" type="noConversion"/>
  </si>
  <si>
    <t>개발계획인구
(인)</t>
    <phoneticPr fontId="3" type="noConversion"/>
  </si>
  <si>
    <t>부담금
부과대상 
하수량
(㎥/일)</t>
    <phoneticPr fontId="3" type="noConversion"/>
  </si>
  <si>
    <t>총사업비
(백만원)
A</t>
    <phoneticPr fontId="3" type="noConversion"/>
  </si>
  <si>
    <t>원인자부담금
(백만원)
B</t>
    <phoneticPr fontId="3" type="noConversion"/>
  </si>
  <si>
    <t>원인자부담금
부과비율
(%)
B/A</t>
    <phoneticPr fontId="3" type="noConversion"/>
  </si>
  <si>
    <t>기준년도
공사비
(2010.11)</t>
    <phoneticPr fontId="4" type="noConversion"/>
  </si>
  <si>
    <t>개략
공사비
(2014.11)</t>
    <phoneticPr fontId="4" type="noConversion"/>
  </si>
  <si>
    <t>송천택지</t>
    <phoneticPr fontId="3" type="noConversion"/>
  </si>
  <si>
    <t>아포 하수처리시설 증설사업</t>
    <phoneticPr fontId="3" type="noConversion"/>
  </si>
  <si>
    <t>용지보상비</t>
    <phoneticPr fontId="3" type="noConversion"/>
  </si>
  <si>
    <t>나) 국고보조율</t>
    <phoneticPr fontId="3" type="noConversion"/>
  </si>
  <si>
    <t>다) 재원조달계획</t>
    <phoneticPr fontId="3" type="noConversion"/>
  </si>
  <si>
    <t>라) 단계별 재원조달계획</t>
    <phoneticPr fontId="4" type="noConversion"/>
  </si>
  <si>
    <t>남서부중학교</t>
    <phoneticPr fontId="3" type="noConversion"/>
  </si>
  <si>
    <t xml:space="preserve">    - 김천 남서부중학교 원인자 부담금 산정</t>
    <phoneticPr fontId="4" type="noConversion"/>
  </si>
  <si>
    <t>구 분</t>
    <phoneticPr fontId="3" type="noConversion"/>
  </si>
  <si>
    <t>아포
하수처리시설</t>
    <phoneticPr fontId="3" type="noConversion"/>
  </si>
  <si>
    <t>장곡
소규모 하수도</t>
    <phoneticPr fontId="3" type="noConversion"/>
  </si>
  <si>
    <t>Q=3,700㎥/일, H=18m</t>
    <phoneticPr fontId="3" type="noConversion"/>
  </si>
  <si>
    <t>Q=2,380㎥/일 증설, H=18m</t>
    <phoneticPr fontId="3" type="noConversion"/>
  </si>
  <si>
    <t>처리구역</t>
    <phoneticPr fontId="3" type="noConversion"/>
  </si>
  <si>
    <t>김천</t>
    <phoneticPr fontId="3" type="noConversion"/>
  </si>
  <si>
    <t>아포</t>
    <phoneticPr fontId="3" type="noConversion"/>
  </si>
  <si>
    <t>처리분구</t>
    <phoneticPr fontId="3" type="noConversion"/>
  </si>
  <si>
    <t>대광</t>
    <phoneticPr fontId="3" type="noConversion"/>
  </si>
  <si>
    <t>지좌</t>
    <phoneticPr fontId="3" type="noConversion"/>
  </si>
  <si>
    <t>어모</t>
    <phoneticPr fontId="3" type="noConversion"/>
  </si>
  <si>
    <t>봉산</t>
    <phoneticPr fontId="3" type="noConversion"/>
  </si>
  <si>
    <t>교동</t>
    <phoneticPr fontId="3" type="noConversion"/>
  </si>
  <si>
    <t>송천</t>
    <phoneticPr fontId="3" type="noConversion"/>
  </si>
  <si>
    <t>마) 교동처리분구</t>
    <phoneticPr fontId="3" type="noConversion"/>
  </si>
  <si>
    <t>송천처리분구</t>
    <phoneticPr fontId="3" type="noConversion"/>
  </si>
  <si>
    <t>민간자본</t>
    <phoneticPr fontId="3" type="noConversion"/>
  </si>
  <si>
    <t xml:space="preserve">    - 공업용수 공급은 국비 40%, 지방비 10%, 민간자본 50%로 할당되어 있음</t>
    <phoneticPr fontId="4" type="noConversion"/>
  </si>
  <si>
    <t xml:space="preserve">    - 대형저류시설은 국비 30%, 지방비 70%로 할당되어 있으나, 일반 빗물이용시설은 100% 민간자본으로 할당</t>
    <phoneticPr fontId="4" type="noConversion"/>
  </si>
  <si>
    <t>6.2 사업비 총괄</t>
    <phoneticPr fontId="4" type="noConversion"/>
  </si>
  <si>
    <t>6.3 공공 하수처리시설 계획</t>
    <phoneticPr fontId="4" type="noConversion"/>
  </si>
  <si>
    <t>6.3.1 아포하수처리시설 증설사업</t>
    <phoneticPr fontId="3" type="noConversion"/>
  </si>
  <si>
    <t>6.3.2 소규모 하수도 설치사업</t>
    <phoneticPr fontId="3" type="noConversion"/>
  </si>
  <si>
    <t>6.4 하수관로 계획</t>
    <phoneticPr fontId="4" type="noConversion"/>
  </si>
  <si>
    <t>6.4.1 하수관로 신설계획</t>
    <phoneticPr fontId="3" type="noConversion"/>
  </si>
  <si>
    <t>6.4.2 하수관로 교체계획</t>
    <phoneticPr fontId="3" type="noConversion"/>
  </si>
  <si>
    <t>6.4.3 하수관로 보수계획</t>
    <phoneticPr fontId="3" type="noConversion"/>
  </si>
  <si>
    <t>6.5 하수처리수 재이용계획</t>
    <phoneticPr fontId="4" type="noConversion"/>
  </si>
  <si>
    <t>6.6 하수저류시설 및 우수침투시설 계획</t>
    <phoneticPr fontId="4" type="noConversion"/>
  </si>
  <si>
    <t>아포 하수처리시설 증설</t>
    <phoneticPr fontId="3" type="noConversion"/>
  </si>
  <si>
    <t>혁신도시</t>
    <phoneticPr fontId="3" type="noConversion"/>
  </si>
  <si>
    <t>농소면 입석리</t>
    <phoneticPr fontId="3" type="noConversion"/>
  </si>
  <si>
    <t>바) 혁신도시처리분구</t>
    <phoneticPr fontId="3" type="noConversion"/>
  </si>
  <si>
    <t>Q=130㎥/일</t>
    <phoneticPr fontId="3" type="noConversion"/>
  </si>
  <si>
    <t>사) 송천처리분구</t>
    <phoneticPr fontId="3" type="noConversion"/>
  </si>
  <si>
    <t>하수처리시설</t>
    <phoneticPr fontId="3" type="noConversion"/>
  </si>
  <si>
    <t>용지보상비</t>
    <phoneticPr fontId="3" type="noConversion"/>
  </si>
  <si>
    <t>개소</t>
    <phoneticPr fontId="3" type="noConversion"/>
  </si>
  <si>
    <t>구 분</t>
    <phoneticPr fontId="3" type="noConversion"/>
  </si>
  <si>
    <t>황소(증설)</t>
    <phoneticPr fontId="3" type="noConversion"/>
  </si>
  <si>
    <t>시설명</t>
    <phoneticPr fontId="3" type="noConversion"/>
  </si>
  <si>
    <t>단위</t>
    <phoneticPr fontId="3" type="noConversion"/>
  </si>
  <si>
    <t>㎥/일</t>
    <phoneticPr fontId="3" type="noConversion"/>
  </si>
  <si>
    <t>m</t>
    <phoneticPr fontId="3" type="noConversion"/>
  </si>
  <si>
    <t>하수처리시설
위치</t>
    <phoneticPr fontId="3" type="noConversion"/>
  </si>
  <si>
    <t>하수처리시설 
부지면적(㎡)</t>
    <phoneticPr fontId="3" type="noConversion"/>
  </si>
  <si>
    <t>맨홀펌프장
(개소)</t>
    <phoneticPr fontId="3" type="noConversion"/>
  </si>
  <si>
    <t>단계</t>
    <phoneticPr fontId="3" type="noConversion"/>
  </si>
  <si>
    <t>1단계
(2020년)</t>
    <phoneticPr fontId="3" type="noConversion"/>
  </si>
  <si>
    <t>2단계
(2025년)</t>
    <phoneticPr fontId="3" type="noConversion"/>
  </si>
  <si>
    <t>시설공사비</t>
    <phoneticPr fontId="3" type="noConversion"/>
  </si>
  <si>
    <t>㎡</t>
    <phoneticPr fontId="3" type="noConversion"/>
  </si>
  <si>
    <t>함수식</t>
    <phoneticPr fontId="3" type="noConversion"/>
  </si>
  <si>
    <t>아포읍 지리 367</t>
  </si>
  <si>
    <t>남면 운곡리 433</t>
  </si>
  <si>
    <t>남면 초곡리 653-1</t>
  </si>
  <si>
    <t>감문면 구야리 422</t>
  </si>
  <si>
    <t>감문면 문무리 712-2</t>
  </si>
  <si>
    <t>감문면 남곡리 147</t>
  </si>
  <si>
    <t>감문면 삼성리 573</t>
  </si>
  <si>
    <t>어모면 옥율리 285</t>
  </si>
  <si>
    <t>어모면 능치리 81</t>
  </si>
  <si>
    <t>어모면 동좌리 608-1</t>
  </si>
  <si>
    <t>봉산면 태화리 405-15</t>
  </si>
  <si>
    <t>봉산면 신암리 171-1</t>
  </si>
  <si>
    <t>감천면 광기리 651-1</t>
  </si>
  <si>
    <t>조마면 신안리 536</t>
  </si>
  <si>
    <t>조마면 대방리 2121-9</t>
  </si>
  <si>
    <t>구성면 하강리 449</t>
  </si>
  <si>
    <t>부항면 월곡리 386-7</t>
  </si>
  <si>
    <t>장곡(증설)</t>
  </si>
  <si>
    <t>대덕면 관기리 1076-9</t>
  </si>
  <si>
    <t>증산면 유성리 137</t>
  </si>
  <si>
    <t>봉곡</t>
    <phoneticPr fontId="3" type="noConversion"/>
  </si>
  <si>
    <t>운곡</t>
    <phoneticPr fontId="3" type="noConversion"/>
  </si>
  <si>
    <t>초곡</t>
    <phoneticPr fontId="3" type="noConversion"/>
  </si>
  <si>
    <t>구야</t>
    <phoneticPr fontId="3" type="noConversion"/>
  </si>
  <si>
    <t>문무</t>
    <phoneticPr fontId="3" type="noConversion"/>
  </si>
  <si>
    <t>남곡</t>
    <phoneticPr fontId="3" type="noConversion"/>
  </si>
  <si>
    <t>던돌마</t>
    <phoneticPr fontId="3" type="noConversion"/>
  </si>
  <si>
    <t>덕남</t>
    <phoneticPr fontId="3" type="noConversion"/>
  </si>
  <si>
    <t>옥율</t>
    <phoneticPr fontId="3" type="noConversion"/>
  </si>
  <si>
    <t>능치</t>
    <phoneticPr fontId="3" type="noConversion"/>
  </si>
  <si>
    <t>도암</t>
    <phoneticPr fontId="3" type="noConversion"/>
  </si>
  <si>
    <t>태화</t>
    <phoneticPr fontId="3" type="noConversion"/>
  </si>
  <si>
    <t>신암</t>
    <phoneticPr fontId="3" type="noConversion"/>
  </si>
  <si>
    <t>광기</t>
    <phoneticPr fontId="3" type="noConversion"/>
  </si>
  <si>
    <t>신안</t>
    <phoneticPr fontId="3" type="noConversion"/>
  </si>
  <si>
    <t>대평</t>
    <phoneticPr fontId="3" type="noConversion"/>
  </si>
  <si>
    <t>하강</t>
    <phoneticPr fontId="3" type="noConversion"/>
  </si>
  <si>
    <t>월곡</t>
    <phoneticPr fontId="3" type="noConversion"/>
  </si>
  <si>
    <t>옥동</t>
    <phoneticPr fontId="3" type="noConversion"/>
  </si>
  <si>
    <t>장곡(증설)</t>
    <phoneticPr fontId="3" type="noConversion"/>
  </si>
  <si>
    <t>농소면 용암리 1106-63</t>
    <phoneticPr fontId="3" type="noConversion"/>
  </si>
  <si>
    <t>감문면 덕남리 432-1</t>
    <phoneticPr fontId="3" type="noConversion"/>
  </si>
  <si>
    <t>아) 아포처리분구</t>
    <phoneticPr fontId="3" type="noConversion"/>
  </si>
  <si>
    <t>아포처리분구</t>
    <phoneticPr fontId="3" type="noConversion"/>
  </si>
  <si>
    <t>혁신도시처리분구</t>
    <phoneticPr fontId="3" type="noConversion"/>
  </si>
  <si>
    <t>혁신도시
처리분구</t>
    <phoneticPr fontId="3" type="noConversion"/>
  </si>
  <si>
    <t>대신</t>
    <phoneticPr fontId="3" type="noConversion"/>
  </si>
  <si>
    <t>아포읍 의리</t>
    <phoneticPr fontId="3" type="noConversion"/>
  </si>
  <si>
    <t>남면 봉천리</t>
    <phoneticPr fontId="3" type="noConversion"/>
  </si>
  <si>
    <t>자) 대신처리분구</t>
    <phoneticPr fontId="3" type="noConversion"/>
  </si>
  <si>
    <t>대신처리분구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</si>
</sst>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176" formatCode="#,##0.000_ "/>
    <numFmt numFmtId="177" formatCode="#,##0_);[Red]\(#,##0\)"/>
    <numFmt numFmtId="178" formatCode="0;[Red]0"/>
    <numFmt numFmtId="179" formatCode="#,##0\ ;[Red]&quot;△&quot;\ #,##0\ ;&quot;-&quot;\ \ ;@"/>
    <numFmt numFmtId="180" formatCode="#,##0.00_ "/>
    <numFmt numFmtId="181" formatCode="0_);[Red]\(0\)"/>
    <numFmt numFmtId="182" formatCode="#,##0.000\ ;[Red]&quot;△&quot;\ #,##0.000\ ;&quot;-&quot;\ \ ;@"/>
    <numFmt numFmtId="183" formatCode="General&quot;년&quot;"/>
    <numFmt numFmtId="184" formatCode="#,##0.0\ ;[Red]&quot;△&quot;\ #,##0.0\ ;&quot;-&quot;\ \ ;@"/>
  </numFmts>
  <fonts count="21" x14ac:knownFonts="1">
    <font>
      <sz val="11"/>
      <color theme="1"/>
      <name val="나눔고딕"/>
      <family val="2"/>
      <charset val="129"/>
    </font>
    <font>
      <sz val="11"/>
      <name val="돋움"/>
      <family val="3"/>
      <charset val="129"/>
    </font>
    <font>
      <b/>
      <sz val="12"/>
      <color theme="1"/>
      <name val="나눔고딕"/>
      <family val="3"/>
      <charset val="129"/>
    </font>
    <font>
      <sz val="8"/>
      <name val="나눔고딕"/>
      <family val="2"/>
      <charset val="129"/>
    </font>
    <font>
      <sz val="8"/>
      <name val="맑은 고딕"/>
      <family val="3"/>
      <charset val="129"/>
    </font>
    <font>
      <sz val="9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9"/>
      <color theme="1"/>
      <name val="나눔고딕"/>
      <family val="3"/>
      <charset val="129"/>
    </font>
    <font>
      <sz val="8"/>
      <name val="굴림체"/>
      <family val="3"/>
      <charset val="129"/>
    </font>
    <font>
      <b/>
      <sz val="10"/>
      <color theme="1"/>
      <name val="나눔고딕"/>
      <family val="3"/>
      <charset val="129"/>
    </font>
    <font>
      <sz val="9"/>
      <color rgb="FF000000"/>
      <name val="나눔고딕"/>
      <family val="3"/>
      <charset val="129"/>
    </font>
    <font>
      <sz val="8"/>
      <name val="돋움"/>
      <family val="3"/>
      <charset val="129"/>
    </font>
    <font>
      <sz val="11"/>
      <color theme="1"/>
      <name val="나눔고딕"/>
      <family val="2"/>
      <charset val="129"/>
    </font>
    <font>
      <sz val="8"/>
      <name val="나눔고딕"/>
      <family val="3"/>
      <charset val="129"/>
    </font>
    <font>
      <sz val="8"/>
      <color theme="0"/>
      <name val="나눔고딕"/>
      <family val="3"/>
      <charset val="129"/>
    </font>
    <font>
      <sz val="8"/>
      <color theme="1"/>
      <name val="나눔고딕"/>
      <family val="3"/>
      <charset val="129"/>
    </font>
    <font>
      <vertAlign val="superscript"/>
      <sz val="8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b/>
      <sz val="8"/>
      <color theme="1"/>
      <name val="나눔고딕"/>
      <family val="3"/>
      <charset val="129"/>
    </font>
    <font>
      <sz val="10"/>
      <name val="굴림체"/>
      <family val="3"/>
      <charset val="129"/>
    </font>
    <font>
      <sz val="8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/>
  </cellStyleXfs>
  <cellXfs count="480">
    <xf numFmtId="0" fontId="0" fillId="0" borderId="0" xfId="0">
      <alignment vertical="center"/>
    </xf>
    <xf numFmtId="0" fontId="2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5" fillId="3" borderId="0" xfId="1" applyFont="1" applyFill="1" applyBorder="1" applyAlignment="1">
      <alignment horizontal="center" vertical="center"/>
    </xf>
    <xf numFmtId="177" fontId="5" fillId="3" borderId="0" xfId="1" applyNumberFormat="1" applyFont="1" applyFill="1" applyBorder="1" applyAlignment="1">
      <alignment horizontal="center" vertical="center"/>
    </xf>
    <xf numFmtId="176" fontId="5" fillId="3" borderId="0" xfId="1" applyNumberFormat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 applyAlignment="1">
      <alignment horizontal="right" vertical="center"/>
    </xf>
    <xf numFmtId="0" fontId="5" fillId="3" borderId="8" xfId="1" applyFont="1" applyFill="1" applyBorder="1" applyAlignment="1">
      <alignment vertical="center"/>
    </xf>
    <xf numFmtId="177" fontId="7" fillId="3" borderId="0" xfId="1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5" fillId="3" borderId="0" xfId="1" applyFont="1" applyFill="1" applyAlignment="1">
      <alignment vertical="center" wrapText="1"/>
    </xf>
    <xf numFmtId="0" fontId="5" fillId="3" borderId="0" xfId="1" applyFont="1" applyFill="1" applyAlignment="1">
      <alignment horizontal="center" vertical="center" wrapText="1"/>
    </xf>
    <xf numFmtId="177" fontId="13" fillId="4" borderId="7" xfId="3" applyNumberFormat="1" applyFont="1" applyFill="1" applyBorder="1" applyAlignment="1">
      <alignment horizontal="center" vertical="center"/>
    </xf>
    <xf numFmtId="177" fontId="13" fillId="4" borderId="8" xfId="3" applyNumberFormat="1" applyFont="1" applyFill="1" applyBorder="1" applyAlignment="1">
      <alignment horizontal="center" vertical="center"/>
    </xf>
    <xf numFmtId="41" fontId="13" fillId="4" borderId="8" xfId="3" applyNumberFormat="1" applyFont="1" applyFill="1" applyBorder="1" applyAlignment="1">
      <alignment horizontal="right" vertical="center"/>
    </xf>
    <xf numFmtId="41" fontId="13" fillId="4" borderId="9" xfId="3" applyNumberFormat="1" applyFont="1" applyFill="1" applyBorder="1" applyAlignment="1">
      <alignment horizontal="right" vertical="center"/>
    </xf>
    <xf numFmtId="41" fontId="13" fillId="0" borderId="0" xfId="3" applyFont="1" applyFill="1" applyAlignment="1">
      <alignment horizontal="center" vertical="center"/>
    </xf>
    <xf numFmtId="177" fontId="14" fillId="3" borderId="43" xfId="3" applyNumberFormat="1" applyFont="1" applyFill="1" applyBorder="1" applyAlignment="1">
      <alignment horizontal="center" vertical="center"/>
    </xf>
    <xf numFmtId="177" fontId="14" fillId="3" borderId="25" xfId="3" applyNumberFormat="1" applyFont="1" applyFill="1" applyBorder="1" applyAlignment="1">
      <alignment horizontal="center" vertical="center"/>
    </xf>
    <xf numFmtId="177" fontId="14" fillId="3" borderId="4" xfId="3" applyNumberFormat="1" applyFont="1" applyFill="1" applyBorder="1" applyAlignment="1">
      <alignment horizontal="center" vertical="center"/>
    </xf>
    <xf numFmtId="177" fontId="13" fillId="3" borderId="8" xfId="2" applyNumberFormat="1" applyFont="1" applyFill="1" applyBorder="1" applyAlignment="1" applyProtection="1">
      <alignment horizontal="center" vertical="center"/>
      <protection locked="0"/>
    </xf>
    <xf numFmtId="41" fontId="13" fillId="3" borderId="8" xfId="3" applyNumberFormat="1" applyFont="1" applyFill="1" applyBorder="1" applyAlignment="1">
      <alignment horizontal="center" vertical="center"/>
    </xf>
    <xf numFmtId="180" fontId="13" fillId="3" borderId="8" xfId="3" applyNumberFormat="1" applyFont="1" applyFill="1" applyBorder="1" applyAlignment="1">
      <alignment horizontal="right" vertical="center"/>
    </xf>
    <xf numFmtId="41" fontId="13" fillId="3" borderId="9" xfId="3" applyNumberFormat="1" applyFont="1" applyFill="1" applyBorder="1" applyAlignment="1">
      <alignment horizontal="center" vertical="center"/>
    </xf>
    <xf numFmtId="41" fontId="13" fillId="5" borderId="8" xfId="3" applyNumberFormat="1" applyFont="1" applyFill="1" applyBorder="1" applyAlignment="1">
      <alignment horizontal="right" vertical="center"/>
    </xf>
    <xf numFmtId="41" fontId="13" fillId="5" borderId="9" xfId="3" applyNumberFormat="1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/>
    </xf>
    <xf numFmtId="41" fontId="13" fillId="2" borderId="18" xfId="3" applyFont="1" applyFill="1" applyBorder="1" applyAlignment="1">
      <alignment horizontal="center" vertical="center"/>
    </xf>
    <xf numFmtId="181" fontId="15" fillId="2" borderId="18" xfId="0" applyNumberFormat="1" applyFont="1" applyFill="1" applyBorder="1" applyAlignment="1">
      <alignment horizontal="center" vertical="center" wrapText="1" shrinkToFit="1"/>
    </xf>
    <xf numFmtId="179" fontId="15" fillId="3" borderId="12" xfId="1" applyNumberFormat="1" applyFont="1" applyFill="1" applyBorder="1" applyAlignment="1">
      <alignment vertical="center"/>
    </xf>
    <xf numFmtId="182" fontId="15" fillId="3" borderId="12" xfId="1" applyNumberFormat="1" applyFont="1" applyFill="1" applyBorder="1" applyAlignment="1">
      <alignment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41" fontId="13" fillId="3" borderId="11" xfId="3" applyNumberFormat="1" applyFont="1" applyFill="1" applyBorder="1" applyAlignment="1">
      <alignment horizontal="center" vertical="center"/>
    </xf>
    <xf numFmtId="180" fontId="13" fillId="3" borderId="11" xfId="3" applyNumberFormat="1" applyFont="1" applyFill="1" applyBorder="1" applyAlignment="1">
      <alignment horizontal="right" vertical="center"/>
    </xf>
    <xf numFmtId="41" fontId="13" fillId="3" borderId="13" xfId="3" applyNumberFormat="1" applyFont="1" applyFill="1" applyBorder="1" applyAlignment="1">
      <alignment horizontal="center" vertical="center"/>
    </xf>
    <xf numFmtId="181" fontId="15" fillId="2" borderId="18" xfId="1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0" fontId="15" fillId="3" borderId="24" xfId="0" applyFont="1" applyFill="1" applyBorder="1">
      <alignment vertical="center"/>
    </xf>
    <xf numFmtId="0" fontId="15" fillId="2" borderId="3" xfId="1" applyFont="1" applyFill="1" applyBorder="1" applyAlignment="1">
      <alignment horizontal="center" vertical="center"/>
    </xf>
    <xf numFmtId="176" fontId="15" fillId="3" borderId="6" xfId="1" applyNumberFormat="1" applyFont="1" applyFill="1" applyBorder="1" applyAlignment="1">
      <alignment vertical="center"/>
    </xf>
    <xf numFmtId="176" fontId="15" fillId="3" borderId="9" xfId="1" applyNumberFormat="1" applyFont="1" applyFill="1" applyBorder="1" applyAlignment="1">
      <alignment vertical="center"/>
    </xf>
    <xf numFmtId="176" fontId="15" fillId="3" borderId="13" xfId="1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5" fillId="3" borderId="0" xfId="1" applyFont="1" applyFill="1" applyAlignment="1">
      <alignment vertical="center"/>
    </xf>
    <xf numFmtId="0" fontId="15" fillId="3" borderId="0" xfId="1" applyFont="1" applyFill="1" applyBorder="1" applyAlignment="1">
      <alignment horizontal="center" vertical="center"/>
    </xf>
    <xf numFmtId="176" fontId="15" fillId="3" borderId="0" xfId="1" applyNumberFormat="1" applyFont="1" applyFill="1" applyBorder="1" applyAlignment="1">
      <alignment horizontal="center" vertical="center"/>
    </xf>
    <xf numFmtId="177" fontId="15" fillId="3" borderId="0" xfId="1" applyNumberFormat="1" applyFont="1" applyFill="1" applyBorder="1" applyAlignment="1">
      <alignment horizontal="center" vertical="center"/>
    </xf>
    <xf numFmtId="0" fontId="18" fillId="3" borderId="0" xfId="1" applyFont="1" applyFill="1" applyAlignment="1">
      <alignment vertical="center"/>
    </xf>
    <xf numFmtId="0" fontId="15" fillId="2" borderId="18" xfId="1" applyFont="1" applyFill="1" applyBorder="1" applyAlignment="1">
      <alignment horizontal="center" vertical="center"/>
    </xf>
    <xf numFmtId="178" fontId="17" fillId="3" borderId="21" xfId="0" applyNumberFormat="1" applyFont="1" applyFill="1" applyBorder="1" applyAlignment="1">
      <alignment horizontal="center" vertical="center" wrapText="1"/>
    </xf>
    <xf numFmtId="179" fontId="17" fillId="3" borderId="21" xfId="0" applyNumberFormat="1" applyFont="1" applyFill="1" applyBorder="1" applyAlignment="1">
      <alignment horizontal="right" vertical="center" wrapText="1"/>
    </xf>
    <xf numFmtId="178" fontId="17" fillId="3" borderId="8" xfId="0" applyNumberFormat="1" applyFont="1" applyFill="1" applyBorder="1" applyAlignment="1">
      <alignment horizontal="center" vertical="center" wrapText="1"/>
    </xf>
    <xf numFmtId="179" fontId="17" fillId="3" borderId="8" xfId="0" applyNumberFormat="1" applyFont="1" applyFill="1" applyBorder="1" applyAlignment="1">
      <alignment horizontal="right" vertical="center" wrapText="1"/>
    </xf>
    <xf numFmtId="178" fontId="17" fillId="3" borderId="11" xfId="0" applyNumberFormat="1" applyFont="1" applyFill="1" applyBorder="1" applyAlignment="1">
      <alignment horizontal="center" vertical="center" wrapText="1"/>
    </xf>
    <xf numFmtId="179" fontId="17" fillId="3" borderId="11" xfId="0" applyNumberFormat="1" applyFont="1" applyFill="1" applyBorder="1" applyAlignment="1">
      <alignment horizontal="right" vertical="center" wrapText="1"/>
    </xf>
    <xf numFmtId="178" fontId="17" fillId="3" borderId="4" xfId="0" applyNumberFormat="1" applyFont="1" applyFill="1" applyBorder="1" applyAlignment="1">
      <alignment horizontal="center" vertical="center" wrapText="1"/>
    </xf>
    <xf numFmtId="179" fontId="17" fillId="3" borderId="5" xfId="0" applyNumberFormat="1" applyFont="1" applyFill="1" applyBorder="1" applyAlignment="1">
      <alignment horizontal="right" vertical="center" wrapText="1"/>
    </xf>
    <xf numFmtId="178" fontId="17" fillId="3" borderId="5" xfId="0" applyNumberFormat="1" applyFont="1" applyFill="1" applyBorder="1" applyAlignment="1">
      <alignment horizontal="center" vertical="center" wrapText="1"/>
    </xf>
    <xf numFmtId="178" fontId="17" fillId="3" borderId="7" xfId="0" applyNumberFormat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21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179" fontId="17" fillId="3" borderId="13" xfId="0" applyNumberFormat="1" applyFont="1" applyFill="1" applyBorder="1" applyAlignment="1">
      <alignment horizontal="right" vertical="center" wrapText="1"/>
    </xf>
    <xf numFmtId="0" fontId="17" fillId="2" borderId="18" xfId="1" applyFont="1" applyFill="1" applyBorder="1" applyAlignment="1">
      <alignment horizontal="center" vertical="center" wrapText="1"/>
    </xf>
    <xf numFmtId="180" fontId="17" fillId="3" borderId="5" xfId="1" applyNumberFormat="1" applyFont="1" applyFill="1" applyBorder="1" applyAlignment="1">
      <alignment horizontal="center" vertical="center" wrapText="1"/>
    </xf>
    <xf numFmtId="180" fontId="17" fillId="3" borderId="6" xfId="0" applyNumberFormat="1" applyFont="1" applyFill="1" applyBorder="1" applyAlignment="1">
      <alignment horizontal="center" vertical="center" wrapText="1"/>
    </xf>
    <xf numFmtId="180" fontId="17" fillId="3" borderId="8" xfId="1" applyNumberFormat="1" applyFont="1" applyFill="1" applyBorder="1" applyAlignment="1">
      <alignment horizontal="center" vertical="center" wrapText="1"/>
    </xf>
    <xf numFmtId="180" fontId="17" fillId="3" borderId="9" xfId="0" applyNumberFormat="1" applyFont="1" applyFill="1" applyBorder="1" applyAlignment="1">
      <alignment horizontal="center" vertical="center" wrapText="1"/>
    </xf>
    <xf numFmtId="180" fontId="17" fillId="3" borderId="11" xfId="1" applyNumberFormat="1" applyFont="1" applyFill="1" applyBorder="1" applyAlignment="1">
      <alignment horizontal="center" vertical="center" wrapText="1"/>
    </xf>
    <xf numFmtId="180" fontId="17" fillId="3" borderId="13" xfId="0" applyNumberFormat="1" applyFont="1" applyFill="1" applyBorder="1" applyAlignment="1">
      <alignment horizontal="center" vertical="center" wrapText="1"/>
    </xf>
    <xf numFmtId="177" fontId="14" fillId="3" borderId="23" xfId="3" applyNumberFormat="1" applyFont="1" applyFill="1" applyBorder="1" applyAlignment="1">
      <alignment horizontal="center" vertical="center"/>
    </xf>
    <xf numFmtId="177" fontId="13" fillId="3" borderId="11" xfId="2" applyNumberFormat="1" applyFont="1" applyFill="1" applyBorder="1" applyAlignment="1" applyProtection="1">
      <alignment horizontal="center" vertical="center"/>
      <protection locked="0"/>
    </xf>
    <xf numFmtId="0" fontId="15" fillId="2" borderId="1" xfId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77" fontId="13" fillId="3" borderId="41" xfId="2" applyNumberFormat="1" applyFont="1" applyFill="1" applyBorder="1" applyAlignment="1" applyProtection="1">
      <alignment horizontal="center" vertical="center"/>
      <protection locked="0"/>
    </xf>
    <xf numFmtId="41" fontId="13" fillId="3" borderId="41" xfId="3" applyNumberFormat="1" applyFont="1" applyFill="1" applyBorder="1" applyAlignment="1">
      <alignment horizontal="center" vertical="center"/>
    </xf>
    <xf numFmtId="180" fontId="13" fillId="3" borderId="41" xfId="3" applyNumberFormat="1" applyFont="1" applyFill="1" applyBorder="1" applyAlignment="1">
      <alignment horizontal="right" vertical="center"/>
    </xf>
    <xf numFmtId="41" fontId="13" fillId="3" borderId="42" xfId="3" applyNumberFormat="1" applyFont="1" applyFill="1" applyBorder="1" applyAlignment="1">
      <alignment horizontal="center" vertical="center"/>
    </xf>
    <xf numFmtId="177" fontId="13" fillId="4" borderId="4" xfId="3" applyNumberFormat="1" applyFont="1" applyFill="1" applyBorder="1" applyAlignment="1">
      <alignment horizontal="center" vertical="center"/>
    </xf>
    <xf numFmtId="41" fontId="13" fillId="4" borderId="5" xfId="3" applyNumberFormat="1" applyFont="1" applyFill="1" applyBorder="1" applyAlignment="1">
      <alignment horizontal="right" vertical="center"/>
    </xf>
    <xf numFmtId="41" fontId="13" fillId="4" borderId="6" xfId="3" applyNumberFormat="1" applyFont="1" applyFill="1" applyBorder="1" applyAlignment="1">
      <alignment horizontal="right" vertical="center"/>
    </xf>
    <xf numFmtId="179" fontId="15" fillId="3" borderId="8" xfId="1" applyNumberFormat="1" applyFont="1" applyFill="1" applyBorder="1" applyAlignment="1">
      <alignment vertical="center"/>
    </xf>
    <xf numFmtId="0" fontId="15" fillId="3" borderId="9" xfId="0" applyFont="1" applyFill="1" applyBorder="1">
      <alignment vertical="center"/>
    </xf>
    <xf numFmtId="179" fontId="15" fillId="3" borderId="11" xfId="1" applyNumberFormat="1" applyFont="1" applyFill="1" applyBorder="1" applyAlignment="1">
      <alignment vertical="center"/>
    </xf>
    <xf numFmtId="0" fontId="15" fillId="3" borderId="13" xfId="0" applyFont="1" applyFill="1" applyBorder="1">
      <alignment vertical="center"/>
    </xf>
    <xf numFmtId="179" fontId="15" fillId="3" borderId="5" xfId="1" applyNumberFormat="1" applyFont="1" applyFill="1" applyBorder="1" applyAlignment="1">
      <alignment vertical="center"/>
    </xf>
    <xf numFmtId="0" fontId="15" fillId="3" borderId="6" xfId="0" applyFont="1" applyFill="1" applyBorder="1">
      <alignment vertical="center"/>
    </xf>
    <xf numFmtId="0" fontId="15" fillId="3" borderId="13" xfId="0" applyFont="1" applyFill="1" applyBorder="1" applyAlignment="1">
      <alignment horizontal="center" vertical="center"/>
    </xf>
    <xf numFmtId="183" fontId="13" fillId="0" borderId="6" xfId="2" applyNumberFormat="1" applyFont="1" applyBorder="1" applyAlignment="1" applyProtection="1">
      <alignment vertical="center"/>
      <protection locked="0"/>
    </xf>
    <xf numFmtId="183" fontId="13" fillId="0" borderId="9" xfId="2" applyNumberFormat="1" applyFont="1" applyBorder="1" applyAlignment="1" applyProtection="1">
      <alignment vertical="center"/>
      <protection locked="0"/>
    </xf>
    <xf numFmtId="183" fontId="13" fillId="0" borderId="13" xfId="2" applyNumberFormat="1" applyFont="1" applyBorder="1" applyAlignment="1" applyProtection="1">
      <alignment vertical="center"/>
      <protection locked="0"/>
    </xf>
    <xf numFmtId="184" fontId="15" fillId="3" borderId="8" xfId="1" applyNumberFormat="1" applyFont="1" applyFill="1" applyBorder="1" applyAlignment="1">
      <alignment vertical="center"/>
    </xf>
    <xf numFmtId="178" fontId="17" fillId="3" borderId="0" xfId="0" applyNumberFormat="1" applyFont="1" applyFill="1" applyBorder="1" applyAlignment="1">
      <alignment horizontal="center" vertical="center" wrapText="1"/>
    </xf>
    <xf numFmtId="184" fontId="15" fillId="3" borderId="0" xfId="1" applyNumberFormat="1" applyFont="1" applyFill="1" applyBorder="1" applyAlignment="1">
      <alignment vertical="center"/>
    </xf>
    <xf numFmtId="184" fontId="15" fillId="3" borderId="0" xfId="1" applyNumberFormat="1" applyFont="1" applyFill="1" applyBorder="1" applyAlignment="1">
      <alignment vertical="center" wrapText="1"/>
    </xf>
    <xf numFmtId="184" fontId="13" fillId="0" borderId="0" xfId="2" applyNumberFormat="1" applyFont="1" applyBorder="1" applyAlignment="1" applyProtection="1">
      <alignment horizontal="center" vertical="center"/>
      <protection locked="0"/>
    </xf>
    <xf numFmtId="184" fontId="13" fillId="0" borderId="0" xfId="2" applyNumberFormat="1" applyFont="1" applyBorder="1" applyAlignment="1" applyProtection="1">
      <alignment vertical="center"/>
      <protection locked="0"/>
    </xf>
    <xf numFmtId="183" fontId="13" fillId="0" borderId="0" xfId="2" applyNumberFormat="1" applyFont="1" applyBorder="1" applyAlignment="1" applyProtection="1">
      <alignment vertical="center"/>
      <protection locked="0"/>
    </xf>
    <xf numFmtId="184" fontId="15" fillId="3" borderId="5" xfId="1" applyNumberFormat="1" applyFont="1" applyFill="1" applyBorder="1" applyAlignment="1">
      <alignment horizontal="right" vertical="center"/>
    </xf>
    <xf numFmtId="184" fontId="15" fillId="3" borderId="8" xfId="1" applyNumberFormat="1" applyFont="1" applyFill="1" applyBorder="1" applyAlignment="1">
      <alignment horizontal="right" vertical="center"/>
    </xf>
    <xf numFmtId="184" fontId="15" fillId="3" borderId="11" xfId="1" applyNumberFormat="1" applyFont="1" applyFill="1" applyBorder="1" applyAlignment="1">
      <alignment horizontal="right" vertical="center"/>
    </xf>
    <xf numFmtId="184" fontId="15" fillId="3" borderId="9" xfId="1" applyNumberFormat="1" applyFont="1" applyFill="1" applyBorder="1" applyAlignment="1">
      <alignment horizontal="right" vertical="center"/>
    </xf>
    <xf numFmtId="184" fontId="15" fillId="3" borderId="13" xfId="1" applyNumberFormat="1" applyFont="1" applyFill="1" applyBorder="1" applyAlignment="1">
      <alignment horizontal="right" vertical="center"/>
    </xf>
    <xf numFmtId="184" fontId="15" fillId="3" borderId="8" xfId="0" applyNumberFormat="1" applyFont="1" applyFill="1" applyBorder="1">
      <alignment vertical="center"/>
    </xf>
    <xf numFmtId="183" fontId="13" fillId="0" borderId="24" xfId="2" applyNumberFormat="1" applyFont="1" applyBorder="1" applyAlignment="1" applyProtection="1">
      <alignment vertical="center"/>
      <protection locked="0"/>
    </xf>
    <xf numFmtId="179" fontId="15" fillId="3" borderId="8" xfId="0" applyNumberFormat="1" applyFont="1" applyFill="1" applyBorder="1">
      <alignment vertical="center"/>
    </xf>
    <xf numFmtId="179" fontId="15" fillId="3" borderId="11" xfId="0" applyNumberFormat="1" applyFont="1" applyFill="1" applyBorder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179" fontId="15" fillId="3" borderId="9" xfId="0" applyNumberFormat="1" applyFont="1" applyFill="1" applyBorder="1">
      <alignment vertical="center"/>
    </xf>
    <xf numFmtId="179" fontId="15" fillId="3" borderId="13" xfId="0" applyNumberFormat="1" applyFont="1" applyFill="1" applyBorder="1">
      <alignment vertical="center"/>
    </xf>
    <xf numFmtId="184" fontId="15" fillId="3" borderId="9" xfId="0" applyNumberFormat="1" applyFont="1" applyFill="1" applyBorder="1">
      <alignment vertical="center"/>
    </xf>
    <xf numFmtId="179" fontId="15" fillId="3" borderId="21" xfId="1" applyNumberFormat="1" applyFont="1" applyFill="1" applyBorder="1" applyAlignment="1">
      <alignment vertical="center"/>
    </xf>
    <xf numFmtId="0" fontId="15" fillId="3" borderId="22" xfId="0" applyFont="1" applyFill="1" applyBorder="1">
      <alignment vertical="center"/>
    </xf>
    <xf numFmtId="181" fontId="15" fillId="3" borderId="8" xfId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79" fontId="15" fillId="3" borderId="8" xfId="1" applyNumberFormat="1" applyFont="1" applyFill="1" applyBorder="1" applyAlignment="1">
      <alignment vertical="center"/>
    </xf>
    <xf numFmtId="179" fontId="15" fillId="3" borderId="11" xfId="1" applyNumberFormat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 vertical="center"/>
    </xf>
    <xf numFmtId="181" fontId="15" fillId="3" borderId="8" xfId="1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79" fontId="15" fillId="3" borderId="8" xfId="1" applyNumberFormat="1" applyFont="1" applyFill="1" applyBorder="1" applyAlignment="1">
      <alignment vertical="center"/>
    </xf>
    <xf numFmtId="179" fontId="15" fillId="3" borderId="11" xfId="1" applyNumberFormat="1" applyFont="1" applyFill="1" applyBorder="1" applyAlignment="1">
      <alignment vertical="center"/>
    </xf>
    <xf numFmtId="184" fontId="15" fillId="3" borderId="0" xfId="1" applyNumberFormat="1" applyFont="1" applyFill="1" applyBorder="1" applyAlignment="1">
      <alignment horizontal="right" vertical="center"/>
    </xf>
    <xf numFmtId="178" fontId="17" fillId="3" borderId="10" xfId="0" applyNumberFormat="1" applyFont="1" applyFill="1" applyBorder="1" applyAlignment="1">
      <alignment horizontal="center" vertical="center" wrapText="1"/>
    </xf>
    <xf numFmtId="184" fontId="15" fillId="3" borderId="0" xfId="0" applyNumberFormat="1" applyFont="1" applyFill="1" applyBorder="1">
      <alignment vertical="center"/>
    </xf>
    <xf numFmtId="179" fontId="15" fillId="3" borderId="0" xfId="0" applyNumberFormat="1" applyFont="1" applyFill="1" applyBorder="1">
      <alignment vertical="center"/>
    </xf>
    <xf numFmtId="179" fontId="17" fillId="3" borderId="4" xfId="1" applyNumberFormat="1" applyFont="1" applyFill="1" applyBorder="1" applyAlignment="1">
      <alignment horizontal="center" vertical="center" wrapText="1"/>
    </xf>
    <xf numFmtId="179" fontId="17" fillId="3" borderId="7" xfId="1" applyNumberFormat="1" applyFont="1" applyFill="1" applyBorder="1" applyAlignment="1">
      <alignment horizontal="center" vertical="center" wrapText="1"/>
    </xf>
    <xf numFmtId="179" fontId="17" fillId="3" borderId="10" xfId="1" applyNumberFormat="1" applyFont="1" applyFill="1" applyBorder="1" applyAlignment="1">
      <alignment horizontal="center" vertical="center" wrapText="1"/>
    </xf>
    <xf numFmtId="177" fontId="13" fillId="4" borderId="20" xfId="3" applyNumberFormat="1" applyFont="1" applyFill="1" applyBorder="1" applyAlignment="1">
      <alignment horizontal="center" vertical="center"/>
    </xf>
    <xf numFmtId="177" fontId="13" fillId="4" borderId="21" xfId="3" applyNumberFormat="1" applyFont="1" applyFill="1" applyBorder="1" applyAlignment="1">
      <alignment horizontal="center" vertical="center"/>
    </xf>
    <xf numFmtId="41" fontId="13" fillId="4" borderId="21" xfId="3" applyNumberFormat="1" applyFont="1" applyFill="1" applyBorder="1" applyAlignment="1">
      <alignment horizontal="right" vertical="center"/>
    </xf>
    <xf numFmtId="41" fontId="13" fillId="4" borderId="22" xfId="3" applyNumberFormat="1" applyFont="1" applyFill="1" applyBorder="1" applyAlignment="1">
      <alignment horizontal="right" vertical="center"/>
    </xf>
    <xf numFmtId="184" fontId="15" fillId="3" borderId="8" xfId="1" applyNumberFormat="1" applyFont="1" applyFill="1" applyBorder="1" applyAlignment="1">
      <alignment vertical="center" wrapText="1"/>
    </xf>
    <xf numFmtId="184" fontId="15" fillId="3" borderId="11" xfId="1" applyNumberFormat="1" applyFont="1" applyFill="1" applyBorder="1" applyAlignment="1">
      <alignment vertical="center" wrapText="1"/>
    </xf>
    <xf numFmtId="184" fontId="15" fillId="3" borderId="11" xfId="1" applyNumberFormat="1" applyFont="1" applyFill="1" applyBorder="1" applyAlignment="1">
      <alignment vertical="center"/>
    </xf>
    <xf numFmtId="0" fontId="15" fillId="3" borderId="24" xfId="1" applyFont="1" applyFill="1" applyBorder="1" applyAlignment="1">
      <alignment vertical="center"/>
    </xf>
    <xf numFmtId="179" fontId="15" fillId="3" borderId="0" xfId="1" applyNumberFormat="1" applyFont="1" applyFill="1" applyBorder="1" applyAlignment="1">
      <alignment horizontal="right" vertical="center" wrapText="1"/>
    </xf>
    <xf numFmtId="179" fontId="15" fillId="3" borderId="0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181" fontId="15" fillId="3" borderId="12" xfId="1" applyNumberFormat="1" applyFont="1" applyFill="1" applyBorder="1" applyAlignment="1">
      <alignment horizontal="center" vertical="center"/>
    </xf>
    <xf numFmtId="181" fontId="15" fillId="2" borderId="18" xfId="1" applyNumberFormat="1" applyFont="1" applyFill="1" applyBorder="1" applyAlignment="1">
      <alignment horizontal="center" vertical="center"/>
    </xf>
    <xf numFmtId="179" fontId="15" fillId="3" borderId="12" xfId="1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179" fontId="15" fillId="3" borderId="12" xfId="1" applyNumberFormat="1" applyFont="1" applyFill="1" applyBorder="1" applyAlignment="1">
      <alignment vertical="center"/>
    </xf>
    <xf numFmtId="179" fontId="15" fillId="3" borderId="8" xfId="1" applyNumberFormat="1" applyFont="1" applyFill="1" applyBorder="1" applyAlignment="1">
      <alignment vertical="center"/>
    </xf>
    <xf numFmtId="179" fontId="15" fillId="3" borderId="11" xfId="1" applyNumberFormat="1" applyFont="1" applyFill="1" applyBorder="1" applyAlignment="1">
      <alignment vertical="center"/>
    </xf>
    <xf numFmtId="41" fontId="13" fillId="3" borderId="24" xfId="3" applyNumberFormat="1" applyFont="1" applyFill="1" applyBorder="1" applyAlignment="1">
      <alignment horizontal="right" vertical="center"/>
    </xf>
    <xf numFmtId="179" fontId="15" fillId="3" borderId="12" xfId="0" applyNumberFormat="1" applyFont="1" applyFill="1" applyBorder="1">
      <alignment vertical="center"/>
    </xf>
    <xf numFmtId="181" fontId="15" fillId="2" borderId="18" xfId="0" applyNumberFormat="1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vertical="center"/>
    </xf>
    <xf numFmtId="0" fontId="0" fillId="3" borderId="9" xfId="0" applyFill="1" applyBorder="1">
      <alignment vertical="center"/>
    </xf>
    <xf numFmtId="0" fontId="0" fillId="3" borderId="13" xfId="0" applyFill="1" applyBorder="1">
      <alignment vertical="center"/>
    </xf>
    <xf numFmtId="41" fontId="13" fillId="3" borderId="5" xfId="3" applyNumberFormat="1" applyFont="1" applyFill="1" applyBorder="1" applyAlignment="1">
      <alignment horizontal="right" vertical="center"/>
    </xf>
    <xf numFmtId="0" fontId="0" fillId="3" borderId="6" xfId="0" applyFill="1" applyBorder="1">
      <alignment vertical="center"/>
    </xf>
    <xf numFmtId="0" fontId="15" fillId="3" borderId="6" xfId="0" applyFont="1" applyFill="1" applyBorder="1" applyAlignment="1">
      <alignment vertical="center"/>
    </xf>
    <xf numFmtId="0" fontId="15" fillId="3" borderId="9" xfId="0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 wrapText="1"/>
    </xf>
    <xf numFmtId="179" fontId="15" fillId="3" borderId="12" xfId="1" applyNumberFormat="1" applyFont="1" applyFill="1" applyBorder="1" applyAlignment="1">
      <alignment horizontal="center" vertical="center"/>
    </xf>
    <xf numFmtId="179" fontId="15" fillId="3" borderId="0" xfId="1" applyNumberFormat="1" applyFont="1" applyFill="1" applyBorder="1" applyAlignment="1">
      <alignment vertical="center"/>
    </xf>
    <xf numFmtId="179" fontId="15" fillId="3" borderId="0" xfId="1" applyNumberFormat="1" applyFont="1" applyFill="1" applyBorder="1" applyAlignment="1">
      <alignment horizontal="center" vertical="center"/>
    </xf>
    <xf numFmtId="179" fontId="15" fillId="3" borderId="0" xfId="1" applyNumberFormat="1" applyFont="1" applyFill="1" applyBorder="1" applyAlignment="1">
      <alignment horizontal="right" vertical="center"/>
    </xf>
    <xf numFmtId="184" fontId="15" fillId="3" borderId="24" xfId="1" applyNumberFormat="1" applyFont="1" applyFill="1" applyBorder="1" applyAlignment="1">
      <alignment vertical="center"/>
    </xf>
    <xf numFmtId="179" fontId="15" fillId="3" borderId="23" xfId="1" applyNumberFormat="1" applyFont="1" applyFill="1" applyBorder="1" applyAlignment="1">
      <alignment horizontal="center" vertical="center" wrapText="1"/>
    </xf>
    <xf numFmtId="41" fontId="13" fillId="4" borderId="61" xfId="3" applyNumberFormat="1" applyFont="1" applyFill="1" applyBorder="1" applyAlignment="1">
      <alignment horizontal="right" vertical="center"/>
    </xf>
    <xf numFmtId="41" fontId="13" fillId="3" borderId="61" xfId="3" applyNumberFormat="1" applyFont="1" applyFill="1" applyBorder="1" applyAlignment="1">
      <alignment horizontal="center" vertical="center"/>
    </xf>
    <xf numFmtId="41" fontId="13" fillId="3" borderId="59" xfId="3" applyNumberFormat="1" applyFont="1" applyFill="1" applyBorder="1" applyAlignment="1">
      <alignment horizontal="center" vertical="center"/>
    </xf>
    <xf numFmtId="0" fontId="15" fillId="3" borderId="9" xfId="0" applyFont="1" applyFill="1" applyBorder="1">
      <alignment vertical="center"/>
    </xf>
    <xf numFmtId="179" fontId="15" fillId="3" borderId="8" xfId="1" applyNumberFormat="1" applyFont="1" applyFill="1" applyBorder="1" applyAlignment="1">
      <alignment vertical="center"/>
    </xf>
    <xf numFmtId="0" fontId="15" fillId="3" borderId="8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41" fontId="13" fillId="2" borderId="18" xfId="3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 wrapText="1"/>
    </xf>
    <xf numFmtId="179" fontId="15" fillId="3" borderId="12" xfId="1" applyNumberFormat="1" applyFont="1" applyFill="1" applyBorder="1" applyAlignment="1">
      <alignment vertical="center"/>
    </xf>
    <xf numFmtId="177" fontId="13" fillId="3" borderId="8" xfId="2" applyNumberFormat="1" applyFont="1" applyFill="1" applyBorder="1" applyAlignment="1" applyProtection="1">
      <alignment horizontal="center" vertical="center"/>
      <protection locked="0"/>
    </xf>
    <xf numFmtId="177" fontId="13" fillId="3" borderId="11" xfId="2" applyNumberFormat="1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5" fillId="3" borderId="9" xfId="0" applyFont="1" applyFill="1" applyBorder="1">
      <alignment vertical="center"/>
    </xf>
    <xf numFmtId="179" fontId="15" fillId="3" borderId="8" xfId="1" applyNumberFormat="1" applyFont="1" applyFill="1" applyBorder="1" applyAlignment="1">
      <alignment vertical="center" wrapText="1"/>
    </xf>
    <xf numFmtId="179" fontId="15" fillId="3" borderId="9" xfId="1" applyNumberFormat="1" applyFont="1" applyFill="1" applyBorder="1" applyAlignment="1">
      <alignment vertical="center" wrapText="1"/>
    </xf>
    <xf numFmtId="0" fontId="15" fillId="2" borderId="18" xfId="1" applyFont="1" applyFill="1" applyBorder="1" applyAlignment="1">
      <alignment horizontal="center" vertical="center" wrapText="1"/>
    </xf>
    <xf numFmtId="179" fontId="15" fillId="3" borderId="11" xfId="1" applyNumberFormat="1" applyFont="1" applyFill="1" applyBorder="1" applyAlignment="1">
      <alignment vertical="center" wrapText="1"/>
    </xf>
    <xf numFmtId="179" fontId="15" fillId="3" borderId="13" xfId="1" applyNumberFormat="1" applyFont="1" applyFill="1" applyBorder="1" applyAlignment="1">
      <alignment vertical="center" wrapText="1"/>
    </xf>
    <xf numFmtId="179" fontId="15" fillId="3" borderId="11" xfId="1" applyNumberFormat="1" applyFont="1" applyFill="1" applyBorder="1" applyAlignment="1">
      <alignment horizontal="center" vertical="center" wrapText="1"/>
    </xf>
    <xf numFmtId="179" fontId="15" fillId="3" borderId="5" xfId="1" applyNumberFormat="1" applyFont="1" applyFill="1" applyBorder="1" applyAlignment="1">
      <alignment horizontal="center" vertical="center" wrapText="1"/>
    </xf>
    <xf numFmtId="177" fontId="13" fillId="4" borderId="8" xfId="3" applyNumberFormat="1" applyFont="1" applyFill="1" applyBorder="1" applyAlignment="1">
      <alignment horizontal="center" vertical="center"/>
    </xf>
    <xf numFmtId="179" fontId="15" fillId="3" borderId="11" xfId="1" applyNumberFormat="1" applyFont="1" applyFill="1" applyBorder="1" applyAlignment="1">
      <alignment vertical="center"/>
    </xf>
    <xf numFmtId="179" fontId="15" fillId="3" borderId="8" xfId="1" applyNumberFormat="1" applyFont="1" applyFill="1" applyBorder="1" applyAlignment="1">
      <alignment vertical="center"/>
    </xf>
    <xf numFmtId="184" fontId="15" fillId="3" borderId="8" xfId="1" applyNumberFormat="1" applyFont="1" applyFill="1" applyBorder="1" applyAlignment="1">
      <alignment horizontal="center" vertical="center" wrapText="1"/>
    </xf>
    <xf numFmtId="179" fontId="15" fillId="3" borderId="8" xfId="1" applyNumberFormat="1" applyFont="1" applyFill="1" applyBorder="1" applyAlignment="1">
      <alignment horizontal="center" vertical="center" wrapText="1"/>
    </xf>
    <xf numFmtId="179" fontId="15" fillId="3" borderId="6" xfId="1" applyNumberFormat="1" applyFont="1" applyFill="1" applyBorder="1" applyAlignment="1">
      <alignment horizontal="center" vertical="center" wrapText="1"/>
    </xf>
    <xf numFmtId="183" fontId="15" fillId="3" borderId="5" xfId="1" applyNumberFormat="1" applyFont="1" applyFill="1" applyBorder="1" applyAlignment="1">
      <alignment horizontal="center" vertical="center" wrapText="1"/>
    </xf>
    <xf numFmtId="179" fontId="15" fillId="3" borderId="5" xfId="1" applyNumberFormat="1" applyFont="1" applyFill="1" applyBorder="1" applyAlignment="1">
      <alignment horizontal="center" vertical="center"/>
    </xf>
    <xf numFmtId="179" fontId="15" fillId="3" borderId="8" xfId="1" applyNumberFormat="1" applyFont="1" applyFill="1" applyBorder="1" applyAlignment="1">
      <alignment horizontal="center" vertical="center"/>
    </xf>
    <xf numFmtId="183" fontId="15" fillId="3" borderId="8" xfId="1" applyNumberFormat="1" applyFont="1" applyFill="1" applyBorder="1" applyAlignment="1">
      <alignment horizontal="center" vertical="center" wrapText="1"/>
    </xf>
    <xf numFmtId="179" fontId="15" fillId="3" borderId="9" xfId="1" applyNumberFormat="1" applyFont="1" applyFill="1" applyBorder="1" applyAlignment="1">
      <alignment horizontal="center" vertical="center" wrapText="1"/>
    </xf>
    <xf numFmtId="179" fontId="15" fillId="3" borderId="11" xfId="1" applyNumberFormat="1" applyFont="1" applyFill="1" applyBorder="1" applyAlignment="1">
      <alignment horizontal="center" vertical="center"/>
    </xf>
    <xf numFmtId="183" fontId="15" fillId="3" borderId="11" xfId="1" applyNumberFormat="1" applyFont="1" applyFill="1" applyBorder="1" applyAlignment="1">
      <alignment horizontal="center" vertical="center" wrapText="1"/>
    </xf>
    <xf numFmtId="179" fontId="15" fillId="3" borderId="13" xfId="1" applyNumberFormat="1" applyFont="1" applyFill="1" applyBorder="1" applyAlignment="1">
      <alignment horizontal="center" vertical="center" wrapText="1"/>
    </xf>
    <xf numFmtId="184" fontId="15" fillId="3" borderId="11" xfId="1" applyNumberFormat="1" applyFont="1" applyFill="1" applyBorder="1" applyAlignment="1">
      <alignment horizontal="center" vertical="center" wrapText="1"/>
    </xf>
    <xf numFmtId="179" fontId="13" fillId="0" borderId="5" xfId="2" applyNumberFormat="1" applyFont="1" applyBorder="1" applyAlignment="1" applyProtection="1">
      <alignment horizontal="center" vertical="center"/>
      <protection locked="0"/>
    </xf>
    <xf numFmtId="184" fontId="15" fillId="3" borderId="5" xfId="1" applyNumberFormat="1" applyFont="1" applyFill="1" applyBorder="1" applyAlignment="1">
      <alignment horizontal="center" vertical="center" wrapText="1"/>
    </xf>
    <xf numFmtId="179" fontId="13" fillId="0" borderId="8" xfId="2" applyNumberFormat="1" applyFont="1" applyBorder="1" applyAlignment="1" applyProtection="1">
      <alignment horizontal="center" vertical="center"/>
      <protection locked="0"/>
    </xf>
    <xf numFmtId="179" fontId="13" fillId="0" borderId="11" xfId="2" applyNumberFormat="1" applyFont="1" applyBorder="1" applyAlignment="1" applyProtection="1">
      <alignment horizontal="center" vertical="center"/>
      <protection locked="0"/>
    </xf>
    <xf numFmtId="184" fontId="15" fillId="3" borderId="12" xfId="1" applyNumberFormat="1" applyFont="1" applyFill="1" applyBorder="1" applyAlignment="1">
      <alignment horizontal="center" vertical="center" wrapText="1"/>
    </xf>
    <xf numFmtId="179" fontId="15" fillId="3" borderId="21" xfId="1" applyNumberFormat="1" applyFont="1" applyFill="1" applyBorder="1" applyAlignment="1">
      <alignment horizontal="center" vertical="center" wrapText="1"/>
    </xf>
    <xf numFmtId="177" fontId="13" fillId="4" borderId="7" xfId="3" applyNumberFormat="1" applyFont="1" applyFill="1" applyBorder="1" applyAlignment="1">
      <alignment horizontal="center" vertical="center" shrinkToFit="1"/>
    </xf>
    <xf numFmtId="0" fontId="15" fillId="3" borderId="8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20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15" fillId="3" borderId="13" xfId="0" applyFont="1" applyFill="1" applyBorder="1">
      <alignment vertical="center"/>
    </xf>
    <xf numFmtId="0" fontId="15" fillId="3" borderId="9" xfId="0" applyFont="1" applyFill="1" applyBorder="1">
      <alignment vertical="center"/>
    </xf>
    <xf numFmtId="179" fontId="15" fillId="3" borderId="11" xfId="1" applyNumberFormat="1" applyFont="1" applyFill="1" applyBorder="1" applyAlignment="1">
      <alignment vertical="center"/>
    </xf>
    <xf numFmtId="179" fontId="15" fillId="3" borderId="8" xfId="1" applyNumberFormat="1" applyFont="1" applyFill="1" applyBorder="1" applyAlignment="1">
      <alignment vertical="center"/>
    </xf>
    <xf numFmtId="184" fontId="15" fillId="3" borderId="8" xfId="1" applyNumberFormat="1" applyFont="1" applyFill="1" applyBorder="1" applyAlignment="1">
      <alignment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178" fontId="17" fillId="3" borderId="8" xfId="0" applyNumberFormat="1" applyFont="1" applyFill="1" applyBorder="1" applyAlignment="1">
      <alignment horizontal="center" vertical="center" wrapText="1"/>
    </xf>
    <xf numFmtId="178" fontId="17" fillId="3" borderId="9" xfId="0" applyNumberFormat="1" applyFont="1" applyFill="1" applyBorder="1" applyAlignment="1">
      <alignment horizontal="center" vertical="center" wrapText="1"/>
    </xf>
    <xf numFmtId="0" fontId="15" fillId="3" borderId="8" xfId="1" applyFont="1" applyFill="1" applyBorder="1" applyAlignment="1">
      <alignment vertical="center"/>
    </xf>
    <xf numFmtId="0" fontId="15" fillId="3" borderId="9" xfId="1" applyFont="1" applyFill="1" applyBorder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13" xfId="1" applyFont="1" applyFill="1" applyBorder="1" applyAlignment="1">
      <alignment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179" fontId="15" fillId="3" borderId="11" xfId="1" applyNumberFormat="1" applyFont="1" applyFill="1" applyBorder="1" applyAlignment="1">
      <alignment horizontal="right" vertical="center"/>
    </xf>
    <xf numFmtId="0" fontId="15" fillId="2" borderId="3" xfId="1" applyFont="1" applyFill="1" applyBorder="1" applyAlignment="1">
      <alignment horizontal="center" vertical="center"/>
    </xf>
    <xf numFmtId="179" fontId="15" fillId="3" borderId="21" xfId="1" applyNumberFormat="1" applyFont="1" applyFill="1" applyBorder="1" applyAlignment="1">
      <alignment horizontal="right" vertical="center"/>
    </xf>
    <xf numFmtId="0" fontId="15" fillId="3" borderId="21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178" fontId="17" fillId="3" borderId="5" xfId="0" applyNumberFormat="1" applyFont="1" applyFill="1" applyBorder="1" applyAlignment="1">
      <alignment horizontal="center" vertical="center" wrapText="1"/>
    </xf>
    <xf numFmtId="178" fontId="17" fillId="3" borderId="6" xfId="0" applyNumberFormat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179" fontId="15" fillId="3" borderId="8" xfId="1" applyNumberFormat="1" applyFont="1" applyFill="1" applyBorder="1" applyAlignment="1">
      <alignment horizontal="right" vertical="center"/>
    </xf>
    <xf numFmtId="0" fontId="15" fillId="3" borderId="9" xfId="1" applyFont="1" applyFill="1" applyBorder="1" applyAlignment="1">
      <alignment horizontal="center" vertical="center"/>
    </xf>
    <xf numFmtId="0" fontId="15" fillId="3" borderId="20" xfId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18" xfId="1" applyFont="1" applyFill="1" applyBorder="1" applyAlignment="1">
      <alignment horizontal="center" vertical="center"/>
    </xf>
    <xf numFmtId="0" fontId="15" fillId="3" borderId="26" xfId="1" applyFont="1" applyFill="1" applyBorder="1" applyAlignment="1">
      <alignment horizontal="center" vertical="center" wrapText="1"/>
    </xf>
    <xf numFmtId="0" fontId="15" fillId="3" borderId="25" xfId="1" applyFont="1" applyFill="1" applyBorder="1" applyAlignment="1">
      <alignment horizontal="center" vertical="center" wrapText="1"/>
    </xf>
    <xf numFmtId="0" fontId="15" fillId="3" borderId="23" xfId="1" applyFont="1" applyFill="1" applyBorder="1" applyAlignment="1">
      <alignment horizontal="center" vertical="center" wrapText="1"/>
    </xf>
    <xf numFmtId="0" fontId="15" fillId="3" borderId="48" xfId="1" applyFont="1" applyFill="1" applyBorder="1" applyAlignment="1">
      <alignment horizontal="center" vertical="center"/>
    </xf>
    <xf numFmtId="0" fontId="15" fillId="3" borderId="49" xfId="1" applyFont="1" applyFill="1" applyBorder="1" applyAlignment="1">
      <alignment horizontal="center" vertical="center"/>
    </xf>
    <xf numFmtId="0" fontId="15" fillId="3" borderId="24" xfId="1" applyFont="1" applyFill="1" applyBorder="1" applyAlignment="1">
      <alignment horizontal="center" vertical="center"/>
    </xf>
    <xf numFmtId="0" fontId="15" fillId="2" borderId="52" xfId="1" applyFont="1" applyFill="1" applyBorder="1" applyAlignment="1">
      <alignment horizontal="center" vertical="center"/>
    </xf>
    <xf numFmtId="0" fontId="15" fillId="2" borderId="53" xfId="1" applyFont="1" applyFill="1" applyBorder="1" applyAlignment="1">
      <alignment horizontal="center" vertical="center"/>
    </xf>
    <xf numFmtId="0" fontId="15" fillId="2" borderId="50" xfId="1" applyFont="1" applyFill="1" applyBorder="1" applyAlignment="1">
      <alignment horizontal="center" vertical="center"/>
    </xf>
    <xf numFmtId="0" fontId="15" fillId="2" borderId="51" xfId="1" applyFont="1" applyFill="1" applyBorder="1" applyAlignment="1">
      <alignment horizontal="center" vertical="center"/>
    </xf>
    <xf numFmtId="0" fontId="15" fillId="2" borderId="44" xfId="1" applyFont="1" applyFill="1" applyBorder="1" applyAlignment="1">
      <alignment horizontal="center" vertical="center"/>
    </xf>
    <xf numFmtId="0" fontId="15" fillId="2" borderId="45" xfId="1" applyFont="1" applyFill="1" applyBorder="1" applyAlignment="1">
      <alignment horizontal="center" vertical="center"/>
    </xf>
    <xf numFmtId="0" fontId="15" fillId="2" borderId="36" xfId="1" applyFont="1" applyFill="1" applyBorder="1" applyAlignment="1">
      <alignment horizontal="center" vertical="center"/>
    </xf>
    <xf numFmtId="0" fontId="15" fillId="2" borderId="46" xfId="1" applyFont="1" applyFill="1" applyBorder="1" applyAlignment="1">
      <alignment horizontal="center" vertical="center"/>
    </xf>
    <xf numFmtId="0" fontId="15" fillId="2" borderId="47" xfId="1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79" fontId="15" fillId="3" borderId="5" xfId="1" applyNumberFormat="1" applyFont="1" applyFill="1" applyBorder="1" applyAlignment="1">
      <alignment horizontal="right" vertical="center"/>
    </xf>
    <xf numFmtId="0" fontId="15" fillId="3" borderId="25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 vertical="center"/>
    </xf>
    <xf numFmtId="0" fontId="15" fillId="3" borderId="56" xfId="1" applyFont="1" applyFill="1" applyBorder="1" applyAlignment="1">
      <alignment horizontal="center" vertical="center"/>
    </xf>
    <xf numFmtId="0" fontId="15" fillId="3" borderId="55" xfId="1" applyFont="1" applyFill="1" applyBorder="1" applyAlignment="1">
      <alignment horizontal="center" vertical="center"/>
    </xf>
    <xf numFmtId="0" fontId="15" fillId="2" borderId="54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179" fontId="15" fillId="3" borderId="30" xfId="1" applyNumberFormat="1" applyFont="1" applyFill="1" applyBorder="1" applyAlignment="1">
      <alignment horizontal="center" vertical="center"/>
    </xf>
    <xf numFmtId="179" fontId="15" fillId="3" borderId="57" xfId="1" applyNumberFormat="1" applyFont="1" applyFill="1" applyBorder="1" applyAlignment="1">
      <alignment horizontal="center" vertical="center"/>
    </xf>
    <xf numFmtId="179" fontId="15" fillId="3" borderId="55" xfId="1" applyNumberFormat="1" applyFont="1" applyFill="1" applyBorder="1" applyAlignment="1">
      <alignment horizontal="center" vertical="center"/>
    </xf>
    <xf numFmtId="0" fontId="17" fillId="2" borderId="14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wrapText="1"/>
    </xf>
    <xf numFmtId="0" fontId="17" fillId="2" borderId="18" xfId="1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81" fontId="15" fillId="3" borderId="8" xfId="1" applyNumberFormat="1" applyFont="1" applyFill="1" applyBorder="1" applyAlignment="1">
      <alignment horizontal="center" vertical="center"/>
    </xf>
    <xf numFmtId="181" fontId="15" fillId="3" borderId="26" xfId="1" applyNumberFormat="1" applyFont="1" applyFill="1" applyBorder="1" applyAlignment="1">
      <alignment horizontal="center" vertical="center" wrapText="1"/>
    </xf>
    <xf numFmtId="181" fontId="15" fillId="3" borderId="25" xfId="1" applyNumberFormat="1" applyFont="1" applyFill="1" applyBorder="1" applyAlignment="1">
      <alignment horizontal="center" vertical="center" wrapText="1"/>
    </xf>
    <xf numFmtId="181" fontId="15" fillId="3" borderId="4" xfId="1" applyNumberFormat="1" applyFont="1" applyFill="1" applyBorder="1" applyAlignment="1">
      <alignment horizontal="center" vertical="center" wrapText="1"/>
    </xf>
    <xf numFmtId="181" fontId="15" fillId="3" borderId="7" xfId="1" applyNumberFormat="1" applyFont="1" applyFill="1" applyBorder="1" applyAlignment="1">
      <alignment horizontal="center" vertical="center" wrapText="1"/>
    </xf>
    <xf numFmtId="181" fontId="15" fillId="3" borderId="8" xfId="1" applyNumberFormat="1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81" fontId="15" fillId="3" borderId="5" xfId="1" applyNumberFormat="1" applyFont="1" applyFill="1" applyBorder="1" applyAlignment="1">
      <alignment horizontal="center" vertical="center"/>
    </xf>
    <xf numFmtId="181" fontId="15" fillId="3" borderId="10" xfId="1" applyNumberFormat="1" applyFont="1" applyFill="1" applyBorder="1" applyAlignment="1">
      <alignment horizontal="center" vertical="center" wrapText="1"/>
    </xf>
    <xf numFmtId="181" fontId="15" fillId="3" borderId="11" xfId="1" applyNumberFormat="1" applyFont="1" applyFill="1" applyBorder="1" applyAlignment="1">
      <alignment horizontal="center" vertical="center" wrapText="1"/>
    </xf>
    <xf numFmtId="181" fontId="15" fillId="3" borderId="5" xfId="1" applyNumberFormat="1" applyFont="1" applyFill="1" applyBorder="1" applyAlignment="1">
      <alignment horizontal="center" vertical="center" wrapText="1"/>
    </xf>
    <xf numFmtId="181" fontId="15" fillId="3" borderId="11" xfId="1" applyNumberFormat="1" applyFont="1" applyFill="1" applyBorder="1" applyAlignment="1">
      <alignment horizontal="center" vertical="center"/>
    </xf>
    <xf numFmtId="0" fontId="15" fillId="3" borderId="11" xfId="0" applyFont="1" applyFill="1" applyBorder="1">
      <alignment vertical="center"/>
    </xf>
    <xf numFmtId="0" fontId="15" fillId="3" borderId="13" xfId="0" applyFont="1" applyFill="1" applyBorder="1">
      <alignment vertical="center"/>
    </xf>
    <xf numFmtId="41" fontId="15" fillId="3" borderId="12" xfId="1" applyNumberFormat="1" applyFont="1" applyFill="1" applyBorder="1" applyAlignment="1">
      <alignment horizontal="center" vertical="center"/>
    </xf>
    <xf numFmtId="41" fontId="15" fillId="3" borderId="12" xfId="1" applyNumberFormat="1" applyFont="1" applyFill="1" applyBorder="1" applyAlignment="1">
      <alignment vertical="center"/>
    </xf>
    <xf numFmtId="41" fontId="15" fillId="3" borderId="24" xfId="1" applyNumberFormat="1" applyFont="1" applyFill="1" applyBorder="1" applyAlignment="1">
      <alignment vertical="center"/>
    </xf>
    <xf numFmtId="181" fontId="15" fillId="3" borderId="12" xfId="1" applyNumberFormat="1" applyFont="1" applyFill="1" applyBorder="1" applyAlignment="1">
      <alignment horizontal="center" vertical="center"/>
    </xf>
    <xf numFmtId="181" fontId="15" fillId="3" borderId="24" xfId="1" applyNumberFormat="1" applyFont="1" applyFill="1" applyBorder="1" applyAlignment="1">
      <alignment horizontal="center" vertical="center"/>
    </xf>
    <xf numFmtId="181" fontId="15" fillId="2" borderId="15" xfId="1" applyNumberFormat="1" applyFont="1" applyFill="1" applyBorder="1" applyAlignment="1">
      <alignment horizontal="center" vertical="center"/>
    </xf>
    <xf numFmtId="181" fontId="15" fillId="2" borderId="16" xfId="1" applyNumberFormat="1" applyFont="1" applyFill="1" applyBorder="1" applyAlignment="1">
      <alignment horizontal="center" vertical="center"/>
    </xf>
    <xf numFmtId="181" fontId="15" fillId="2" borderId="18" xfId="1" applyNumberFormat="1" applyFont="1" applyFill="1" applyBorder="1" applyAlignment="1">
      <alignment horizontal="center" vertical="center"/>
    </xf>
    <xf numFmtId="181" fontId="15" fillId="2" borderId="19" xfId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3" borderId="5" xfId="0" applyFont="1" applyFill="1" applyBorder="1">
      <alignment vertical="center"/>
    </xf>
    <xf numFmtId="0" fontId="15" fillId="3" borderId="6" xfId="0" applyFont="1" applyFill="1" applyBorder="1">
      <alignment vertical="center"/>
    </xf>
    <xf numFmtId="0" fontId="15" fillId="3" borderId="8" xfId="0" applyFont="1" applyFill="1" applyBorder="1">
      <alignment vertical="center"/>
    </xf>
    <xf numFmtId="0" fontId="15" fillId="3" borderId="9" xfId="0" applyFont="1" applyFill="1" applyBorder="1">
      <alignment vertical="center"/>
    </xf>
    <xf numFmtId="41" fontId="13" fillId="2" borderId="16" xfId="3" applyFont="1" applyFill="1" applyBorder="1" applyAlignment="1">
      <alignment horizontal="center" vertical="center" wrapText="1"/>
    </xf>
    <xf numFmtId="41" fontId="13" fillId="2" borderId="19" xfId="3" applyFont="1" applyFill="1" applyBorder="1" applyAlignment="1">
      <alignment horizontal="center" vertical="center"/>
    </xf>
    <xf numFmtId="177" fontId="13" fillId="3" borderId="7" xfId="2" applyNumberFormat="1" applyFont="1" applyFill="1" applyBorder="1" applyAlignment="1" applyProtection="1">
      <alignment horizontal="center" vertical="center"/>
      <protection locked="0"/>
    </xf>
    <xf numFmtId="177" fontId="13" fillId="3" borderId="8" xfId="2" applyNumberFormat="1" applyFont="1" applyFill="1" applyBorder="1" applyAlignment="1" applyProtection="1">
      <alignment horizontal="center" vertical="center"/>
      <protection locked="0"/>
    </xf>
    <xf numFmtId="177" fontId="13" fillId="3" borderId="10" xfId="2" applyNumberFormat="1" applyFont="1" applyFill="1" applyBorder="1" applyAlignment="1" applyProtection="1">
      <alignment horizontal="center" vertical="center"/>
      <protection locked="0"/>
    </xf>
    <xf numFmtId="177" fontId="13" fillId="3" borderId="11" xfId="2" applyNumberFormat="1" applyFont="1" applyFill="1" applyBorder="1" applyAlignment="1" applyProtection="1">
      <alignment horizontal="center" vertical="center"/>
      <protection locked="0"/>
    </xf>
    <xf numFmtId="177" fontId="13" fillId="2" borderId="14" xfId="3" applyNumberFormat="1" applyFont="1" applyFill="1" applyBorder="1" applyAlignment="1">
      <alignment horizontal="center" vertical="center" wrapText="1"/>
    </xf>
    <xf numFmtId="177" fontId="13" fillId="2" borderId="15" xfId="3" applyNumberFormat="1" applyFont="1" applyFill="1" applyBorder="1" applyAlignment="1">
      <alignment horizontal="center" vertical="center" wrapText="1"/>
    </xf>
    <xf numFmtId="177" fontId="13" fillId="2" borderId="17" xfId="3" applyNumberFormat="1" applyFont="1" applyFill="1" applyBorder="1" applyAlignment="1">
      <alignment horizontal="center" vertical="center" wrapText="1"/>
    </xf>
    <xf numFmtId="177" fontId="13" fillId="2" borderId="18" xfId="3" applyNumberFormat="1" applyFont="1" applyFill="1" applyBorder="1" applyAlignment="1">
      <alignment horizontal="center" vertical="center" wrapText="1"/>
    </xf>
    <xf numFmtId="177" fontId="13" fillId="3" borderId="4" xfId="3" applyNumberFormat="1" applyFont="1" applyFill="1" applyBorder="1" applyAlignment="1">
      <alignment horizontal="center" vertical="center"/>
    </xf>
    <xf numFmtId="177" fontId="13" fillId="3" borderId="5" xfId="3" applyNumberFormat="1" applyFont="1" applyFill="1" applyBorder="1" applyAlignment="1">
      <alignment horizontal="center" vertical="center"/>
    </xf>
    <xf numFmtId="179" fontId="15" fillId="3" borderId="12" xfId="0" applyNumberFormat="1" applyFont="1" applyFill="1" applyBorder="1" applyAlignment="1">
      <alignment vertical="center"/>
    </xf>
    <xf numFmtId="179" fontId="15" fillId="3" borderId="24" xfId="0" applyNumberFormat="1" applyFont="1" applyFill="1" applyBorder="1" applyAlignment="1">
      <alignment vertical="center"/>
    </xf>
    <xf numFmtId="0" fontId="15" fillId="2" borderId="2" xfId="1" applyFont="1" applyFill="1" applyBorder="1" applyAlignment="1">
      <alignment horizontal="center" vertical="center" wrapText="1"/>
    </xf>
    <xf numFmtId="179" fontId="15" fillId="3" borderId="12" xfId="1" applyNumberFormat="1" applyFont="1" applyFill="1" applyBorder="1" applyAlignment="1">
      <alignment vertical="center"/>
    </xf>
    <xf numFmtId="181" fontId="15" fillId="3" borderId="23" xfId="1" applyNumberFormat="1" applyFont="1" applyFill="1" applyBorder="1" applyAlignment="1">
      <alignment horizontal="center" vertical="center"/>
    </xf>
    <xf numFmtId="179" fontId="15" fillId="3" borderId="12" xfId="1" applyNumberFormat="1" applyFont="1" applyFill="1" applyBorder="1" applyAlignment="1">
      <alignment horizontal="right" vertical="center"/>
    </xf>
    <xf numFmtId="181" fontId="15" fillId="2" borderId="14" xfId="1" applyNumberFormat="1" applyFont="1" applyFill="1" applyBorder="1" applyAlignment="1">
      <alignment horizontal="center" vertical="center"/>
    </xf>
    <xf numFmtId="181" fontId="15" fillId="2" borderId="17" xfId="1" applyNumberFormat="1" applyFont="1" applyFill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179" fontId="15" fillId="3" borderId="30" xfId="1" applyNumberFormat="1" applyFont="1" applyFill="1" applyBorder="1" applyAlignment="1">
      <alignment vertical="center"/>
    </xf>
    <xf numFmtId="179" fontId="15" fillId="3" borderId="31" xfId="1" applyNumberFormat="1" applyFont="1" applyFill="1" applyBorder="1" applyAlignment="1">
      <alignment vertical="center"/>
    </xf>
    <xf numFmtId="41" fontId="13" fillId="2" borderId="15" xfId="3" applyFont="1" applyFill="1" applyBorder="1" applyAlignment="1">
      <alignment horizontal="center" vertical="center"/>
    </xf>
    <xf numFmtId="41" fontId="13" fillId="2" borderId="15" xfId="3" applyFont="1" applyFill="1" applyBorder="1" applyAlignment="1">
      <alignment horizontal="center" vertical="center" wrapText="1"/>
    </xf>
    <xf numFmtId="41" fontId="13" fillId="2" borderId="18" xfId="3" applyFont="1" applyFill="1" applyBorder="1" applyAlignment="1">
      <alignment horizontal="center" vertical="center"/>
    </xf>
    <xf numFmtId="0" fontId="15" fillId="2" borderId="27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 wrapText="1"/>
    </xf>
    <xf numFmtId="179" fontId="15" fillId="3" borderId="55" xfId="1" applyNumberFormat="1" applyFont="1" applyFill="1" applyBorder="1" applyAlignment="1">
      <alignment vertical="center"/>
    </xf>
    <xf numFmtId="181" fontId="15" fillId="2" borderId="15" xfId="1" applyNumberFormat="1" applyFont="1" applyFill="1" applyBorder="1" applyAlignment="1">
      <alignment horizontal="center" vertical="center" wrapText="1"/>
    </xf>
    <xf numFmtId="0" fontId="15" fillId="3" borderId="12" xfId="1" applyFont="1" applyFill="1" applyBorder="1" applyAlignment="1">
      <alignment horizontal="right" vertical="center"/>
    </xf>
    <xf numFmtId="181" fontId="15" fillId="3" borderId="12" xfId="1" applyNumberFormat="1" applyFont="1" applyFill="1" applyBorder="1" applyAlignment="1">
      <alignment horizontal="center" vertical="center" shrinkToFit="1"/>
    </xf>
    <xf numFmtId="181" fontId="15" fillId="3" borderId="23" xfId="1" applyNumberFormat="1" applyFont="1" applyFill="1" applyBorder="1" applyAlignment="1">
      <alignment horizontal="center" vertical="center" wrapText="1"/>
    </xf>
    <xf numFmtId="181" fontId="15" fillId="3" borderId="12" xfId="1" applyNumberFormat="1" applyFont="1" applyFill="1" applyBorder="1" applyAlignment="1">
      <alignment horizontal="center" vertical="center" wrapText="1"/>
    </xf>
    <xf numFmtId="181" fontId="15" fillId="2" borderId="15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6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 wrapText="1"/>
    </xf>
    <xf numFmtId="0" fontId="15" fillId="2" borderId="15" xfId="1" applyFont="1" applyFill="1" applyBorder="1" applyAlignment="1">
      <alignment horizontal="center" vertical="center" wrapText="1"/>
    </xf>
    <xf numFmtId="0" fontId="15" fillId="2" borderId="18" xfId="1" applyFont="1" applyFill="1" applyBorder="1" applyAlignment="1">
      <alignment horizontal="center" vertical="center" wrapText="1"/>
    </xf>
    <xf numFmtId="179" fontId="15" fillId="3" borderId="8" xfId="1" applyNumberFormat="1" applyFont="1" applyFill="1" applyBorder="1" applyAlignment="1">
      <alignment horizontal="right" vertical="center" wrapText="1"/>
    </xf>
    <xf numFmtId="179" fontId="15" fillId="3" borderId="9" xfId="1" applyNumberFormat="1" applyFont="1" applyFill="1" applyBorder="1" applyAlignment="1">
      <alignment horizontal="right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5" fillId="3" borderId="12" xfId="1" applyFont="1" applyFill="1" applyBorder="1" applyAlignment="1">
      <alignment vertical="center"/>
    </xf>
    <xf numFmtId="0" fontId="15" fillId="3" borderId="24" xfId="1" applyFont="1" applyFill="1" applyBorder="1" applyAlignment="1">
      <alignment vertical="center"/>
    </xf>
    <xf numFmtId="179" fontId="15" fillId="3" borderId="5" xfId="1" applyNumberFormat="1" applyFont="1" applyFill="1" applyBorder="1" applyAlignment="1">
      <alignment horizontal="center" vertical="center" wrapText="1"/>
    </xf>
    <xf numFmtId="179" fontId="15" fillId="3" borderId="5" xfId="1" applyNumberFormat="1" applyFont="1" applyFill="1" applyBorder="1" applyAlignment="1">
      <alignment horizontal="right" vertical="center" wrapText="1"/>
    </xf>
    <xf numFmtId="179" fontId="15" fillId="3" borderId="6" xfId="1" applyNumberFormat="1" applyFont="1" applyFill="1" applyBorder="1" applyAlignment="1">
      <alignment horizontal="right" vertical="center" wrapText="1"/>
    </xf>
    <xf numFmtId="41" fontId="13" fillId="2" borderId="44" xfId="3" applyFont="1" applyFill="1" applyBorder="1" applyAlignment="1">
      <alignment horizontal="center" vertical="center" wrapText="1"/>
    </xf>
    <xf numFmtId="41" fontId="13" fillId="2" borderId="60" xfId="3" applyFont="1" applyFill="1" applyBorder="1" applyAlignment="1">
      <alignment horizontal="center" vertical="center"/>
    </xf>
    <xf numFmtId="177" fontId="13" fillId="2" borderId="32" xfId="3" applyNumberFormat="1" applyFont="1" applyFill="1" applyBorder="1" applyAlignment="1">
      <alignment horizontal="center" vertical="center" wrapText="1"/>
    </xf>
    <xf numFmtId="177" fontId="13" fillId="2" borderId="33" xfId="3" applyNumberFormat="1" applyFont="1" applyFill="1" applyBorder="1" applyAlignment="1">
      <alignment horizontal="center" vertical="center" wrapText="1"/>
    </xf>
    <xf numFmtId="177" fontId="13" fillId="2" borderId="34" xfId="3" applyNumberFormat="1" applyFont="1" applyFill="1" applyBorder="1" applyAlignment="1">
      <alignment horizontal="center" vertical="center" wrapText="1"/>
    </xf>
    <xf numFmtId="177" fontId="13" fillId="2" borderId="35" xfId="3" applyNumberFormat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79" fontId="15" fillId="3" borderId="8" xfId="1" applyNumberFormat="1" applyFont="1" applyFill="1" applyBorder="1" applyAlignment="1">
      <alignment horizontal="center" vertical="center" wrapText="1"/>
    </xf>
    <xf numFmtId="179" fontId="15" fillId="3" borderId="11" xfId="1" applyNumberFormat="1" applyFont="1" applyFill="1" applyBorder="1" applyAlignment="1">
      <alignment horizontal="right" vertical="center" wrapText="1"/>
    </xf>
    <xf numFmtId="179" fontId="15" fillId="3" borderId="13" xfId="1" applyNumberFormat="1" applyFont="1" applyFill="1" applyBorder="1" applyAlignment="1">
      <alignment horizontal="right" vertical="center" wrapText="1"/>
    </xf>
    <xf numFmtId="179" fontId="15" fillId="3" borderId="21" xfId="1" applyNumberFormat="1" applyFont="1" applyFill="1" applyBorder="1" applyAlignment="1">
      <alignment horizontal="center" vertical="center" wrapText="1"/>
    </xf>
    <xf numFmtId="179" fontId="15" fillId="3" borderId="21" xfId="1" applyNumberFormat="1" applyFont="1" applyFill="1" applyBorder="1" applyAlignment="1">
      <alignment horizontal="right" vertical="center" wrapText="1"/>
    </xf>
    <xf numFmtId="179" fontId="15" fillId="3" borderId="22" xfId="1" applyNumberFormat="1" applyFont="1" applyFill="1" applyBorder="1" applyAlignment="1">
      <alignment horizontal="right" vertical="center" wrapText="1"/>
    </xf>
    <xf numFmtId="177" fontId="13" fillId="4" borderId="8" xfId="3" applyNumberFormat="1" applyFont="1" applyFill="1" applyBorder="1" applyAlignment="1">
      <alignment horizontal="center" vertical="center"/>
    </xf>
    <xf numFmtId="179" fontId="15" fillId="3" borderId="11" xfId="1" applyNumberFormat="1" applyFont="1" applyFill="1" applyBorder="1" applyAlignment="1">
      <alignment horizontal="center" vertical="center" wrapText="1"/>
    </xf>
    <xf numFmtId="184" fontId="15" fillId="3" borderId="8" xfId="1" applyNumberFormat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center" vertical="center"/>
    </xf>
    <xf numFmtId="177" fontId="13" fillId="4" borderId="5" xfId="3" applyNumberFormat="1" applyFont="1" applyFill="1" applyBorder="1" applyAlignment="1">
      <alignment horizontal="center" vertical="center"/>
    </xf>
    <xf numFmtId="184" fontId="15" fillId="3" borderId="8" xfId="0" applyNumberFormat="1" applyFont="1" applyFill="1" applyBorder="1">
      <alignment vertical="center"/>
    </xf>
    <xf numFmtId="179" fontId="15" fillId="3" borderId="8" xfId="0" applyNumberFormat="1" applyFont="1" applyFill="1" applyBorder="1">
      <alignment vertical="center"/>
    </xf>
    <xf numFmtId="184" fontId="15" fillId="3" borderId="11" xfId="0" applyNumberFormat="1" applyFont="1" applyFill="1" applyBorder="1">
      <alignment vertical="center"/>
    </xf>
    <xf numFmtId="179" fontId="15" fillId="3" borderId="11" xfId="0" applyNumberFormat="1" applyFont="1" applyFill="1" applyBorder="1">
      <alignment vertical="center"/>
    </xf>
    <xf numFmtId="179" fontId="15" fillId="3" borderId="24" xfId="1" applyNumberFormat="1" applyFont="1" applyFill="1" applyBorder="1" applyAlignment="1">
      <alignment vertical="center"/>
    </xf>
    <xf numFmtId="179" fontId="15" fillId="3" borderId="5" xfId="0" applyNumberFormat="1" applyFont="1" applyFill="1" applyBorder="1">
      <alignment vertical="center"/>
    </xf>
    <xf numFmtId="184" fontId="15" fillId="3" borderId="8" xfId="1" applyNumberFormat="1" applyFont="1" applyFill="1" applyBorder="1" applyAlignment="1">
      <alignment horizontal="right" vertical="center"/>
    </xf>
    <xf numFmtId="184" fontId="15" fillId="3" borderId="9" xfId="1" applyNumberFormat="1" applyFont="1" applyFill="1" applyBorder="1" applyAlignment="1">
      <alignment horizontal="right" vertical="center"/>
    </xf>
    <xf numFmtId="184" fontId="15" fillId="3" borderId="11" xfId="1" applyNumberFormat="1" applyFont="1" applyFill="1" applyBorder="1" applyAlignment="1">
      <alignment horizontal="right" vertical="center"/>
    </xf>
    <xf numFmtId="184" fontId="15" fillId="3" borderId="13" xfId="1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center" vertical="center"/>
    </xf>
    <xf numFmtId="184" fontId="15" fillId="3" borderId="5" xfId="1" applyNumberFormat="1" applyFont="1" applyFill="1" applyBorder="1" applyAlignment="1">
      <alignment horizontal="right" vertical="center"/>
    </xf>
    <xf numFmtId="184" fontId="15" fillId="3" borderId="6" xfId="1" applyNumberFormat="1" applyFont="1" applyFill="1" applyBorder="1" applyAlignment="1">
      <alignment horizontal="right" vertical="center"/>
    </xf>
    <xf numFmtId="181" fontId="15" fillId="3" borderId="21" xfId="1" applyNumberFormat="1" applyFont="1" applyFill="1" applyBorder="1" applyAlignment="1">
      <alignment horizontal="center" vertical="center" wrapText="1"/>
    </xf>
    <xf numFmtId="181" fontId="15" fillId="2" borderId="36" xfId="1" applyNumberFormat="1" applyFont="1" applyFill="1" applyBorder="1" applyAlignment="1">
      <alignment horizontal="center" vertical="center"/>
    </xf>
    <xf numFmtId="181" fontId="15" fillId="2" borderId="37" xfId="1" applyNumberFormat="1" applyFont="1" applyFill="1" applyBorder="1" applyAlignment="1">
      <alignment horizontal="center" vertical="center"/>
    </xf>
    <xf numFmtId="181" fontId="15" fillId="3" borderId="38" xfId="1" applyNumberFormat="1" applyFont="1" applyFill="1" applyBorder="1" applyAlignment="1">
      <alignment horizontal="center" vertical="center" wrapText="1"/>
    </xf>
    <xf numFmtId="181" fontId="15" fillId="3" borderId="30" xfId="1" applyNumberFormat="1" applyFont="1" applyFill="1" applyBorder="1" applyAlignment="1">
      <alignment horizontal="center" vertical="center"/>
    </xf>
    <xf numFmtId="181" fontId="15" fillId="3" borderId="31" xfId="1" applyNumberFormat="1" applyFont="1" applyFill="1" applyBorder="1" applyAlignment="1">
      <alignment horizontal="center" vertical="center"/>
    </xf>
    <xf numFmtId="0" fontId="15" fillId="3" borderId="43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81" fontId="15" fillId="3" borderId="20" xfId="1" applyNumberFormat="1" applyFont="1" applyFill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9" fontId="15" fillId="3" borderId="8" xfId="1" applyNumberFormat="1" applyFont="1" applyFill="1" applyBorder="1" applyAlignment="1">
      <alignment vertical="center"/>
    </xf>
    <xf numFmtId="179" fontId="15" fillId="3" borderId="9" xfId="0" applyNumberFormat="1" applyFont="1" applyFill="1" applyBorder="1">
      <alignment vertical="center"/>
    </xf>
    <xf numFmtId="0" fontId="13" fillId="0" borderId="8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 wrapText="1"/>
    </xf>
    <xf numFmtId="179" fontId="15" fillId="5" borderId="5" xfId="1" applyNumberFormat="1" applyFont="1" applyFill="1" applyBorder="1" applyAlignment="1">
      <alignment horizontal="right" vertical="center"/>
    </xf>
    <xf numFmtId="0" fontId="15" fillId="5" borderId="6" xfId="1" applyFont="1" applyFill="1" applyBorder="1" applyAlignment="1">
      <alignment horizontal="right" vertical="center"/>
    </xf>
    <xf numFmtId="0" fontId="15" fillId="5" borderId="5" xfId="1" applyFont="1" applyFill="1" applyBorder="1" applyAlignment="1">
      <alignment horizontal="center" vertical="center"/>
    </xf>
    <xf numFmtId="0" fontId="15" fillId="5" borderId="4" xfId="1" applyFont="1" applyFill="1" applyBorder="1" applyAlignment="1">
      <alignment horizontal="center" vertical="center"/>
    </xf>
    <xf numFmtId="184" fontId="15" fillId="3" borderId="8" xfId="1" applyNumberFormat="1" applyFont="1" applyFill="1" applyBorder="1" applyAlignment="1">
      <alignment vertical="center"/>
    </xf>
    <xf numFmtId="177" fontId="13" fillId="5" borderId="39" xfId="3" applyNumberFormat="1" applyFont="1" applyFill="1" applyBorder="1" applyAlignment="1">
      <alignment horizontal="center" vertical="center"/>
    </xf>
    <xf numFmtId="177" fontId="13" fillId="5" borderId="40" xfId="3" applyNumberFormat="1" applyFont="1" applyFill="1" applyBorder="1" applyAlignment="1">
      <alignment horizontal="center" vertical="center"/>
    </xf>
    <xf numFmtId="179" fontId="15" fillId="3" borderId="11" xfId="1" applyNumberFormat="1" applyFont="1" applyFill="1" applyBorder="1" applyAlignment="1">
      <alignment vertical="center"/>
    </xf>
    <xf numFmtId="179" fontId="15" fillId="3" borderId="13" xfId="0" applyNumberFormat="1" applyFont="1" applyFill="1" applyBorder="1">
      <alignment vertical="center"/>
    </xf>
    <xf numFmtId="184" fontId="15" fillId="3" borderId="21" xfId="1" applyNumberFormat="1" applyFont="1" applyFill="1" applyBorder="1" applyAlignment="1">
      <alignment vertical="center"/>
    </xf>
    <xf numFmtId="184" fontId="15" fillId="3" borderId="21" xfId="1" applyNumberFormat="1" applyFont="1" applyFill="1" applyBorder="1" applyAlignment="1">
      <alignment vertical="center" wrapText="1"/>
    </xf>
    <xf numFmtId="179" fontId="15" fillId="3" borderId="21" xfId="1" applyNumberFormat="1" applyFont="1" applyFill="1" applyBorder="1" applyAlignment="1">
      <alignment vertical="center" wrapText="1"/>
    </xf>
    <xf numFmtId="179" fontId="15" fillId="3" borderId="22" xfId="1" applyNumberFormat="1" applyFont="1" applyFill="1" applyBorder="1" applyAlignment="1">
      <alignment vertical="center" wrapText="1"/>
    </xf>
    <xf numFmtId="177" fontId="13" fillId="3" borderId="41" xfId="2" applyNumberFormat="1" applyFont="1" applyFill="1" applyBorder="1" applyAlignment="1" applyProtection="1">
      <alignment horizontal="center" vertical="center"/>
      <protection locked="0"/>
    </xf>
    <xf numFmtId="181" fontId="15" fillId="3" borderId="43" xfId="1" applyNumberFormat="1" applyFont="1" applyFill="1" applyBorder="1" applyAlignment="1">
      <alignment horizontal="center" vertical="center" wrapText="1"/>
    </xf>
    <xf numFmtId="181" fontId="15" fillId="3" borderId="41" xfId="1" applyNumberFormat="1" applyFont="1" applyFill="1" applyBorder="1" applyAlignment="1">
      <alignment horizontal="center" vertical="center" wrapText="1"/>
    </xf>
    <xf numFmtId="179" fontId="15" fillId="3" borderId="41" xfId="1" applyNumberFormat="1" applyFont="1" applyFill="1" applyBorder="1" applyAlignment="1">
      <alignment vertical="center"/>
    </xf>
    <xf numFmtId="0" fontId="15" fillId="3" borderId="42" xfId="0" applyFont="1" applyFill="1" applyBorder="1">
      <alignment vertical="center"/>
    </xf>
  </cellXfs>
  <cellStyles count="5">
    <cellStyle name="쉼표 [0]" xfId="2" builtinId="6"/>
    <cellStyle name="쉼표 [0] 2 2" xfId="3"/>
    <cellStyle name="쉼표 [0] 6" xfId="4"/>
    <cellStyle name="표준" xfId="0" builtinId="0"/>
    <cellStyle name="표준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view="pageBreakPreview" zoomScale="130" zoomScaleNormal="100" zoomScaleSheetLayoutView="130" workbookViewId="0">
      <selection activeCell="B22" sqref="B22"/>
    </sheetView>
  </sheetViews>
  <sheetFormatPr defaultRowHeight="15.95" customHeight="1" x14ac:dyDescent="0.2"/>
  <cols>
    <col min="1" max="6" width="13.33203125" style="2" customWidth="1"/>
    <col min="7" max="12" width="10.44140625" style="2" customWidth="1"/>
    <col min="13" max="13" width="11.33203125" style="2" customWidth="1"/>
    <col min="14" max="14" width="8.88671875" style="2" customWidth="1"/>
    <col min="15" max="17" width="6.6640625" style="2" customWidth="1"/>
    <col min="18" max="16384" width="8.88671875" style="2"/>
  </cols>
  <sheetData>
    <row r="1" spans="1:7" ht="15.95" customHeight="1" x14ac:dyDescent="0.2">
      <c r="A1" s="1" t="s">
        <v>328</v>
      </c>
    </row>
    <row r="2" spans="1:7" ht="15.95" customHeight="1" x14ac:dyDescent="0.2">
      <c r="A2" s="1" t="s">
        <v>0</v>
      </c>
    </row>
    <row r="3" spans="1:7" ht="15.95" customHeight="1" x14ac:dyDescent="0.2">
      <c r="A3" s="1"/>
    </row>
    <row r="4" spans="1:7" s="4" customFormat="1" ht="15.95" customHeight="1" x14ac:dyDescent="0.2">
      <c r="A4" s="3" t="s">
        <v>94</v>
      </c>
    </row>
    <row r="5" spans="1:7" s="4" customFormat="1" ht="15.95" customHeight="1" x14ac:dyDescent="0.2">
      <c r="A5" s="5" t="s">
        <v>95</v>
      </c>
    </row>
    <row r="6" spans="1:7" ht="15.95" customHeight="1" x14ac:dyDescent="0.2">
      <c r="A6" s="2" t="s">
        <v>1</v>
      </c>
    </row>
    <row r="7" spans="1:7" s="4" customFormat="1" ht="15.95" customHeight="1" thickBot="1" x14ac:dyDescent="0.25">
      <c r="A7" s="255" t="s">
        <v>2</v>
      </c>
      <c r="B7" s="256"/>
      <c r="C7" s="256"/>
      <c r="D7" s="256" t="s">
        <v>3</v>
      </c>
      <c r="E7" s="256"/>
      <c r="F7" s="46" t="s">
        <v>4</v>
      </c>
      <c r="G7" s="6"/>
    </row>
    <row r="8" spans="1:7" s="4" customFormat="1" ht="15.95" customHeight="1" thickTop="1" x14ac:dyDescent="0.2">
      <c r="A8" s="272" t="s">
        <v>5</v>
      </c>
      <c r="B8" s="282" t="s">
        <v>6</v>
      </c>
      <c r="C8" s="282"/>
      <c r="D8" s="282" t="s">
        <v>192</v>
      </c>
      <c r="E8" s="282"/>
      <c r="F8" s="47">
        <f>ROUND(108.83/100.6,3)</f>
        <v>1.0820000000000001</v>
      </c>
      <c r="G8" s="6"/>
    </row>
    <row r="9" spans="1:7" s="4" customFormat="1" ht="15.95" customHeight="1" x14ac:dyDescent="0.2">
      <c r="A9" s="275"/>
      <c r="B9" s="276" t="s">
        <v>7</v>
      </c>
      <c r="C9" s="276"/>
      <c r="D9" s="282" t="s">
        <v>193</v>
      </c>
      <c r="E9" s="282"/>
      <c r="F9" s="48">
        <f>$F$8</f>
        <v>1.0820000000000001</v>
      </c>
      <c r="G9" s="6"/>
    </row>
    <row r="10" spans="1:7" s="4" customFormat="1" ht="15.95" customHeight="1" x14ac:dyDescent="0.2">
      <c r="A10" s="275"/>
      <c r="B10" s="276" t="s">
        <v>8</v>
      </c>
      <c r="C10" s="276"/>
      <c r="D10" s="282" t="s">
        <v>194</v>
      </c>
      <c r="E10" s="282"/>
      <c r="F10" s="48">
        <f t="shared" ref="F10:F11" si="0">$F$8</f>
        <v>1.0820000000000001</v>
      </c>
      <c r="G10" s="6"/>
    </row>
    <row r="11" spans="1:7" s="4" customFormat="1" ht="15.95" customHeight="1" x14ac:dyDescent="0.2">
      <c r="A11" s="265" t="s">
        <v>9</v>
      </c>
      <c r="B11" s="263"/>
      <c r="C11" s="263"/>
      <c r="D11" s="283" t="s">
        <v>195</v>
      </c>
      <c r="E11" s="283"/>
      <c r="F11" s="49">
        <f t="shared" si="0"/>
        <v>1.0820000000000001</v>
      </c>
      <c r="G11" s="7"/>
    </row>
    <row r="12" spans="1:7" s="60" customFormat="1" ht="15.95" customHeight="1" x14ac:dyDescent="0.2">
      <c r="A12" s="56" t="s">
        <v>10</v>
      </c>
      <c r="B12" s="57"/>
      <c r="C12" s="58"/>
      <c r="D12" s="57"/>
      <c r="E12" s="59"/>
      <c r="F12" s="59"/>
      <c r="G12" s="59"/>
    </row>
    <row r="13" spans="1:7" s="4" customFormat="1" ht="15.95" customHeight="1" x14ac:dyDescent="0.2">
      <c r="A13" s="9"/>
      <c r="B13" s="6"/>
      <c r="C13" s="6"/>
      <c r="D13" s="6"/>
      <c r="E13" s="7"/>
      <c r="F13" s="7"/>
      <c r="G13" s="7"/>
    </row>
    <row r="14" spans="1:7" ht="15.95" customHeight="1" x14ac:dyDescent="0.2">
      <c r="A14" s="5" t="s">
        <v>93</v>
      </c>
    </row>
    <row r="15" spans="1:7" ht="15.95" customHeight="1" x14ac:dyDescent="0.2">
      <c r="A15" s="2" t="s">
        <v>110</v>
      </c>
    </row>
    <row r="16" spans="1:7" ht="15.95" customHeight="1" x14ac:dyDescent="0.2">
      <c r="A16" s="2" t="s">
        <v>111</v>
      </c>
    </row>
    <row r="17" spans="1:6" ht="15.95" customHeight="1" thickBot="1" x14ac:dyDescent="0.25">
      <c r="A17" s="50" t="s">
        <v>96</v>
      </c>
      <c r="B17" s="51" t="s">
        <v>97</v>
      </c>
      <c r="C17" s="51" t="s">
        <v>98</v>
      </c>
      <c r="D17" s="51" t="s">
        <v>99</v>
      </c>
      <c r="E17" s="51" t="s">
        <v>100</v>
      </c>
      <c r="F17" s="52" t="s">
        <v>101</v>
      </c>
    </row>
    <row r="18" spans="1:6" ht="15.95" customHeight="1" thickTop="1" x14ac:dyDescent="0.2">
      <c r="A18" s="53" t="s">
        <v>103</v>
      </c>
      <c r="B18" s="54">
        <v>15</v>
      </c>
      <c r="C18" s="54">
        <v>19</v>
      </c>
      <c r="D18" s="54">
        <v>25</v>
      </c>
      <c r="E18" s="54">
        <v>29</v>
      </c>
      <c r="F18" s="55">
        <v>33</v>
      </c>
    </row>
    <row r="19" spans="1:6" ht="15.95" customHeight="1" x14ac:dyDescent="0.2">
      <c r="A19" s="13"/>
      <c r="B19" s="13"/>
      <c r="C19" s="13"/>
      <c r="D19" s="13"/>
      <c r="E19" s="13"/>
      <c r="F19" s="13"/>
    </row>
    <row r="20" spans="1:6" ht="15.95" customHeight="1" x14ac:dyDescent="0.2">
      <c r="A20" s="2" t="s">
        <v>112</v>
      </c>
    </row>
    <row r="21" spans="1:6" ht="15.95" customHeight="1" thickBot="1" x14ac:dyDescent="0.25">
      <c r="A21" s="50" t="s">
        <v>104</v>
      </c>
      <c r="B21" s="51" t="s">
        <v>105</v>
      </c>
      <c r="C21" s="51" t="s">
        <v>106</v>
      </c>
      <c r="D21" s="51" t="s">
        <v>107</v>
      </c>
      <c r="E21" s="51" t="s">
        <v>108</v>
      </c>
      <c r="F21" s="52" t="s">
        <v>109</v>
      </c>
    </row>
    <row r="22" spans="1:6" ht="15.95" customHeight="1" thickTop="1" x14ac:dyDescent="0.2">
      <c r="A22" s="53" t="s">
        <v>102</v>
      </c>
      <c r="B22" s="54">
        <v>1.47</v>
      </c>
      <c r="C22" s="54">
        <v>0.96</v>
      </c>
      <c r="D22" s="54">
        <v>0.67</v>
      </c>
      <c r="E22" s="54">
        <v>0.49</v>
      </c>
      <c r="F22" s="55">
        <v>0.39</v>
      </c>
    </row>
    <row r="24" spans="1:6" s="4" customFormat="1" ht="15.95" customHeight="1" x14ac:dyDescent="0.2">
      <c r="A24" s="3" t="s">
        <v>11</v>
      </c>
    </row>
    <row r="25" spans="1:6" s="4" customFormat="1" ht="15.95" customHeight="1" x14ac:dyDescent="0.2">
      <c r="A25" s="5" t="s">
        <v>344</v>
      </c>
    </row>
    <row r="26" spans="1:6" ht="15.95" customHeight="1" x14ac:dyDescent="0.2">
      <c r="A26" s="2" t="s">
        <v>347</v>
      </c>
      <c r="F26" s="10"/>
    </row>
    <row r="27" spans="1:6" ht="15.95" customHeight="1" x14ac:dyDescent="0.2">
      <c r="A27" s="2" t="s">
        <v>348</v>
      </c>
      <c r="F27" s="10"/>
    </row>
    <row r="28" spans="1:6" ht="15.95" customHeight="1" x14ac:dyDescent="0.2">
      <c r="A28" s="284" t="s">
        <v>12</v>
      </c>
      <c r="B28" s="286" t="s">
        <v>13</v>
      </c>
      <c r="C28" s="286" t="s">
        <v>14</v>
      </c>
      <c r="D28" s="286"/>
      <c r="E28" s="286"/>
      <c r="F28" s="280" t="s">
        <v>15</v>
      </c>
    </row>
    <row r="29" spans="1:6" ht="15.95" customHeight="1" thickBot="1" x14ac:dyDescent="0.25">
      <c r="A29" s="285"/>
      <c r="B29" s="287"/>
      <c r="C29" s="61" t="s">
        <v>16</v>
      </c>
      <c r="D29" s="61" t="s">
        <v>17</v>
      </c>
      <c r="E29" s="61" t="s">
        <v>18</v>
      </c>
      <c r="F29" s="281"/>
    </row>
    <row r="30" spans="1:6" ht="15.95" customHeight="1" thickTop="1" x14ac:dyDescent="0.2">
      <c r="A30" s="288" t="s">
        <v>19</v>
      </c>
      <c r="B30" s="62">
        <v>150</v>
      </c>
      <c r="C30" s="63">
        <f>ROUND(C31/1.1,0)</f>
        <v>251992</v>
      </c>
      <c r="D30" s="63">
        <f t="shared" ref="D30:E31" si="1">ROUND(D31/1.1,0)</f>
        <v>390984</v>
      </c>
      <c r="E30" s="63">
        <f t="shared" si="1"/>
        <v>424562</v>
      </c>
      <c r="F30" s="291" t="s">
        <v>20</v>
      </c>
    </row>
    <row r="31" spans="1:6" ht="15.95" customHeight="1" x14ac:dyDescent="0.2">
      <c r="A31" s="289"/>
      <c r="B31" s="64">
        <v>200</v>
      </c>
      <c r="C31" s="65">
        <f>ROUND(C32/1.1,0)</f>
        <v>277191</v>
      </c>
      <c r="D31" s="65">
        <f t="shared" si="1"/>
        <v>430082</v>
      </c>
      <c r="E31" s="65">
        <f t="shared" si="1"/>
        <v>467018</v>
      </c>
      <c r="F31" s="292"/>
    </row>
    <row r="32" spans="1:6" ht="15.95" customHeight="1" x14ac:dyDescent="0.2">
      <c r="A32" s="289"/>
      <c r="B32" s="64">
        <v>250</v>
      </c>
      <c r="C32" s="65">
        <v>304910</v>
      </c>
      <c r="D32" s="65">
        <v>473090</v>
      </c>
      <c r="E32" s="65">
        <v>513720</v>
      </c>
      <c r="F32" s="292"/>
    </row>
    <row r="33" spans="1:6" ht="15.95" customHeight="1" x14ac:dyDescent="0.2">
      <c r="A33" s="289"/>
      <c r="B33" s="64">
        <v>300</v>
      </c>
      <c r="C33" s="65">
        <v>343940</v>
      </c>
      <c r="D33" s="65">
        <v>518400</v>
      </c>
      <c r="E33" s="65">
        <v>560530</v>
      </c>
      <c r="F33" s="292"/>
    </row>
    <row r="34" spans="1:6" ht="15.95" customHeight="1" x14ac:dyDescent="0.2">
      <c r="A34" s="289"/>
      <c r="B34" s="64">
        <v>350</v>
      </c>
      <c r="C34" s="65">
        <v>375350</v>
      </c>
      <c r="D34" s="65">
        <v>556090</v>
      </c>
      <c r="E34" s="65">
        <v>599720</v>
      </c>
      <c r="F34" s="292"/>
    </row>
    <row r="35" spans="1:6" ht="15.95" customHeight="1" x14ac:dyDescent="0.2">
      <c r="A35" s="289"/>
      <c r="B35" s="64">
        <v>400</v>
      </c>
      <c r="C35" s="65">
        <v>397120</v>
      </c>
      <c r="D35" s="65">
        <v>584120</v>
      </c>
      <c r="E35" s="65">
        <v>629270</v>
      </c>
      <c r="F35" s="292"/>
    </row>
    <row r="36" spans="1:6" ht="15.95" customHeight="1" x14ac:dyDescent="0.2">
      <c r="A36" s="289"/>
      <c r="B36" s="64">
        <v>450</v>
      </c>
      <c r="C36" s="65">
        <v>425750</v>
      </c>
      <c r="D36" s="65">
        <v>619040</v>
      </c>
      <c r="E36" s="65">
        <v>665690</v>
      </c>
      <c r="F36" s="292"/>
    </row>
    <row r="37" spans="1:6" ht="15.95" customHeight="1" x14ac:dyDescent="0.2">
      <c r="A37" s="289"/>
      <c r="B37" s="64">
        <v>500</v>
      </c>
      <c r="C37" s="65">
        <v>464650</v>
      </c>
      <c r="D37" s="65">
        <v>664220</v>
      </c>
      <c r="E37" s="65">
        <v>712380</v>
      </c>
      <c r="F37" s="292"/>
    </row>
    <row r="38" spans="1:6" ht="15.95" customHeight="1" x14ac:dyDescent="0.2">
      <c r="A38" s="289"/>
      <c r="B38" s="64">
        <v>600</v>
      </c>
      <c r="C38" s="65">
        <v>559230</v>
      </c>
      <c r="D38" s="65">
        <v>771360</v>
      </c>
      <c r="E38" s="65">
        <v>822520</v>
      </c>
      <c r="F38" s="292"/>
    </row>
    <row r="39" spans="1:6" ht="15.95" customHeight="1" x14ac:dyDescent="0.2">
      <c r="A39" s="289"/>
      <c r="B39" s="64">
        <v>700</v>
      </c>
      <c r="C39" s="65">
        <v>684940</v>
      </c>
      <c r="D39" s="65">
        <v>909620</v>
      </c>
      <c r="E39" s="65">
        <v>963810</v>
      </c>
      <c r="F39" s="292"/>
    </row>
    <row r="40" spans="1:6" ht="15.95" customHeight="1" x14ac:dyDescent="0.2">
      <c r="A40" s="289"/>
      <c r="B40" s="64">
        <v>800</v>
      </c>
      <c r="C40" s="65">
        <v>819530</v>
      </c>
      <c r="D40" s="65">
        <v>1056780</v>
      </c>
      <c r="E40" s="65">
        <v>1113980</v>
      </c>
      <c r="F40" s="292"/>
    </row>
    <row r="41" spans="1:6" ht="15.95" customHeight="1" x14ac:dyDescent="0.2">
      <c r="A41" s="289"/>
      <c r="B41" s="64">
        <v>900</v>
      </c>
      <c r="C41" s="65">
        <v>922450</v>
      </c>
      <c r="D41" s="65">
        <v>1172260</v>
      </c>
      <c r="E41" s="65">
        <v>1232440</v>
      </c>
      <c r="F41" s="292"/>
    </row>
    <row r="42" spans="1:6" ht="15.95" customHeight="1" x14ac:dyDescent="0.2">
      <c r="A42" s="289"/>
      <c r="B42" s="64">
        <v>1000</v>
      </c>
      <c r="C42" s="65">
        <v>1106380</v>
      </c>
      <c r="D42" s="65">
        <v>1368800</v>
      </c>
      <c r="E42" s="65">
        <v>1432000</v>
      </c>
      <c r="F42" s="292"/>
    </row>
    <row r="43" spans="1:6" ht="15.95" customHeight="1" x14ac:dyDescent="0.2">
      <c r="A43" s="289"/>
      <c r="B43" s="64">
        <v>1100</v>
      </c>
      <c r="C43" s="65">
        <v>1216790</v>
      </c>
      <c r="D43" s="65">
        <v>1491710</v>
      </c>
      <c r="E43" s="65">
        <v>1557930</v>
      </c>
      <c r="F43" s="292"/>
    </row>
    <row r="44" spans="1:6" ht="15.95" customHeight="1" x14ac:dyDescent="0.2">
      <c r="A44" s="289"/>
      <c r="B44" s="64">
        <v>1200</v>
      </c>
      <c r="C44" s="65">
        <v>1442490</v>
      </c>
      <c r="D44" s="65">
        <v>1729980</v>
      </c>
      <c r="E44" s="65">
        <v>1799200</v>
      </c>
      <c r="F44" s="292"/>
    </row>
    <row r="45" spans="1:6" ht="15.95" customHeight="1" x14ac:dyDescent="0.2">
      <c r="A45" s="290"/>
      <c r="B45" s="66">
        <v>1350</v>
      </c>
      <c r="C45" s="67">
        <v>1771790</v>
      </c>
      <c r="D45" s="67">
        <v>2078120</v>
      </c>
      <c r="E45" s="67">
        <v>2151860</v>
      </c>
      <c r="F45" s="293"/>
    </row>
    <row r="46" spans="1:6" ht="15.95" customHeight="1" x14ac:dyDescent="0.2">
      <c r="A46" s="294" t="s">
        <v>22</v>
      </c>
      <c r="B46" s="296" t="s">
        <v>23</v>
      </c>
      <c r="C46" s="298" t="s">
        <v>24</v>
      </c>
      <c r="D46" s="299"/>
      <c r="E46" s="300"/>
      <c r="F46" s="301" t="s">
        <v>25</v>
      </c>
    </row>
    <row r="47" spans="1:6" ht="15.95" customHeight="1" thickBot="1" x14ac:dyDescent="0.25">
      <c r="A47" s="295"/>
      <c r="B47" s="297"/>
      <c r="C47" s="61" t="s">
        <v>26</v>
      </c>
      <c r="D47" s="61" t="s">
        <v>27</v>
      </c>
      <c r="E47" s="61" t="s">
        <v>28</v>
      </c>
      <c r="F47" s="302"/>
    </row>
    <row r="48" spans="1:6" ht="15.95" customHeight="1" thickTop="1" x14ac:dyDescent="0.2">
      <c r="A48" s="303" t="s">
        <v>21</v>
      </c>
      <c r="B48" s="62">
        <v>150</v>
      </c>
      <c r="C48" s="63">
        <f>ROUND(C49/1.1,0)</f>
        <v>324785</v>
      </c>
      <c r="D48" s="63">
        <f t="shared" ref="D48:D49" si="2">ROUND(D49/1.1,0)</f>
        <v>463768</v>
      </c>
      <c r="E48" s="63">
        <f t="shared" ref="E48:E49" si="3">ROUND(E49/1.1,0)</f>
        <v>497347</v>
      </c>
      <c r="F48" s="291" t="s">
        <v>20</v>
      </c>
    </row>
    <row r="49" spans="1:6" ht="15.95" customHeight="1" x14ac:dyDescent="0.2">
      <c r="A49" s="304"/>
      <c r="B49" s="64">
        <v>200</v>
      </c>
      <c r="C49" s="65">
        <f>ROUND(C50/1.1,0)</f>
        <v>357264</v>
      </c>
      <c r="D49" s="65">
        <f t="shared" si="2"/>
        <v>510145</v>
      </c>
      <c r="E49" s="65">
        <f t="shared" si="3"/>
        <v>547082</v>
      </c>
      <c r="F49" s="292"/>
    </row>
    <row r="50" spans="1:6" ht="15.95" customHeight="1" x14ac:dyDescent="0.2">
      <c r="A50" s="304"/>
      <c r="B50" s="64">
        <v>250</v>
      </c>
      <c r="C50" s="65">
        <v>392990</v>
      </c>
      <c r="D50" s="65">
        <v>561160</v>
      </c>
      <c r="E50" s="65">
        <v>601790</v>
      </c>
      <c r="F50" s="292"/>
    </row>
    <row r="51" spans="1:6" ht="15.95" customHeight="1" x14ac:dyDescent="0.2">
      <c r="A51" s="304"/>
      <c r="B51" s="64">
        <v>300</v>
      </c>
      <c r="C51" s="65">
        <v>455170</v>
      </c>
      <c r="D51" s="65">
        <v>629620</v>
      </c>
      <c r="E51" s="65">
        <v>671750</v>
      </c>
      <c r="F51" s="292"/>
    </row>
    <row r="52" spans="1:6" ht="15.95" customHeight="1" x14ac:dyDescent="0.2">
      <c r="A52" s="304"/>
      <c r="B52" s="64">
        <v>350</v>
      </c>
      <c r="C52" s="65">
        <v>527820</v>
      </c>
      <c r="D52" s="65">
        <v>708540</v>
      </c>
      <c r="E52" s="65">
        <v>752190</v>
      </c>
      <c r="F52" s="292"/>
    </row>
    <row r="53" spans="1:6" ht="15.95" customHeight="1" x14ac:dyDescent="0.2">
      <c r="A53" s="304"/>
      <c r="B53" s="64">
        <v>400</v>
      </c>
      <c r="C53" s="65">
        <v>609500</v>
      </c>
      <c r="D53" s="65">
        <v>796510</v>
      </c>
      <c r="E53" s="65">
        <v>841650</v>
      </c>
      <c r="F53" s="292"/>
    </row>
    <row r="54" spans="1:6" ht="15.95" customHeight="1" x14ac:dyDescent="0.2">
      <c r="A54" s="304"/>
      <c r="B54" s="64">
        <v>450</v>
      </c>
      <c r="C54" s="65">
        <v>685660</v>
      </c>
      <c r="D54" s="65">
        <v>878950</v>
      </c>
      <c r="E54" s="65">
        <v>925590</v>
      </c>
      <c r="F54" s="292"/>
    </row>
    <row r="55" spans="1:6" ht="15.95" customHeight="1" x14ac:dyDescent="0.2">
      <c r="A55" s="304"/>
      <c r="B55" s="64">
        <v>500</v>
      </c>
      <c r="C55" s="65">
        <v>766580</v>
      </c>
      <c r="D55" s="65">
        <v>966140</v>
      </c>
      <c r="E55" s="65">
        <v>1014290</v>
      </c>
      <c r="F55" s="292"/>
    </row>
    <row r="56" spans="1:6" ht="15.95" customHeight="1" x14ac:dyDescent="0.2">
      <c r="A56" s="304"/>
      <c r="B56" s="64">
        <v>600</v>
      </c>
      <c r="C56" s="65">
        <v>926180</v>
      </c>
      <c r="D56" s="65">
        <v>1138320</v>
      </c>
      <c r="E56" s="65">
        <v>1189480</v>
      </c>
      <c r="F56" s="292"/>
    </row>
    <row r="57" spans="1:6" ht="15.95" customHeight="1" x14ac:dyDescent="0.2">
      <c r="A57" s="304"/>
      <c r="B57" s="64">
        <v>700</v>
      </c>
      <c r="C57" s="65">
        <v>1126200</v>
      </c>
      <c r="D57" s="65">
        <v>1350880</v>
      </c>
      <c r="E57" s="65">
        <v>1405050</v>
      </c>
      <c r="F57" s="292"/>
    </row>
    <row r="58" spans="1:6" ht="15.95" customHeight="1" x14ac:dyDescent="0.2">
      <c r="A58" s="304"/>
      <c r="B58" s="64">
        <v>800</v>
      </c>
      <c r="C58" s="65">
        <v>1371250</v>
      </c>
      <c r="D58" s="65">
        <v>1608510</v>
      </c>
      <c r="E58" s="65">
        <v>1665690</v>
      </c>
      <c r="F58" s="292"/>
    </row>
    <row r="59" spans="1:6" ht="15.95" customHeight="1" x14ac:dyDescent="0.2">
      <c r="A59" s="304"/>
      <c r="B59" s="64">
        <v>900</v>
      </c>
      <c r="C59" s="65">
        <v>1624380</v>
      </c>
      <c r="D59" s="65">
        <v>1874180</v>
      </c>
      <c r="E59" s="65">
        <v>1934380</v>
      </c>
      <c r="F59" s="292"/>
    </row>
    <row r="60" spans="1:6" ht="15.95" customHeight="1" x14ac:dyDescent="0.2">
      <c r="A60" s="304"/>
      <c r="B60" s="64">
        <v>1000</v>
      </c>
      <c r="C60" s="65">
        <v>1906770</v>
      </c>
      <c r="D60" s="65">
        <v>2169130</v>
      </c>
      <c r="E60" s="65">
        <v>2232330</v>
      </c>
      <c r="F60" s="292"/>
    </row>
    <row r="61" spans="1:6" ht="15.95" customHeight="1" x14ac:dyDescent="0.2">
      <c r="A61" s="304"/>
      <c r="B61" s="64">
        <v>1100</v>
      </c>
      <c r="C61" s="65">
        <v>2272140</v>
      </c>
      <c r="D61" s="65">
        <v>2547060</v>
      </c>
      <c r="E61" s="65">
        <v>2613270</v>
      </c>
      <c r="F61" s="292"/>
    </row>
    <row r="62" spans="1:6" ht="15.95" customHeight="1" x14ac:dyDescent="0.2">
      <c r="A62" s="305"/>
      <c r="B62" s="64">
        <v>1200</v>
      </c>
      <c r="C62" s="65">
        <v>2595360</v>
      </c>
      <c r="D62" s="65">
        <v>2882850</v>
      </c>
      <c r="E62" s="65">
        <v>2952070</v>
      </c>
      <c r="F62" s="306"/>
    </row>
    <row r="63" spans="1:6" ht="15.95" customHeight="1" x14ac:dyDescent="0.2">
      <c r="A63" s="304" t="s">
        <v>29</v>
      </c>
      <c r="B63" s="70">
        <v>150</v>
      </c>
      <c r="C63" s="69">
        <f>ROUND(C64/1.1,0)</f>
        <v>228727</v>
      </c>
      <c r="D63" s="69">
        <f t="shared" ref="D63:D64" si="4">ROUND(D64/1.1,0)</f>
        <v>367719</v>
      </c>
      <c r="E63" s="69">
        <f t="shared" ref="E63:E64" si="5">ROUND(E64/1.1,0)</f>
        <v>401289</v>
      </c>
      <c r="F63" s="311" t="s">
        <v>20</v>
      </c>
    </row>
    <row r="64" spans="1:6" ht="15.95" customHeight="1" x14ac:dyDescent="0.2">
      <c r="A64" s="304"/>
      <c r="B64" s="64">
        <v>200</v>
      </c>
      <c r="C64" s="65">
        <f>ROUND(C65/1.1,0)</f>
        <v>251600</v>
      </c>
      <c r="D64" s="65">
        <f t="shared" si="4"/>
        <v>404491</v>
      </c>
      <c r="E64" s="65">
        <f t="shared" si="5"/>
        <v>441418</v>
      </c>
      <c r="F64" s="311"/>
    </row>
    <row r="65" spans="1:6" ht="15.95" customHeight="1" x14ac:dyDescent="0.2">
      <c r="A65" s="304"/>
      <c r="B65" s="64">
        <v>250</v>
      </c>
      <c r="C65" s="65">
        <v>276760</v>
      </c>
      <c r="D65" s="65">
        <v>444940</v>
      </c>
      <c r="E65" s="65">
        <v>485560</v>
      </c>
      <c r="F65" s="311"/>
    </row>
    <row r="66" spans="1:6" ht="15.95" customHeight="1" x14ac:dyDescent="0.2">
      <c r="A66" s="304"/>
      <c r="B66" s="64">
        <v>300</v>
      </c>
      <c r="C66" s="65">
        <v>312240</v>
      </c>
      <c r="D66" s="65">
        <v>486700</v>
      </c>
      <c r="E66" s="65">
        <v>528820</v>
      </c>
      <c r="F66" s="311"/>
    </row>
    <row r="67" spans="1:6" ht="15.95" customHeight="1" x14ac:dyDescent="0.2">
      <c r="A67" s="304"/>
      <c r="B67" s="64">
        <v>350</v>
      </c>
      <c r="C67" s="65">
        <v>355580</v>
      </c>
      <c r="D67" s="65">
        <v>536320</v>
      </c>
      <c r="E67" s="65">
        <v>579960</v>
      </c>
      <c r="F67" s="311"/>
    </row>
    <row r="68" spans="1:6" ht="15.95" customHeight="1" x14ac:dyDescent="0.2">
      <c r="A68" s="304"/>
      <c r="B68" s="64">
        <v>400</v>
      </c>
      <c r="C68" s="65">
        <v>433090</v>
      </c>
      <c r="D68" s="65">
        <v>620090</v>
      </c>
      <c r="E68" s="65">
        <v>665240</v>
      </c>
      <c r="F68" s="311"/>
    </row>
    <row r="69" spans="1:6" ht="15.95" customHeight="1" x14ac:dyDescent="0.2">
      <c r="A69" s="304"/>
      <c r="B69" s="64">
        <v>450</v>
      </c>
      <c r="C69" s="65">
        <v>484940</v>
      </c>
      <c r="D69" s="65">
        <v>678230</v>
      </c>
      <c r="E69" s="65">
        <v>724880</v>
      </c>
      <c r="F69" s="311"/>
    </row>
    <row r="70" spans="1:6" ht="15.95" customHeight="1" x14ac:dyDescent="0.2">
      <c r="A70" s="304"/>
      <c r="B70" s="64">
        <v>500</v>
      </c>
      <c r="C70" s="65">
        <v>583430</v>
      </c>
      <c r="D70" s="65">
        <v>783000</v>
      </c>
      <c r="E70" s="65">
        <v>831160</v>
      </c>
      <c r="F70" s="311"/>
    </row>
    <row r="71" spans="1:6" ht="15.95" customHeight="1" x14ac:dyDescent="0.2">
      <c r="A71" s="304"/>
      <c r="B71" s="64">
        <v>600</v>
      </c>
      <c r="C71" s="65">
        <v>700790</v>
      </c>
      <c r="D71" s="65">
        <v>912930</v>
      </c>
      <c r="E71" s="65">
        <v>964080</v>
      </c>
      <c r="F71" s="311"/>
    </row>
    <row r="72" spans="1:6" ht="15.95" customHeight="1" x14ac:dyDescent="0.2">
      <c r="A72" s="304"/>
      <c r="B72" s="64">
        <v>700</v>
      </c>
      <c r="C72" s="65">
        <v>819580</v>
      </c>
      <c r="D72" s="65">
        <v>1044270</v>
      </c>
      <c r="E72" s="65">
        <v>1098450</v>
      </c>
      <c r="F72" s="311"/>
    </row>
    <row r="73" spans="1:6" ht="15.95" customHeight="1" x14ac:dyDescent="0.2">
      <c r="A73" s="304"/>
      <c r="B73" s="64">
        <v>800</v>
      </c>
      <c r="C73" s="65">
        <v>1003960</v>
      </c>
      <c r="D73" s="65">
        <v>1241210</v>
      </c>
      <c r="E73" s="65">
        <v>1298390</v>
      </c>
      <c r="F73" s="311"/>
    </row>
    <row r="74" spans="1:6" ht="15.95" customHeight="1" x14ac:dyDescent="0.2">
      <c r="A74" s="304"/>
      <c r="B74" s="64">
        <v>900</v>
      </c>
      <c r="C74" s="65">
        <v>1166010</v>
      </c>
      <c r="D74" s="65">
        <v>1415810</v>
      </c>
      <c r="E74" s="65">
        <v>1476010</v>
      </c>
      <c r="F74" s="311"/>
    </row>
    <row r="75" spans="1:6" ht="15.95" customHeight="1" x14ac:dyDescent="0.2">
      <c r="A75" s="304"/>
      <c r="B75" s="64">
        <v>1000</v>
      </c>
      <c r="C75" s="65">
        <v>1409210</v>
      </c>
      <c r="D75" s="65">
        <v>1671560</v>
      </c>
      <c r="E75" s="65">
        <v>1734770</v>
      </c>
      <c r="F75" s="311"/>
    </row>
    <row r="76" spans="1:6" ht="15.95" customHeight="1" x14ac:dyDescent="0.2">
      <c r="A76" s="305"/>
      <c r="B76" s="64">
        <v>1200</v>
      </c>
      <c r="C76" s="65">
        <v>1808630</v>
      </c>
      <c r="D76" s="65">
        <v>2096120</v>
      </c>
      <c r="E76" s="65">
        <v>2165330</v>
      </c>
      <c r="F76" s="312"/>
    </row>
    <row r="77" spans="1:6" ht="15.95" customHeight="1" x14ac:dyDescent="0.2">
      <c r="A77" s="307" t="s">
        <v>30</v>
      </c>
      <c r="B77" s="64" t="s">
        <v>392</v>
      </c>
      <c r="C77" s="65">
        <v>2140270</v>
      </c>
      <c r="D77" s="65">
        <v>2261360</v>
      </c>
      <c r="E77" s="65">
        <v>2290700</v>
      </c>
      <c r="F77" s="309" t="s">
        <v>31</v>
      </c>
    </row>
    <row r="78" spans="1:6" ht="15.95" customHeight="1" x14ac:dyDescent="0.2">
      <c r="A78" s="307"/>
      <c r="B78" s="64" t="s">
        <v>32</v>
      </c>
      <c r="C78" s="65">
        <v>2292570</v>
      </c>
      <c r="D78" s="65">
        <v>2413650</v>
      </c>
      <c r="E78" s="65">
        <v>2442990</v>
      </c>
      <c r="F78" s="309"/>
    </row>
    <row r="79" spans="1:6" ht="15.95" customHeight="1" x14ac:dyDescent="0.2">
      <c r="A79" s="307"/>
      <c r="B79" s="64" t="s">
        <v>33</v>
      </c>
      <c r="C79" s="65">
        <v>2425320</v>
      </c>
      <c r="D79" s="65">
        <v>2546410</v>
      </c>
      <c r="E79" s="65">
        <v>2575750</v>
      </c>
      <c r="F79" s="309"/>
    </row>
    <row r="80" spans="1:6" ht="15.95" customHeight="1" x14ac:dyDescent="0.2">
      <c r="A80" s="307"/>
      <c r="B80" s="64" t="s">
        <v>34</v>
      </c>
      <c r="C80" s="65">
        <v>2472180</v>
      </c>
      <c r="D80" s="65">
        <v>2593270</v>
      </c>
      <c r="E80" s="65">
        <v>2622610</v>
      </c>
      <c r="F80" s="309"/>
    </row>
    <row r="81" spans="1:6" ht="15.95" customHeight="1" x14ac:dyDescent="0.2">
      <c r="A81" s="307"/>
      <c r="B81" s="64" t="s">
        <v>35</v>
      </c>
      <c r="C81" s="65">
        <v>2850960</v>
      </c>
      <c r="D81" s="65">
        <v>2972050</v>
      </c>
      <c r="E81" s="65">
        <v>3001390</v>
      </c>
      <c r="F81" s="309"/>
    </row>
    <row r="82" spans="1:6" ht="15.95" customHeight="1" x14ac:dyDescent="0.2">
      <c r="A82" s="307"/>
      <c r="B82" s="64" t="s">
        <v>36</v>
      </c>
      <c r="C82" s="65">
        <v>3171170</v>
      </c>
      <c r="D82" s="65">
        <v>3292260</v>
      </c>
      <c r="E82" s="65">
        <v>3321590</v>
      </c>
      <c r="F82" s="309"/>
    </row>
    <row r="83" spans="1:6" ht="15.95" customHeight="1" x14ac:dyDescent="0.2">
      <c r="A83" s="307"/>
      <c r="B83" s="64" t="s">
        <v>37</v>
      </c>
      <c r="C83" s="65">
        <v>3737380</v>
      </c>
      <c r="D83" s="65">
        <v>3858470</v>
      </c>
      <c r="E83" s="65">
        <v>3887800</v>
      </c>
      <c r="F83" s="309"/>
    </row>
    <row r="84" spans="1:6" ht="15.95" customHeight="1" x14ac:dyDescent="0.2">
      <c r="A84" s="307"/>
      <c r="B84" s="64" t="s">
        <v>38</v>
      </c>
      <c r="C84" s="65">
        <v>3717860</v>
      </c>
      <c r="D84" s="65">
        <v>3838930</v>
      </c>
      <c r="E84" s="65">
        <v>3868270</v>
      </c>
      <c r="F84" s="309"/>
    </row>
    <row r="85" spans="1:6" ht="15.95" customHeight="1" x14ac:dyDescent="0.2">
      <c r="A85" s="307"/>
      <c r="B85" s="64" t="s">
        <v>39</v>
      </c>
      <c r="C85" s="65">
        <v>4202060</v>
      </c>
      <c r="D85" s="65">
        <v>4323150</v>
      </c>
      <c r="E85" s="65">
        <v>4352480</v>
      </c>
      <c r="F85" s="309"/>
    </row>
    <row r="86" spans="1:6" ht="15.95" customHeight="1" x14ac:dyDescent="0.2">
      <c r="A86" s="307"/>
      <c r="B86" s="64" t="s">
        <v>40</v>
      </c>
      <c r="C86" s="65">
        <v>4764370</v>
      </c>
      <c r="D86" s="65">
        <v>4885450</v>
      </c>
      <c r="E86" s="65">
        <v>4914790</v>
      </c>
      <c r="F86" s="309"/>
    </row>
    <row r="87" spans="1:6" ht="15.95" customHeight="1" x14ac:dyDescent="0.2">
      <c r="A87" s="307"/>
      <c r="B87" s="64" t="s">
        <v>41</v>
      </c>
      <c r="C87" s="65">
        <v>5373540</v>
      </c>
      <c r="D87" s="65">
        <v>5494620</v>
      </c>
      <c r="E87" s="65">
        <v>5523960</v>
      </c>
      <c r="F87" s="309"/>
    </row>
    <row r="88" spans="1:6" ht="15.95" customHeight="1" x14ac:dyDescent="0.2">
      <c r="A88" s="307"/>
      <c r="B88" s="64" t="s">
        <v>42</v>
      </c>
      <c r="C88" s="65">
        <v>5740590</v>
      </c>
      <c r="D88" s="65">
        <v>5861680</v>
      </c>
      <c r="E88" s="65">
        <v>5891020</v>
      </c>
      <c r="F88" s="309"/>
    </row>
    <row r="89" spans="1:6" ht="15.95" customHeight="1" x14ac:dyDescent="0.2">
      <c r="A89" s="307"/>
      <c r="B89" s="64" t="s">
        <v>43</v>
      </c>
      <c r="C89" s="65">
        <v>5662500</v>
      </c>
      <c r="D89" s="65">
        <v>5783580</v>
      </c>
      <c r="E89" s="65">
        <v>5812920</v>
      </c>
      <c r="F89" s="309"/>
    </row>
    <row r="90" spans="1:6" ht="15.95" customHeight="1" x14ac:dyDescent="0.2">
      <c r="A90" s="307"/>
      <c r="B90" s="64" t="s">
        <v>44</v>
      </c>
      <c r="C90" s="65">
        <v>6396620</v>
      </c>
      <c r="D90" s="65">
        <v>6517710</v>
      </c>
      <c r="E90" s="65">
        <v>6547050</v>
      </c>
      <c r="F90" s="309"/>
    </row>
    <row r="91" spans="1:6" ht="15.95" customHeight="1" x14ac:dyDescent="0.2">
      <c r="A91" s="307"/>
      <c r="B91" s="64" t="s">
        <v>45</v>
      </c>
      <c r="C91" s="65">
        <v>6931600</v>
      </c>
      <c r="D91" s="65">
        <v>7052680</v>
      </c>
      <c r="E91" s="65">
        <v>7082020</v>
      </c>
      <c r="F91" s="309"/>
    </row>
    <row r="92" spans="1:6" ht="15.95" customHeight="1" x14ac:dyDescent="0.2">
      <c r="A92" s="308"/>
      <c r="B92" s="66" t="s">
        <v>46</v>
      </c>
      <c r="C92" s="67">
        <v>7337710</v>
      </c>
      <c r="D92" s="67">
        <v>7458800</v>
      </c>
      <c r="E92" s="67">
        <v>7488140</v>
      </c>
      <c r="F92" s="310"/>
    </row>
    <row r="94" spans="1:6" s="4" customFormat="1" ht="15.95" customHeight="1" x14ac:dyDescent="0.2">
      <c r="A94" s="5" t="s">
        <v>345</v>
      </c>
    </row>
    <row r="95" spans="1:6" ht="15.95" customHeight="1" x14ac:dyDescent="0.2">
      <c r="A95" s="2" t="s">
        <v>47</v>
      </c>
      <c r="F95" s="10"/>
    </row>
    <row r="96" spans="1:6" ht="15.95" customHeight="1" x14ac:dyDescent="0.2">
      <c r="A96" s="284" t="s">
        <v>48</v>
      </c>
      <c r="B96" s="286"/>
      <c r="C96" s="286" t="s">
        <v>49</v>
      </c>
      <c r="D96" s="286"/>
      <c r="E96" s="286" t="s">
        <v>346</v>
      </c>
      <c r="F96" s="280"/>
    </row>
    <row r="97" spans="1:6" ht="15.95" customHeight="1" thickBot="1" x14ac:dyDescent="0.25">
      <c r="A97" s="139" t="s">
        <v>50</v>
      </c>
      <c r="B97" s="32" t="s">
        <v>24</v>
      </c>
      <c r="C97" s="140" t="s">
        <v>50</v>
      </c>
      <c r="D97" s="32" t="s">
        <v>24</v>
      </c>
      <c r="E97" s="287"/>
      <c r="F97" s="281"/>
    </row>
    <row r="98" spans="1:6" ht="15.95" customHeight="1" thickTop="1" x14ac:dyDescent="0.2">
      <c r="A98" s="68">
        <v>250</v>
      </c>
      <c r="B98" s="69">
        <v>419833</v>
      </c>
      <c r="C98" s="70">
        <v>250</v>
      </c>
      <c r="D98" s="69">
        <v>601823</v>
      </c>
      <c r="E98" s="273"/>
      <c r="F98" s="274"/>
    </row>
    <row r="99" spans="1:6" ht="15.95" customHeight="1" x14ac:dyDescent="0.2">
      <c r="A99" s="71">
        <v>300</v>
      </c>
      <c r="B99" s="65">
        <v>448386</v>
      </c>
      <c r="C99" s="64">
        <v>300</v>
      </c>
      <c r="D99" s="65">
        <v>615120</v>
      </c>
      <c r="E99" s="257"/>
      <c r="F99" s="258"/>
    </row>
    <row r="100" spans="1:6" ht="15.95" customHeight="1" x14ac:dyDescent="0.2">
      <c r="A100" s="71">
        <v>350</v>
      </c>
      <c r="B100" s="65">
        <v>485504</v>
      </c>
      <c r="C100" s="64">
        <v>350</v>
      </c>
      <c r="D100" s="65">
        <v>703381</v>
      </c>
      <c r="E100" s="257"/>
      <c r="F100" s="258"/>
    </row>
    <row r="101" spans="1:6" ht="15.95" customHeight="1" x14ac:dyDescent="0.2">
      <c r="A101" s="71">
        <v>400</v>
      </c>
      <c r="B101" s="65">
        <v>522622</v>
      </c>
      <c r="C101" s="64">
        <v>400</v>
      </c>
      <c r="D101" s="65">
        <v>791640</v>
      </c>
      <c r="E101" s="257"/>
      <c r="F101" s="258"/>
    </row>
    <row r="102" spans="1:6" ht="15.95" customHeight="1" x14ac:dyDescent="0.2">
      <c r="A102" s="71">
        <v>450</v>
      </c>
      <c r="B102" s="65">
        <v>562730</v>
      </c>
      <c r="C102" s="64">
        <v>450</v>
      </c>
      <c r="D102" s="65">
        <v>818607</v>
      </c>
      <c r="E102" s="257"/>
      <c r="F102" s="258"/>
    </row>
    <row r="103" spans="1:6" ht="15.95" customHeight="1" x14ac:dyDescent="0.2">
      <c r="A103" s="71">
        <v>500</v>
      </c>
      <c r="B103" s="65">
        <v>617074</v>
      </c>
      <c r="C103" s="64">
        <v>500</v>
      </c>
      <c r="D103" s="65">
        <v>1020051</v>
      </c>
      <c r="E103" s="257"/>
      <c r="F103" s="258"/>
    </row>
    <row r="104" spans="1:6" ht="15.95" customHeight="1" x14ac:dyDescent="0.2">
      <c r="A104" s="71">
        <v>600</v>
      </c>
      <c r="B104" s="65">
        <v>682434</v>
      </c>
      <c r="C104" s="64">
        <v>600</v>
      </c>
      <c r="D104" s="65">
        <v>1065017</v>
      </c>
      <c r="E104" s="257"/>
      <c r="F104" s="258"/>
    </row>
    <row r="105" spans="1:6" ht="15.95" customHeight="1" x14ac:dyDescent="0.2">
      <c r="A105" s="71">
        <v>700</v>
      </c>
      <c r="B105" s="65">
        <v>819780</v>
      </c>
      <c r="C105" s="64">
        <v>700</v>
      </c>
      <c r="D105" s="65">
        <v>1088340</v>
      </c>
      <c r="E105" s="257"/>
      <c r="F105" s="258"/>
    </row>
    <row r="106" spans="1:6" ht="15.95" customHeight="1" x14ac:dyDescent="0.2">
      <c r="A106" s="71">
        <v>800</v>
      </c>
      <c r="B106" s="65">
        <v>941010</v>
      </c>
      <c r="C106" s="64">
        <v>800</v>
      </c>
      <c r="D106" s="65">
        <v>1512078</v>
      </c>
      <c r="E106" s="257"/>
      <c r="F106" s="258"/>
    </row>
    <row r="107" spans="1:6" ht="15.95" customHeight="1" x14ac:dyDescent="0.2">
      <c r="A107" s="71">
        <v>900</v>
      </c>
      <c r="B107" s="65">
        <v>1035086</v>
      </c>
      <c r="C107" s="64">
        <v>900</v>
      </c>
      <c r="D107" s="65">
        <v>1544196</v>
      </c>
      <c r="E107" s="257"/>
      <c r="F107" s="258"/>
    </row>
    <row r="108" spans="1:6" ht="15.95" customHeight="1" x14ac:dyDescent="0.2">
      <c r="A108" s="71">
        <v>1000</v>
      </c>
      <c r="B108" s="65">
        <v>1222578</v>
      </c>
      <c r="C108" s="64">
        <v>1000</v>
      </c>
      <c r="D108" s="65">
        <v>1580941</v>
      </c>
      <c r="E108" s="257"/>
      <c r="F108" s="258"/>
    </row>
    <row r="109" spans="1:6" ht="15.95" customHeight="1" x14ac:dyDescent="0.2">
      <c r="A109" s="71">
        <v>1100</v>
      </c>
      <c r="B109" s="65">
        <v>1393251</v>
      </c>
      <c r="C109" s="64">
        <v>1100</v>
      </c>
      <c r="D109" s="65">
        <v>1661493</v>
      </c>
      <c r="E109" s="257"/>
      <c r="F109" s="258"/>
    </row>
    <row r="110" spans="1:6" ht="15.95" customHeight="1" x14ac:dyDescent="0.2">
      <c r="A110" s="71">
        <v>1200</v>
      </c>
      <c r="B110" s="65">
        <v>1535869</v>
      </c>
      <c r="C110" s="64">
        <v>1200</v>
      </c>
      <c r="D110" s="65">
        <v>1693930</v>
      </c>
      <c r="E110" s="257"/>
      <c r="F110" s="258"/>
    </row>
    <row r="111" spans="1:6" ht="15.95" customHeight="1" x14ac:dyDescent="0.2">
      <c r="A111" s="71">
        <v>1350</v>
      </c>
      <c r="B111" s="65">
        <v>1736156</v>
      </c>
      <c r="C111" s="72"/>
      <c r="D111" s="72"/>
      <c r="E111" s="259"/>
      <c r="F111" s="260"/>
    </row>
    <row r="112" spans="1:6" ht="15.95" customHeight="1" x14ac:dyDescent="0.2">
      <c r="A112" s="148">
        <v>1500</v>
      </c>
      <c r="B112" s="67">
        <v>2064855</v>
      </c>
      <c r="C112" s="73"/>
      <c r="D112" s="73"/>
      <c r="E112" s="261"/>
      <c r="F112" s="262"/>
    </row>
    <row r="114" spans="1:6" s="4" customFormat="1" ht="15.95" customHeight="1" x14ac:dyDescent="0.2">
      <c r="A114" s="5" t="s">
        <v>113</v>
      </c>
    </row>
    <row r="115" spans="1:6" ht="15.95" customHeight="1" x14ac:dyDescent="0.2">
      <c r="A115" s="2" t="s">
        <v>114</v>
      </c>
      <c r="F115" s="10"/>
    </row>
    <row r="116" spans="1:6" ht="15.95" customHeight="1" thickBot="1" x14ac:dyDescent="0.25">
      <c r="A116" s="255" t="s">
        <v>52</v>
      </c>
      <c r="B116" s="256"/>
      <c r="C116" s="256" t="s">
        <v>53</v>
      </c>
      <c r="D116" s="256"/>
      <c r="E116" s="256" t="s">
        <v>52</v>
      </c>
      <c r="F116" s="267"/>
    </row>
    <row r="117" spans="1:6" ht="15.95" customHeight="1" thickTop="1" x14ac:dyDescent="0.2">
      <c r="A117" s="279" t="s">
        <v>118</v>
      </c>
      <c r="B117" s="269"/>
      <c r="C117" s="268">
        <v>819730</v>
      </c>
      <c r="D117" s="268"/>
      <c r="E117" s="269"/>
      <c r="F117" s="270"/>
    </row>
    <row r="118" spans="1:6" ht="15.95" customHeight="1" x14ac:dyDescent="0.2">
      <c r="A118" s="275" t="s">
        <v>119</v>
      </c>
      <c r="B118" s="276"/>
      <c r="C118" s="277">
        <v>251116</v>
      </c>
      <c r="D118" s="277"/>
      <c r="E118" s="276"/>
      <c r="F118" s="278"/>
    </row>
    <row r="119" spans="1:6" ht="15.95" customHeight="1" x14ac:dyDescent="0.2">
      <c r="A119" s="275" t="s">
        <v>120</v>
      </c>
      <c r="B119" s="276"/>
      <c r="C119" s="277">
        <v>490710</v>
      </c>
      <c r="D119" s="277"/>
      <c r="E119" s="276"/>
      <c r="F119" s="278"/>
    </row>
    <row r="120" spans="1:6" ht="15.95" customHeight="1" x14ac:dyDescent="0.2">
      <c r="A120" s="265" t="s">
        <v>121</v>
      </c>
      <c r="B120" s="263"/>
      <c r="C120" s="266">
        <v>131834</v>
      </c>
      <c r="D120" s="266"/>
      <c r="E120" s="263"/>
      <c r="F120" s="264"/>
    </row>
    <row r="122" spans="1:6" s="4" customFormat="1" ht="15.95" customHeight="1" x14ac:dyDescent="0.2">
      <c r="A122" s="3" t="s">
        <v>51</v>
      </c>
    </row>
    <row r="123" spans="1:6" ht="15.95" customHeight="1" x14ac:dyDescent="0.2">
      <c r="A123" s="2" t="s">
        <v>115</v>
      </c>
      <c r="F123" s="10"/>
    </row>
    <row r="124" spans="1:6" ht="15.95" customHeight="1" thickBot="1" x14ac:dyDescent="0.25">
      <c r="A124" s="255" t="s">
        <v>52</v>
      </c>
      <c r="B124" s="256"/>
      <c r="C124" s="256" t="s">
        <v>53</v>
      </c>
      <c r="D124" s="256"/>
      <c r="E124" s="256" t="s">
        <v>52</v>
      </c>
      <c r="F124" s="267"/>
    </row>
    <row r="125" spans="1:6" ht="15.95" customHeight="1" thickTop="1" x14ac:dyDescent="0.2">
      <c r="A125" s="271" t="s">
        <v>122</v>
      </c>
      <c r="B125" s="74" t="s">
        <v>54</v>
      </c>
      <c r="C125" s="268">
        <v>2800000</v>
      </c>
      <c r="D125" s="268"/>
      <c r="E125" s="269"/>
      <c r="F125" s="270"/>
    </row>
    <row r="126" spans="1:6" ht="15.95" customHeight="1" x14ac:dyDescent="0.2">
      <c r="A126" s="272"/>
      <c r="B126" s="75" t="s">
        <v>55</v>
      </c>
      <c r="C126" s="277">
        <v>6000000</v>
      </c>
      <c r="D126" s="277"/>
      <c r="E126" s="276"/>
      <c r="F126" s="278"/>
    </row>
    <row r="127" spans="1:6" ht="15.95" customHeight="1" x14ac:dyDescent="0.2">
      <c r="A127" s="314" t="s">
        <v>123</v>
      </c>
      <c r="B127" s="76" t="s">
        <v>54</v>
      </c>
      <c r="C127" s="313">
        <v>2290767</v>
      </c>
      <c r="D127" s="313"/>
      <c r="E127" s="282"/>
      <c r="F127" s="306"/>
    </row>
    <row r="128" spans="1:6" ht="15.95" customHeight="1" x14ac:dyDescent="0.2">
      <c r="A128" s="315"/>
      <c r="B128" s="77" t="s">
        <v>55</v>
      </c>
      <c r="C128" s="266">
        <v>5535371</v>
      </c>
      <c r="D128" s="266"/>
      <c r="E128" s="263"/>
      <c r="F128" s="264"/>
    </row>
    <row r="130" spans="1:7" s="4" customFormat="1" ht="15.95" customHeight="1" x14ac:dyDescent="0.2">
      <c r="A130" s="3" t="s">
        <v>439</v>
      </c>
    </row>
    <row r="131" spans="1:7" ht="15.95" customHeight="1" x14ac:dyDescent="0.2">
      <c r="A131" s="2" t="s">
        <v>442</v>
      </c>
    </row>
    <row r="132" spans="1:7" ht="15.95" customHeight="1" thickBot="1" x14ac:dyDescent="0.25">
      <c r="A132" s="255" t="s">
        <v>52</v>
      </c>
      <c r="B132" s="256"/>
      <c r="C132" s="318" t="s">
        <v>444</v>
      </c>
      <c r="D132" s="319"/>
      <c r="E132" s="320"/>
      <c r="F132" s="136" t="s">
        <v>445</v>
      </c>
    </row>
    <row r="133" spans="1:7" ht="15.95" customHeight="1" thickTop="1" x14ac:dyDescent="0.2">
      <c r="A133" s="316" t="s">
        <v>443</v>
      </c>
      <c r="B133" s="317"/>
      <c r="C133" s="321" t="s">
        <v>446</v>
      </c>
      <c r="D133" s="322"/>
      <c r="E133" s="323"/>
      <c r="F133" s="161"/>
    </row>
    <row r="134" spans="1:7" s="60" customFormat="1" ht="15.95" customHeight="1" x14ac:dyDescent="0.2">
      <c r="A134" s="56" t="s">
        <v>447</v>
      </c>
      <c r="B134" s="57"/>
      <c r="C134" s="58"/>
      <c r="D134" s="57"/>
      <c r="E134" s="59"/>
      <c r="F134" s="59"/>
      <c r="G134" s="59"/>
    </row>
    <row r="136" spans="1:7" s="4" customFormat="1" ht="15.95" customHeight="1" x14ac:dyDescent="0.2">
      <c r="A136" s="3" t="s">
        <v>440</v>
      </c>
    </row>
    <row r="137" spans="1:7" ht="15.95" customHeight="1" x14ac:dyDescent="0.2">
      <c r="A137" s="2" t="s">
        <v>116</v>
      </c>
    </row>
    <row r="138" spans="1:7" ht="15.95" customHeight="1" thickBot="1" x14ac:dyDescent="0.25">
      <c r="A138" s="255" t="s">
        <v>52</v>
      </c>
      <c r="B138" s="256"/>
      <c r="C138" s="256" t="s">
        <v>53</v>
      </c>
      <c r="D138" s="256"/>
      <c r="E138" s="256" t="s">
        <v>52</v>
      </c>
      <c r="F138" s="267"/>
    </row>
    <row r="139" spans="1:7" ht="15.95" customHeight="1" thickTop="1" x14ac:dyDescent="0.2">
      <c r="A139" s="272" t="s">
        <v>56</v>
      </c>
      <c r="B139" s="76" t="s">
        <v>57</v>
      </c>
      <c r="C139" s="313">
        <v>71500000</v>
      </c>
      <c r="D139" s="313"/>
      <c r="E139" s="282"/>
      <c r="F139" s="306"/>
    </row>
    <row r="140" spans="1:7" ht="15.95" customHeight="1" x14ac:dyDescent="0.2">
      <c r="A140" s="265"/>
      <c r="B140" s="77" t="s">
        <v>58</v>
      </c>
      <c r="C140" s="266">
        <v>100000000</v>
      </c>
      <c r="D140" s="266"/>
      <c r="E140" s="263"/>
      <c r="F140" s="264"/>
    </row>
    <row r="142" spans="1:7" ht="15.95" customHeight="1" x14ac:dyDescent="0.2">
      <c r="A142" s="3" t="s">
        <v>441</v>
      </c>
    </row>
    <row r="143" spans="1:7" ht="15.95" customHeight="1" x14ac:dyDescent="0.2">
      <c r="A143" s="2" t="s">
        <v>117</v>
      </c>
    </row>
    <row r="144" spans="1:7" ht="15.95" customHeight="1" thickBot="1" x14ac:dyDescent="0.25">
      <c r="A144" s="134" t="s">
        <v>50</v>
      </c>
      <c r="B144" s="135">
        <v>80</v>
      </c>
      <c r="C144" s="135">
        <v>100</v>
      </c>
      <c r="D144" s="135">
        <v>150</v>
      </c>
      <c r="E144" s="135">
        <v>200</v>
      </c>
      <c r="F144" s="136">
        <v>250</v>
      </c>
    </row>
    <row r="145" spans="1:7" ht="15.95" customHeight="1" thickTop="1" x14ac:dyDescent="0.2">
      <c r="A145" s="141" t="s">
        <v>24</v>
      </c>
      <c r="B145" s="67">
        <v>320148</v>
      </c>
      <c r="C145" s="67">
        <v>337029</v>
      </c>
      <c r="D145" s="67">
        <v>387221</v>
      </c>
      <c r="E145" s="67">
        <v>431161</v>
      </c>
      <c r="F145" s="78">
        <v>485685</v>
      </c>
    </row>
    <row r="147" spans="1:7" ht="15.95" customHeight="1" x14ac:dyDescent="0.2">
      <c r="A147" s="1" t="s">
        <v>59</v>
      </c>
      <c r="B147" s="6"/>
      <c r="C147" s="8"/>
      <c r="D147" s="6"/>
      <c r="E147" s="12"/>
      <c r="F147" s="12"/>
    </row>
    <row r="148" spans="1:7" ht="15.95" customHeight="1" x14ac:dyDescent="0.2">
      <c r="A148" s="324" t="s">
        <v>52</v>
      </c>
      <c r="B148" s="326" t="s">
        <v>60</v>
      </c>
      <c r="C148" s="326" t="s">
        <v>61</v>
      </c>
      <c r="D148" s="326" t="s">
        <v>62</v>
      </c>
      <c r="E148" s="326"/>
      <c r="F148" s="328" t="s">
        <v>63</v>
      </c>
    </row>
    <row r="149" spans="1:7" ht="15.95" customHeight="1" thickBot="1" x14ac:dyDescent="0.25">
      <c r="A149" s="325"/>
      <c r="B149" s="327"/>
      <c r="C149" s="327"/>
      <c r="D149" s="79" t="s">
        <v>64</v>
      </c>
      <c r="E149" s="61" t="s">
        <v>65</v>
      </c>
      <c r="F149" s="329"/>
    </row>
    <row r="150" spans="1:7" ht="15.95" customHeight="1" thickTop="1" x14ac:dyDescent="0.2">
      <c r="A150" s="151">
        <v>50</v>
      </c>
      <c r="B150" s="80">
        <v>3.09</v>
      </c>
      <c r="C150" s="80">
        <v>6.18</v>
      </c>
      <c r="D150" s="80">
        <v>3.02</v>
      </c>
      <c r="E150" s="80">
        <v>8.92</v>
      </c>
      <c r="F150" s="81">
        <v>1.08</v>
      </c>
      <c r="G150" s="2">
        <v>1</v>
      </c>
    </row>
    <row r="151" spans="1:7" ht="15.95" customHeight="1" x14ac:dyDescent="0.2">
      <c r="A151" s="152">
        <v>100</v>
      </c>
      <c r="B151" s="82">
        <v>2.9</v>
      </c>
      <c r="C151" s="82">
        <v>5.78</v>
      </c>
      <c r="D151" s="82">
        <v>2.85</v>
      </c>
      <c r="E151" s="82">
        <v>8.92</v>
      </c>
      <c r="F151" s="83">
        <v>0.9</v>
      </c>
      <c r="G151" s="2">
        <v>2</v>
      </c>
    </row>
    <row r="152" spans="1:7" ht="15.95" customHeight="1" x14ac:dyDescent="0.2">
      <c r="A152" s="152">
        <v>200</v>
      </c>
      <c r="B152" s="82">
        <v>2.31</v>
      </c>
      <c r="C152" s="82">
        <v>4.62</v>
      </c>
      <c r="D152" s="82">
        <v>2.2599999999999998</v>
      </c>
      <c r="E152" s="82">
        <v>8.92</v>
      </c>
      <c r="F152" s="83">
        <v>0.72</v>
      </c>
      <c r="G152" s="2">
        <v>3</v>
      </c>
    </row>
    <row r="153" spans="1:7" ht="15.95" customHeight="1" x14ac:dyDescent="0.2">
      <c r="A153" s="152">
        <v>300</v>
      </c>
      <c r="B153" s="82">
        <v>2.12</v>
      </c>
      <c r="C153" s="82">
        <v>4.22</v>
      </c>
      <c r="D153" s="82">
        <v>2.06</v>
      </c>
      <c r="E153" s="82">
        <v>8.92</v>
      </c>
      <c r="F153" s="83">
        <v>0.72</v>
      </c>
      <c r="G153" s="2">
        <v>4</v>
      </c>
    </row>
    <row r="154" spans="1:7" ht="15.95" customHeight="1" x14ac:dyDescent="0.2">
      <c r="A154" s="152">
        <v>500</v>
      </c>
      <c r="B154" s="82">
        <v>1.91</v>
      </c>
      <c r="C154" s="82">
        <v>3.84</v>
      </c>
      <c r="D154" s="82">
        <v>1.89</v>
      </c>
      <c r="E154" s="82">
        <v>8.92</v>
      </c>
      <c r="F154" s="83">
        <v>0.72</v>
      </c>
      <c r="G154" s="2">
        <v>5</v>
      </c>
    </row>
    <row r="155" spans="1:7" ht="15.95" customHeight="1" x14ac:dyDescent="0.2">
      <c r="A155" s="152">
        <v>1000</v>
      </c>
      <c r="B155" s="82">
        <v>1.69</v>
      </c>
      <c r="C155" s="82">
        <v>3.38</v>
      </c>
      <c r="D155" s="82">
        <v>1.66</v>
      </c>
      <c r="E155" s="82">
        <v>8.92</v>
      </c>
      <c r="F155" s="83">
        <v>0.63</v>
      </c>
      <c r="G155" s="2">
        <v>6</v>
      </c>
    </row>
    <row r="156" spans="1:7" ht="15.95" customHeight="1" x14ac:dyDescent="0.2">
      <c r="A156" s="152">
        <v>2000</v>
      </c>
      <c r="B156" s="82">
        <v>1.55</v>
      </c>
      <c r="C156" s="82">
        <v>3.11</v>
      </c>
      <c r="D156" s="82">
        <v>1.53</v>
      </c>
      <c r="E156" s="82">
        <v>8.92</v>
      </c>
      <c r="F156" s="83">
        <v>0.36</v>
      </c>
      <c r="G156" s="2">
        <v>7</v>
      </c>
    </row>
    <row r="157" spans="1:7" ht="15.95" customHeight="1" x14ac:dyDescent="0.2">
      <c r="A157" s="152">
        <v>3000</v>
      </c>
      <c r="B157" s="82">
        <v>1.5</v>
      </c>
      <c r="C157" s="82">
        <v>3</v>
      </c>
      <c r="D157" s="82">
        <v>1.48</v>
      </c>
      <c r="E157" s="82">
        <v>8.92</v>
      </c>
      <c r="F157" s="83">
        <v>0.36</v>
      </c>
      <c r="G157" s="2">
        <v>8</v>
      </c>
    </row>
    <row r="158" spans="1:7" ht="15.95" customHeight="1" x14ac:dyDescent="0.2">
      <c r="A158" s="152">
        <v>5000</v>
      </c>
      <c r="B158" s="82">
        <v>1.47</v>
      </c>
      <c r="C158" s="82">
        <v>2.94</v>
      </c>
      <c r="D158" s="82">
        <v>1.45</v>
      </c>
      <c r="E158" s="82">
        <v>8.92</v>
      </c>
      <c r="F158" s="83">
        <v>0.27</v>
      </c>
      <c r="G158" s="2">
        <v>9</v>
      </c>
    </row>
    <row r="159" spans="1:7" ht="15.95" customHeight="1" x14ac:dyDescent="0.2">
      <c r="A159" s="152">
        <v>10000</v>
      </c>
      <c r="B159" s="82">
        <v>1.44</v>
      </c>
      <c r="C159" s="82">
        <v>2.87</v>
      </c>
      <c r="D159" s="82">
        <v>1.41</v>
      </c>
      <c r="E159" s="82">
        <v>8.92</v>
      </c>
      <c r="F159" s="83">
        <v>0.25</v>
      </c>
      <c r="G159" s="2">
        <v>10</v>
      </c>
    </row>
    <row r="160" spans="1:7" ht="15.95" customHeight="1" x14ac:dyDescent="0.2">
      <c r="A160" s="152">
        <v>20000</v>
      </c>
      <c r="B160" s="82">
        <v>1.39</v>
      </c>
      <c r="C160" s="82">
        <v>2.77</v>
      </c>
      <c r="D160" s="82">
        <v>1.37</v>
      </c>
      <c r="E160" s="82">
        <v>7.21</v>
      </c>
      <c r="F160" s="83">
        <v>0.23</v>
      </c>
      <c r="G160" s="2">
        <v>11</v>
      </c>
    </row>
    <row r="161" spans="1:7" ht="15.95" customHeight="1" x14ac:dyDescent="0.2">
      <c r="A161" s="152">
        <v>30000</v>
      </c>
      <c r="B161" s="82">
        <v>1.38</v>
      </c>
      <c r="C161" s="82">
        <v>2.76</v>
      </c>
      <c r="D161" s="82">
        <v>1.35</v>
      </c>
      <c r="E161" s="82">
        <v>6.33</v>
      </c>
      <c r="F161" s="83">
        <v>0.23</v>
      </c>
      <c r="G161" s="2">
        <v>12</v>
      </c>
    </row>
    <row r="162" spans="1:7" ht="15.95" customHeight="1" x14ac:dyDescent="0.2">
      <c r="A162" s="152">
        <v>50000</v>
      </c>
      <c r="B162" s="82">
        <v>1.34</v>
      </c>
      <c r="C162" s="82">
        <v>2.71</v>
      </c>
      <c r="D162" s="82">
        <v>1.33</v>
      </c>
      <c r="E162" s="82">
        <v>5.38</v>
      </c>
      <c r="F162" s="83">
        <v>0.23</v>
      </c>
      <c r="G162" s="2">
        <v>13</v>
      </c>
    </row>
    <row r="163" spans="1:7" ht="15.95" customHeight="1" x14ac:dyDescent="0.2">
      <c r="A163" s="152">
        <v>100000</v>
      </c>
      <c r="B163" s="82">
        <v>1.33</v>
      </c>
      <c r="C163" s="82">
        <v>2.66</v>
      </c>
      <c r="D163" s="82">
        <v>1.3</v>
      </c>
      <c r="E163" s="82">
        <v>4.4400000000000004</v>
      </c>
      <c r="F163" s="83">
        <v>0.23</v>
      </c>
      <c r="G163" s="2">
        <v>14</v>
      </c>
    </row>
    <row r="164" spans="1:7" ht="15.95" customHeight="1" x14ac:dyDescent="0.2">
      <c r="A164" s="152">
        <v>200000</v>
      </c>
      <c r="B164" s="82">
        <v>1.31</v>
      </c>
      <c r="C164" s="82">
        <v>2.63</v>
      </c>
      <c r="D164" s="82">
        <v>1.28</v>
      </c>
      <c r="E164" s="82">
        <v>3.59</v>
      </c>
      <c r="F164" s="83">
        <v>0.21</v>
      </c>
      <c r="G164" s="2">
        <v>15</v>
      </c>
    </row>
    <row r="165" spans="1:7" ht="15.95" customHeight="1" x14ac:dyDescent="0.2">
      <c r="A165" s="152">
        <v>300000</v>
      </c>
      <c r="B165" s="82">
        <v>1.3</v>
      </c>
      <c r="C165" s="82">
        <v>2.59</v>
      </c>
      <c r="D165" s="82">
        <v>1.25</v>
      </c>
      <c r="E165" s="72"/>
      <c r="F165" s="83">
        <v>0.19</v>
      </c>
      <c r="G165" s="2">
        <v>16</v>
      </c>
    </row>
    <row r="166" spans="1:7" ht="15.95" customHeight="1" x14ac:dyDescent="0.2">
      <c r="A166" s="153">
        <v>500000</v>
      </c>
      <c r="B166" s="84">
        <v>1.28</v>
      </c>
      <c r="C166" s="84">
        <v>2.57</v>
      </c>
      <c r="D166" s="84">
        <v>1.23</v>
      </c>
      <c r="E166" s="73"/>
      <c r="F166" s="85">
        <v>0.17</v>
      </c>
      <c r="G166" s="2">
        <v>17</v>
      </c>
    </row>
  </sheetData>
  <mergeCells count="90">
    <mergeCell ref="A148:A149"/>
    <mergeCell ref="B148:B149"/>
    <mergeCell ref="C148:C149"/>
    <mergeCell ref="D148:E148"/>
    <mergeCell ref="F148:F149"/>
    <mergeCell ref="E126:F126"/>
    <mergeCell ref="A138:B138"/>
    <mergeCell ref="C138:D138"/>
    <mergeCell ref="E138:F138"/>
    <mergeCell ref="A139:A140"/>
    <mergeCell ref="C139:D139"/>
    <mergeCell ref="E139:F139"/>
    <mergeCell ref="C140:D140"/>
    <mergeCell ref="E140:F140"/>
    <mergeCell ref="A127:A128"/>
    <mergeCell ref="C127:D127"/>
    <mergeCell ref="E127:F127"/>
    <mergeCell ref="C128:D128"/>
    <mergeCell ref="A133:B133"/>
    <mergeCell ref="C132:E132"/>
    <mergeCell ref="C133:E133"/>
    <mergeCell ref="A48:A62"/>
    <mergeCell ref="F48:F62"/>
    <mergeCell ref="A77:A92"/>
    <mergeCell ref="F77:F92"/>
    <mergeCell ref="A96:B96"/>
    <mergeCell ref="C96:D96"/>
    <mergeCell ref="E96:F97"/>
    <mergeCell ref="A63:A76"/>
    <mergeCell ref="F63:F76"/>
    <mergeCell ref="A30:A45"/>
    <mergeCell ref="F30:F45"/>
    <mergeCell ref="A46:A47"/>
    <mergeCell ref="B46:B47"/>
    <mergeCell ref="C46:E46"/>
    <mergeCell ref="F46:F47"/>
    <mergeCell ref="C126:D126"/>
    <mergeCell ref="F28:F29"/>
    <mergeCell ref="A7:C7"/>
    <mergeCell ref="D7:E7"/>
    <mergeCell ref="A8:A10"/>
    <mergeCell ref="B8:C8"/>
    <mergeCell ref="D8:E8"/>
    <mergeCell ref="B9:C9"/>
    <mergeCell ref="D9:E9"/>
    <mergeCell ref="B10:C10"/>
    <mergeCell ref="D10:E10"/>
    <mergeCell ref="A11:C11"/>
    <mergeCell ref="D11:E11"/>
    <mergeCell ref="A28:A29"/>
    <mergeCell ref="B28:B29"/>
    <mergeCell ref="C28:E28"/>
    <mergeCell ref="A116:B116"/>
    <mergeCell ref="C116:D116"/>
    <mergeCell ref="E116:F116"/>
    <mergeCell ref="A119:B119"/>
    <mergeCell ref="C119:D119"/>
    <mergeCell ref="E119:F119"/>
    <mergeCell ref="A117:B117"/>
    <mergeCell ref="C117:D117"/>
    <mergeCell ref="E117:F117"/>
    <mergeCell ref="A118:B118"/>
    <mergeCell ref="C118:D118"/>
    <mergeCell ref="E118:F118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A132:B132"/>
    <mergeCell ref="E108:F108"/>
    <mergeCell ref="E109:F109"/>
    <mergeCell ref="E110:F110"/>
    <mergeCell ref="E111:F111"/>
    <mergeCell ref="E112:F112"/>
    <mergeCell ref="E128:F128"/>
    <mergeCell ref="A120:B120"/>
    <mergeCell ref="C120:D120"/>
    <mergeCell ref="E120:F120"/>
    <mergeCell ref="A124:B124"/>
    <mergeCell ref="C124:D124"/>
    <mergeCell ref="E124:F124"/>
    <mergeCell ref="C125:D125"/>
    <mergeCell ref="E125:F125"/>
    <mergeCell ref="A125:A126"/>
  </mergeCells>
  <phoneticPr fontId="3" type="noConversion"/>
  <pageMargins left="0.7" right="0.7" top="0.75" bottom="0.75" header="0.3" footer="0.3"/>
  <pageSetup paperSize="9" scale="91" orientation="portrait" r:id="rId1"/>
  <rowBreaks count="3" manualBreakCount="3">
    <brk id="45" max="5" man="1"/>
    <brk id="93" max="5" man="1"/>
    <brk id="145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topLeftCell="A34" zoomScale="130" zoomScaleNormal="115" zoomScaleSheetLayoutView="130" workbookViewId="0">
      <selection activeCell="J47" sqref="J47"/>
    </sheetView>
  </sheetViews>
  <sheetFormatPr defaultRowHeight="15.95" customHeight="1" x14ac:dyDescent="0.2"/>
  <cols>
    <col min="1" max="6" width="8.88671875" style="2" customWidth="1"/>
    <col min="7" max="9" width="8.88671875" style="14" customWidth="1"/>
    <col min="10" max="16384" width="8.88671875" style="14"/>
  </cols>
  <sheetData>
    <row r="1" spans="1:9" ht="15.95" customHeight="1" x14ac:dyDescent="0.2">
      <c r="A1" s="1" t="s">
        <v>513</v>
      </c>
      <c r="B1" s="1"/>
    </row>
    <row r="2" spans="1:9" ht="15.95" customHeight="1" x14ac:dyDescent="0.2">
      <c r="A2" s="5"/>
      <c r="B2" s="5"/>
    </row>
    <row r="3" spans="1:9" ht="15.95" customHeight="1" x14ac:dyDescent="0.2">
      <c r="A3" s="5" t="s">
        <v>291</v>
      </c>
      <c r="B3" s="5"/>
    </row>
    <row r="4" spans="1:9" ht="14.25" x14ac:dyDescent="0.2">
      <c r="A4" s="284" t="s">
        <v>132</v>
      </c>
      <c r="B4" s="286"/>
      <c r="C4" s="286"/>
      <c r="D4" s="336" t="s">
        <v>198</v>
      </c>
      <c r="E4" s="336"/>
      <c r="F4" s="336"/>
      <c r="G4" s="336"/>
      <c r="H4" s="336"/>
      <c r="I4" s="337" t="s">
        <v>137</v>
      </c>
    </row>
    <row r="5" spans="1:9" ht="23.25" thickBot="1" x14ac:dyDescent="0.25">
      <c r="A5" s="285"/>
      <c r="B5" s="287"/>
      <c r="C5" s="287"/>
      <c r="D5" s="44" t="s">
        <v>160</v>
      </c>
      <c r="E5" s="44" t="s">
        <v>200</v>
      </c>
      <c r="F5" s="44" t="s">
        <v>201</v>
      </c>
      <c r="G5" s="44" t="s">
        <v>202</v>
      </c>
      <c r="H5" s="44" t="s">
        <v>203</v>
      </c>
      <c r="I5" s="338"/>
    </row>
    <row r="6" spans="1:9" ht="15.95" customHeight="1" thickTop="1" x14ac:dyDescent="0.2">
      <c r="A6" s="333" t="s">
        <v>186</v>
      </c>
      <c r="B6" s="342"/>
      <c r="C6" s="342"/>
      <c r="D6" s="97">
        <f t="shared" ref="D6:D7" si="0">SUM(E6:H6)</f>
        <v>188648</v>
      </c>
      <c r="E6" s="101">
        <f>E7+E10+E14+E15</f>
        <v>96849</v>
      </c>
      <c r="F6" s="101">
        <f>F7+F10+F14+F15</f>
        <v>76827</v>
      </c>
      <c r="G6" s="101">
        <f>G7+G10+G14+G15</f>
        <v>7486</v>
      </c>
      <c r="H6" s="101">
        <f>H7+H10+H14+H15</f>
        <v>7486</v>
      </c>
      <c r="I6" s="102"/>
    </row>
    <row r="7" spans="1:9" ht="15.95" customHeight="1" x14ac:dyDescent="0.2">
      <c r="A7" s="334" t="s">
        <v>289</v>
      </c>
      <c r="B7" s="335" t="s">
        <v>236</v>
      </c>
      <c r="C7" s="335"/>
      <c r="D7" s="97">
        <f t="shared" si="0"/>
        <v>86540</v>
      </c>
      <c r="E7" s="97">
        <f>SUM(E8:E9)</f>
        <v>41546</v>
      </c>
      <c r="F7" s="97">
        <f>SUM(F8:F9)</f>
        <v>44994</v>
      </c>
      <c r="G7" s="97">
        <f>SUM(G8:G9)</f>
        <v>0</v>
      </c>
      <c r="H7" s="97">
        <f>SUM(H8:H9)</f>
        <v>0</v>
      </c>
      <c r="I7" s="98"/>
    </row>
    <row r="8" spans="1:9" ht="15.95" customHeight="1" x14ac:dyDescent="0.2">
      <c r="A8" s="334"/>
      <c r="B8" s="335" t="s">
        <v>523</v>
      </c>
      <c r="C8" s="335"/>
      <c r="D8" s="97">
        <f>SUM(E8:H8)</f>
        <v>14645</v>
      </c>
      <c r="E8" s="97">
        <f>'1.1 공공하수처리시설 증설'!F39</f>
        <v>0</v>
      </c>
      <c r="F8" s="97">
        <f>'1.1 공공하수처리시설 증설'!G39</f>
        <v>14645</v>
      </c>
      <c r="G8" s="97">
        <f>'1.1 공공하수처리시설 증설'!H39</f>
        <v>0</v>
      </c>
      <c r="H8" s="97">
        <f>'1.1 공공하수처리시설 증설'!I39</f>
        <v>0</v>
      </c>
      <c r="I8" s="98"/>
    </row>
    <row r="9" spans="1:9" ht="15.95" customHeight="1" x14ac:dyDescent="0.2">
      <c r="A9" s="334"/>
      <c r="B9" s="335" t="s">
        <v>288</v>
      </c>
      <c r="C9" s="335"/>
      <c r="D9" s="97">
        <f t="shared" ref="D9:D15" si="1">SUM(E9:H9)</f>
        <v>71895</v>
      </c>
      <c r="E9" s="97">
        <f>'1.2 소규모 하수도'!F292</f>
        <v>41546</v>
      </c>
      <c r="F9" s="97">
        <f>'1.2 소규모 하수도'!G292</f>
        <v>30349</v>
      </c>
      <c r="G9" s="97">
        <f>'1.2 소규모 하수도'!H292</f>
        <v>0</v>
      </c>
      <c r="H9" s="97">
        <f>'1.2 소규모 하수도'!I292</f>
        <v>0</v>
      </c>
      <c r="I9" s="98"/>
    </row>
    <row r="10" spans="1:9" ht="15.95" customHeight="1" x14ac:dyDescent="0.2">
      <c r="A10" s="334" t="s">
        <v>188</v>
      </c>
      <c r="B10" s="335" t="s">
        <v>236</v>
      </c>
      <c r="C10" s="335"/>
      <c r="D10" s="97">
        <f t="shared" si="1"/>
        <v>64978</v>
      </c>
      <c r="E10" s="97">
        <f t="shared" ref="E10" si="2">SUM(E11:E13)</f>
        <v>18173</v>
      </c>
      <c r="F10" s="97">
        <f t="shared" ref="F10" si="3">SUM(F11:F13)</f>
        <v>31833</v>
      </c>
      <c r="G10" s="97">
        <f t="shared" ref="G10" si="4">SUM(G11:G13)</f>
        <v>7486</v>
      </c>
      <c r="H10" s="97">
        <f t="shared" ref="H10" si="5">SUM(H11:H13)</f>
        <v>7486</v>
      </c>
      <c r="I10" s="98"/>
    </row>
    <row r="11" spans="1:9" ht="15.95" customHeight="1" x14ac:dyDescent="0.2">
      <c r="A11" s="334"/>
      <c r="B11" s="335" t="s">
        <v>275</v>
      </c>
      <c r="C11" s="335"/>
      <c r="D11" s="97">
        <f t="shared" si="1"/>
        <v>25046</v>
      </c>
      <c r="E11" s="97">
        <f>'2.1 하수관로 신설'!F136</f>
        <v>12826</v>
      </c>
      <c r="F11" s="97">
        <f>'2.1 하수관로 신설'!G136</f>
        <v>12220</v>
      </c>
      <c r="G11" s="97">
        <f>'2.1 하수관로 신설'!H136</f>
        <v>0</v>
      </c>
      <c r="H11" s="97">
        <f>'2.1 하수관로 신설'!I136</f>
        <v>0</v>
      </c>
      <c r="I11" s="98"/>
    </row>
    <row r="12" spans="1:9" ht="15.95" customHeight="1" x14ac:dyDescent="0.2">
      <c r="A12" s="334"/>
      <c r="B12" s="335" t="s">
        <v>273</v>
      </c>
      <c r="C12" s="335"/>
      <c r="D12" s="97">
        <f t="shared" si="1"/>
        <v>34196</v>
      </c>
      <c r="E12" s="97">
        <f>'2.2 하수관로 교체'!E208</f>
        <v>5347</v>
      </c>
      <c r="F12" s="97">
        <f>'2.2 하수관로 교체'!F208</f>
        <v>13877</v>
      </c>
      <c r="G12" s="97">
        <f>'2.2 하수관로 교체'!G208</f>
        <v>7486</v>
      </c>
      <c r="H12" s="97">
        <f>'2.2 하수관로 교체'!H208</f>
        <v>7486</v>
      </c>
      <c r="I12" s="98"/>
    </row>
    <row r="13" spans="1:9" ht="15.95" customHeight="1" x14ac:dyDescent="0.2">
      <c r="A13" s="334"/>
      <c r="B13" s="335" t="s">
        <v>272</v>
      </c>
      <c r="C13" s="335"/>
      <c r="D13" s="97">
        <f t="shared" si="1"/>
        <v>5736</v>
      </c>
      <c r="E13" s="97">
        <f>'2.3 하수관로 보수'!E52</f>
        <v>0</v>
      </c>
      <c r="F13" s="97">
        <f>'2.3 하수관로 보수'!F52</f>
        <v>5736</v>
      </c>
      <c r="G13" s="97">
        <f>'2.3 하수관로 보수'!G52</f>
        <v>0</v>
      </c>
      <c r="H13" s="97">
        <f>'2.3 하수관로 보수'!H52</f>
        <v>0</v>
      </c>
      <c r="I13" s="98"/>
    </row>
    <row r="14" spans="1:9" ht="15.95" customHeight="1" x14ac:dyDescent="0.2">
      <c r="A14" s="334" t="s">
        <v>280</v>
      </c>
      <c r="B14" s="335"/>
      <c r="C14" s="335"/>
      <c r="D14" s="97">
        <f t="shared" si="1"/>
        <v>31235</v>
      </c>
      <c r="E14" s="97">
        <f>'3. 하수처리수 재이용시설'!D16</f>
        <v>31235</v>
      </c>
      <c r="F14" s="97">
        <f>'3. 하수처리수 재이용시설'!E16</f>
        <v>0</v>
      </c>
      <c r="G14" s="97">
        <f>'3. 하수처리수 재이용시설'!F16</f>
        <v>0</v>
      </c>
      <c r="H14" s="97">
        <f>'3. 하수처리수 재이용시설'!G16</f>
        <v>0</v>
      </c>
      <c r="I14" s="98"/>
    </row>
    <row r="15" spans="1:9" ht="15.95" customHeight="1" x14ac:dyDescent="0.2">
      <c r="A15" s="340" t="s">
        <v>290</v>
      </c>
      <c r="B15" s="341"/>
      <c r="C15" s="341"/>
      <c r="D15" s="99">
        <f t="shared" si="1"/>
        <v>5895</v>
      </c>
      <c r="E15" s="99">
        <f>'4. 하수저류시설 및 우수침투시설'!D14</f>
        <v>5895</v>
      </c>
      <c r="F15" s="99">
        <f>'4. 하수저류시설 및 우수침투시설'!E14</f>
        <v>0</v>
      </c>
      <c r="G15" s="99">
        <f>'4. 하수저류시설 및 우수침투시설'!F14</f>
        <v>0</v>
      </c>
      <c r="H15" s="99">
        <f>'4. 하수저류시설 및 우수침투시설'!G14</f>
        <v>0</v>
      </c>
      <c r="I15" s="100"/>
    </row>
    <row r="17" spans="1:9" ht="15.95" customHeight="1" x14ac:dyDescent="0.2">
      <c r="A17" s="5" t="s">
        <v>292</v>
      </c>
      <c r="B17" s="5"/>
    </row>
    <row r="18" spans="1:9" ht="23.25" thickBot="1" x14ac:dyDescent="0.25">
      <c r="A18" s="255" t="s">
        <v>132</v>
      </c>
      <c r="B18" s="256"/>
      <c r="C18" s="256"/>
      <c r="D18" s="51" t="s">
        <v>160</v>
      </c>
      <c r="E18" s="51" t="s">
        <v>200</v>
      </c>
      <c r="F18" s="51" t="s">
        <v>201</v>
      </c>
      <c r="G18" s="51" t="s">
        <v>202</v>
      </c>
      <c r="H18" s="51" t="s">
        <v>203</v>
      </c>
      <c r="I18" s="131" t="s">
        <v>137</v>
      </c>
    </row>
    <row r="19" spans="1:9" ht="15.95" customHeight="1" thickTop="1" x14ac:dyDescent="0.2">
      <c r="A19" s="331" t="s">
        <v>186</v>
      </c>
      <c r="B19" s="339" t="s">
        <v>186</v>
      </c>
      <c r="C19" s="339"/>
      <c r="D19" s="101">
        <f>SUM(E19:H19)</f>
        <v>188648</v>
      </c>
      <c r="E19" s="101">
        <f>SUM(E20:E23)</f>
        <v>96849</v>
      </c>
      <c r="F19" s="101">
        <f t="shared" ref="F19:H19" si="6">SUM(F20:F23)</f>
        <v>76827</v>
      </c>
      <c r="G19" s="101">
        <f t="shared" si="6"/>
        <v>7486</v>
      </c>
      <c r="H19" s="101">
        <f t="shared" si="6"/>
        <v>7486</v>
      </c>
      <c r="I19" s="102"/>
    </row>
    <row r="20" spans="1:9" ht="15.95" customHeight="1" x14ac:dyDescent="0.2">
      <c r="A20" s="332"/>
      <c r="B20" s="330" t="s">
        <v>208</v>
      </c>
      <c r="C20" s="330"/>
      <c r="D20" s="132">
        <f t="shared" ref="D20:D59" si="7">SUM(E20:H20)</f>
        <v>105183</v>
      </c>
      <c r="E20" s="132">
        <f t="shared" ref="E20:H21" si="8">E25+E37+E53+E57</f>
        <v>55702</v>
      </c>
      <c r="F20" s="132">
        <f t="shared" si="8"/>
        <v>39001</v>
      </c>
      <c r="G20" s="132">
        <f t="shared" si="8"/>
        <v>5240</v>
      </c>
      <c r="H20" s="132">
        <f t="shared" si="8"/>
        <v>5240</v>
      </c>
      <c r="I20" s="98"/>
    </row>
    <row r="21" spans="1:9" ht="15.95" customHeight="1" x14ac:dyDescent="0.2">
      <c r="A21" s="332"/>
      <c r="B21" s="330" t="s">
        <v>209</v>
      </c>
      <c r="C21" s="330"/>
      <c r="D21" s="132">
        <f t="shared" si="7"/>
        <v>49647</v>
      </c>
      <c r="E21" s="132">
        <f t="shared" si="8"/>
        <v>24066</v>
      </c>
      <c r="F21" s="132">
        <f t="shared" si="8"/>
        <v>21089</v>
      </c>
      <c r="G21" s="132">
        <f t="shared" si="8"/>
        <v>2246</v>
      </c>
      <c r="H21" s="132">
        <f t="shared" si="8"/>
        <v>2246</v>
      </c>
      <c r="I21" s="98"/>
    </row>
    <row r="22" spans="1:9" ht="15.95" customHeight="1" x14ac:dyDescent="0.2">
      <c r="A22" s="332"/>
      <c r="B22" s="330" t="s">
        <v>214</v>
      </c>
      <c r="C22" s="330"/>
      <c r="D22" s="132">
        <f t="shared" si="7"/>
        <v>17552</v>
      </c>
      <c r="E22" s="132">
        <f>E27+E39</f>
        <v>815</v>
      </c>
      <c r="F22" s="197">
        <f>F27+F39</f>
        <v>16737</v>
      </c>
      <c r="G22" s="132">
        <f>G27+G39+G55+G59</f>
        <v>0</v>
      </c>
      <c r="H22" s="132">
        <f>H27+H39+H55+H59</f>
        <v>0</v>
      </c>
      <c r="I22" s="98"/>
    </row>
    <row r="23" spans="1:9" ht="15.95" customHeight="1" x14ac:dyDescent="0.2">
      <c r="A23" s="333"/>
      <c r="B23" s="330" t="s">
        <v>510</v>
      </c>
      <c r="C23" s="330"/>
      <c r="D23" s="197">
        <f t="shared" ref="D23" si="9">SUM(E23:H23)</f>
        <v>16266</v>
      </c>
      <c r="E23" s="197">
        <f>E55+E59</f>
        <v>16266</v>
      </c>
      <c r="F23" s="197">
        <f>F55+F59</f>
        <v>0</v>
      </c>
      <c r="G23" s="197">
        <f>G28+G40+G56+G60</f>
        <v>0</v>
      </c>
      <c r="H23" s="197">
        <f>H28+H40+H56+H60</f>
        <v>0</v>
      </c>
      <c r="I23" s="196"/>
    </row>
    <row r="24" spans="1:9" ht="15.95" customHeight="1" x14ac:dyDescent="0.2">
      <c r="A24" s="334" t="s">
        <v>289</v>
      </c>
      <c r="B24" s="335" t="s">
        <v>293</v>
      </c>
      <c r="C24" s="130" t="s">
        <v>236</v>
      </c>
      <c r="D24" s="132">
        <f t="shared" si="7"/>
        <v>86540</v>
      </c>
      <c r="E24" s="132">
        <f>SUM(E25:E27)</f>
        <v>41546</v>
      </c>
      <c r="F24" s="132">
        <f t="shared" ref="F24:H24" si="10">SUM(F25:F27)</f>
        <v>44994</v>
      </c>
      <c r="G24" s="132">
        <f t="shared" si="10"/>
        <v>0</v>
      </c>
      <c r="H24" s="132">
        <f t="shared" si="10"/>
        <v>0</v>
      </c>
      <c r="I24" s="98"/>
    </row>
    <row r="25" spans="1:9" ht="15.95" customHeight="1" x14ac:dyDescent="0.2">
      <c r="A25" s="334"/>
      <c r="B25" s="330"/>
      <c r="C25" s="130" t="s">
        <v>208</v>
      </c>
      <c r="D25" s="132">
        <f t="shared" si="7"/>
        <v>51676</v>
      </c>
      <c r="E25" s="132">
        <f>E29+E33</f>
        <v>28512</v>
      </c>
      <c r="F25" s="132">
        <f t="shared" ref="F25:H25" si="11">F29+F33</f>
        <v>23164</v>
      </c>
      <c r="G25" s="132">
        <f t="shared" si="11"/>
        <v>0</v>
      </c>
      <c r="H25" s="132">
        <f t="shared" si="11"/>
        <v>0</v>
      </c>
      <c r="I25" s="98"/>
    </row>
    <row r="26" spans="1:9" ht="15.95" customHeight="1" x14ac:dyDescent="0.2">
      <c r="A26" s="334"/>
      <c r="B26" s="330"/>
      <c r="C26" s="130" t="s">
        <v>209</v>
      </c>
      <c r="D26" s="132">
        <f t="shared" si="7"/>
        <v>23243</v>
      </c>
      <c r="E26" s="132">
        <f t="shared" ref="E26:H26" si="12">E30+E34</f>
        <v>12219</v>
      </c>
      <c r="F26" s="132">
        <f t="shared" si="12"/>
        <v>11024</v>
      </c>
      <c r="G26" s="132">
        <f t="shared" si="12"/>
        <v>0</v>
      </c>
      <c r="H26" s="132">
        <f t="shared" si="12"/>
        <v>0</v>
      </c>
      <c r="I26" s="98"/>
    </row>
    <row r="27" spans="1:9" ht="15.95" customHeight="1" x14ac:dyDescent="0.2">
      <c r="A27" s="334"/>
      <c r="B27" s="330"/>
      <c r="C27" s="130" t="s">
        <v>214</v>
      </c>
      <c r="D27" s="132">
        <f t="shared" si="7"/>
        <v>11621</v>
      </c>
      <c r="E27" s="132">
        <f t="shared" ref="E27:H27" si="13">E31+E35</f>
        <v>815</v>
      </c>
      <c r="F27" s="132">
        <f t="shared" si="13"/>
        <v>10806</v>
      </c>
      <c r="G27" s="132">
        <f t="shared" si="13"/>
        <v>0</v>
      </c>
      <c r="H27" s="132">
        <f t="shared" si="13"/>
        <v>0</v>
      </c>
      <c r="I27" s="98"/>
    </row>
    <row r="28" spans="1:9" ht="15.95" customHeight="1" x14ac:dyDescent="0.2">
      <c r="A28" s="334"/>
      <c r="B28" s="335" t="s">
        <v>296</v>
      </c>
      <c r="C28" s="130" t="s">
        <v>236</v>
      </c>
      <c r="D28" s="132">
        <f t="shared" si="7"/>
        <v>14645</v>
      </c>
      <c r="E28" s="132">
        <f>SUM(E29:E31)</f>
        <v>0</v>
      </c>
      <c r="F28" s="132">
        <f t="shared" ref="F28:H28" si="14">SUM(F29:F31)</f>
        <v>14645</v>
      </c>
      <c r="G28" s="132">
        <f t="shared" si="14"/>
        <v>0</v>
      </c>
      <c r="H28" s="132">
        <f t="shared" si="14"/>
        <v>0</v>
      </c>
      <c r="I28" s="98"/>
    </row>
    <row r="29" spans="1:9" ht="15.95" customHeight="1" x14ac:dyDescent="0.2">
      <c r="A29" s="334"/>
      <c r="B29" s="330"/>
      <c r="C29" s="130" t="s">
        <v>208</v>
      </c>
      <c r="D29" s="132">
        <f t="shared" si="7"/>
        <v>1920</v>
      </c>
      <c r="E29" s="132">
        <f>'1.1 공공하수처리시설 증설'!E68</f>
        <v>0</v>
      </c>
      <c r="F29" s="132">
        <f>'1.1 공공하수처리시설 증설'!F68</f>
        <v>1920</v>
      </c>
      <c r="G29" s="132">
        <f>'1.1 공공하수처리시설 증설'!G68</f>
        <v>0</v>
      </c>
      <c r="H29" s="132">
        <f>'1.1 공공하수처리시설 증설'!H68</f>
        <v>0</v>
      </c>
      <c r="I29" s="98"/>
    </row>
    <row r="30" spans="1:9" ht="15.95" customHeight="1" x14ac:dyDescent="0.2">
      <c r="A30" s="334"/>
      <c r="B30" s="330"/>
      <c r="C30" s="130" t="s">
        <v>209</v>
      </c>
      <c r="D30" s="132">
        <f t="shared" si="7"/>
        <v>1919</v>
      </c>
      <c r="E30" s="132">
        <f>'1.1 공공하수처리시설 증설'!E69</f>
        <v>0</v>
      </c>
      <c r="F30" s="132">
        <f>'1.1 공공하수처리시설 증설'!F69</f>
        <v>1919</v>
      </c>
      <c r="G30" s="132">
        <f>'1.1 공공하수처리시설 증설'!G69</f>
        <v>0</v>
      </c>
      <c r="H30" s="132">
        <f>'1.1 공공하수처리시설 증설'!H69</f>
        <v>0</v>
      </c>
      <c r="I30" s="98"/>
    </row>
    <row r="31" spans="1:9" ht="15.95" customHeight="1" x14ac:dyDescent="0.2">
      <c r="A31" s="334"/>
      <c r="B31" s="330"/>
      <c r="C31" s="130" t="s">
        <v>214</v>
      </c>
      <c r="D31" s="132">
        <f t="shared" si="7"/>
        <v>10806</v>
      </c>
      <c r="E31" s="132">
        <f>'1.1 공공하수처리시설 증설'!E70</f>
        <v>0</v>
      </c>
      <c r="F31" s="132">
        <f>'1.1 공공하수처리시설 증설'!F70</f>
        <v>10806</v>
      </c>
      <c r="G31" s="132">
        <f>'1.1 공공하수처리시설 증설'!G70</f>
        <v>0</v>
      </c>
      <c r="H31" s="132">
        <f>'1.1 공공하수처리시설 증설'!H70</f>
        <v>0</v>
      </c>
      <c r="I31" s="98"/>
    </row>
    <row r="32" spans="1:9" ht="15.95" customHeight="1" x14ac:dyDescent="0.2">
      <c r="A32" s="334"/>
      <c r="B32" s="335" t="s">
        <v>288</v>
      </c>
      <c r="C32" s="130" t="s">
        <v>236</v>
      </c>
      <c r="D32" s="132">
        <f t="shared" si="7"/>
        <v>71895</v>
      </c>
      <c r="E32" s="132">
        <f>SUM(E33:E35)</f>
        <v>41546</v>
      </c>
      <c r="F32" s="132">
        <f t="shared" ref="F32" si="15">SUM(F33:F35)</f>
        <v>30349</v>
      </c>
      <c r="G32" s="132">
        <f t="shared" ref="G32" si="16">SUM(G33:G35)</f>
        <v>0</v>
      </c>
      <c r="H32" s="132">
        <f t="shared" ref="H32" si="17">SUM(H33:H35)</f>
        <v>0</v>
      </c>
      <c r="I32" s="98"/>
    </row>
    <row r="33" spans="1:9" ht="15.95" customHeight="1" x14ac:dyDescent="0.2">
      <c r="A33" s="334"/>
      <c r="B33" s="330"/>
      <c r="C33" s="130" t="s">
        <v>208</v>
      </c>
      <c r="D33" s="132">
        <f t="shared" si="7"/>
        <v>49756</v>
      </c>
      <c r="E33" s="132">
        <f>'1.2 소규모 하수도'!E491</f>
        <v>28512</v>
      </c>
      <c r="F33" s="132">
        <f>'1.2 소규모 하수도'!F491</f>
        <v>21244</v>
      </c>
      <c r="G33" s="132">
        <f>'1.2 소규모 하수도'!G491</f>
        <v>0</v>
      </c>
      <c r="H33" s="132">
        <f>'1.2 소규모 하수도'!H491</f>
        <v>0</v>
      </c>
      <c r="I33" s="98"/>
    </row>
    <row r="34" spans="1:9" ht="15.95" customHeight="1" x14ac:dyDescent="0.2">
      <c r="A34" s="334"/>
      <c r="B34" s="330"/>
      <c r="C34" s="130" t="s">
        <v>209</v>
      </c>
      <c r="D34" s="132">
        <f t="shared" si="7"/>
        <v>21324</v>
      </c>
      <c r="E34" s="132">
        <f>'1.2 소규모 하수도'!E492</f>
        <v>12219</v>
      </c>
      <c r="F34" s="132">
        <f>'1.2 소규모 하수도'!F492</f>
        <v>9105</v>
      </c>
      <c r="G34" s="132">
        <f>'1.2 소규모 하수도'!G492</f>
        <v>0</v>
      </c>
      <c r="H34" s="132">
        <f>'1.2 소규모 하수도'!H492</f>
        <v>0</v>
      </c>
      <c r="I34" s="98"/>
    </row>
    <row r="35" spans="1:9" ht="15.95" customHeight="1" x14ac:dyDescent="0.2">
      <c r="A35" s="334"/>
      <c r="B35" s="330"/>
      <c r="C35" s="130" t="s">
        <v>214</v>
      </c>
      <c r="D35" s="132">
        <f t="shared" si="7"/>
        <v>815</v>
      </c>
      <c r="E35" s="132">
        <f>'1.2 소규모 하수도'!E493</f>
        <v>815</v>
      </c>
      <c r="F35" s="132">
        <f>'1.2 소규모 하수도'!F493</f>
        <v>0</v>
      </c>
      <c r="G35" s="132">
        <f>'1.2 소규모 하수도'!G493</f>
        <v>0</v>
      </c>
      <c r="H35" s="132">
        <f>'1.2 소규모 하수도'!H493</f>
        <v>0</v>
      </c>
      <c r="I35" s="98"/>
    </row>
    <row r="36" spans="1:9" ht="15.95" customHeight="1" x14ac:dyDescent="0.2">
      <c r="A36" s="334" t="s">
        <v>188</v>
      </c>
      <c r="B36" s="335" t="s">
        <v>293</v>
      </c>
      <c r="C36" s="130" t="s">
        <v>236</v>
      </c>
      <c r="D36" s="132">
        <f t="shared" si="7"/>
        <v>64978</v>
      </c>
      <c r="E36" s="132">
        <f>SUM(E37:E39)</f>
        <v>18173</v>
      </c>
      <c r="F36" s="132">
        <f t="shared" ref="F36" si="18">SUM(F37:F39)</f>
        <v>31833</v>
      </c>
      <c r="G36" s="132">
        <f t="shared" ref="G36" si="19">SUM(G37:G39)</f>
        <v>7486</v>
      </c>
      <c r="H36" s="132">
        <f t="shared" ref="H36" si="20">SUM(H37:H39)</f>
        <v>7486</v>
      </c>
      <c r="I36" s="98"/>
    </row>
    <row r="37" spans="1:9" ht="15.95" customHeight="1" x14ac:dyDescent="0.2">
      <c r="A37" s="334"/>
      <c r="B37" s="330"/>
      <c r="C37" s="130" t="s">
        <v>208</v>
      </c>
      <c r="D37" s="132">
        <f t="shared" si="7"/>
        <v>39038</v>
      </c>
      <c r="E37" s="132">
        <f>E41+E45+E49</f>
        <v>12721</v>
      </c>
      <c r="F37" s="132">
        <f t="shared" ref="F37:H37" si="21">F41+F45+F49</f>
        <v>15837</v>
      </c>
      <c r="G37" s="132">
        <f t="shared" si="21"/>
        <v>5240</v>
      </c>
      <c r="H37" s="132">
        <f t="shared" si="21"/>
        <v>5240</v>
      </c>
      <c r="I37" s="98"/>
    </row>
    <row r="38" spans="1:9" ht="15.95" customHeight="1" x14ac:dyDescent="0.2">
      <c r="A38" s="334"/>
      <c r="B38" s="330"/>
      <c r="C38" s="130" t="s">
        <v>209</v>
      </c>
      <c r="D38" s="132">
        <f t="shared" si="7"/>
        <v>20009</v>
      </c>
      <c r="E38" s="132">
        <f t="shared" ref="E38:H38" si="22">E42+E46+E50</f>
        <v>5452</v>
      </c>
      <c r="F38" s="132">
        <f t="shared" si="22"/>
        <v>10065</v>
      </c>
      <c r="G38" s="132">
        <f t="shared" si="22"/>
        <v>2246</v>
      </c>
      <c r="H38" s="132">
        <f t="shared" si="22"/>
        <v>2246</v>
      </c>
      <c r="I38" s="98"/>
    </row>
    <row r="39" spans="1:9" ht="15.95" customHeight="1" x14ac:dyDescent="0.2">
      <c r="A39" s="334"/>
      <c r="B39" s="330"/>
      <c r="C39" s="130" t="s">
        <v>214</v>
      </c>
      <c r="D39" s="132">
        <f t="shared" si="7"/>
        <v>5931</v>
      </c>
      <c r="E39" s="132">
        <f t="shared" ref="E39:H39" si="23">E43+E47+E51</f>
        <v>0</v>
      </c>
      <c r="F39" s="132">
        <f t="shared" si="23"/>
        <v>5931</v>
      </c>
      <c r="G39" s="132">
        <f t="shared" si="23"/>
        <v>0</v>
      </c>
      <c r="H39" s="132">
        <f t="shared" si="23"/>
        <v>0</v>
      </c>
      <c r="I39" s="98"/>
    </row>
    <row r="40" spans="1:9" ht="15.95" customHeight="1" x14ac:dyDescent="0.2">
      <c r="A40" s="334"/>
      <c r="B40" s="335" t="s">
        <v>297</v>
      </c>
      <c r="C40" s="130" t="s">
        <v>236</v>
      </c>
      <c r="D40" s="132">
        <f t="shared" si="7"/>
        <v>25046</v>
      </c>
      <c r="E40" s="132">
        <f>SUM(E41:E43)</f>
        <v>12826</v>
      </c>
      <c r="F40" s="132">
        <f t="shared" ref="F40" si="24">SUM(F41:F43)</f>
        <v>12220</v>
      </c>
      <c r="G40" s="132">
        <f t="shared" ref="G40" si="25">SUM(G41:G43)</f>
        <v>0</v>
      </c>
      <c r="H40" s="132">
        <f t="shared" ref="H40" si="26">SUM(H41:H43)</f>
        <v>0</v>
      </c>
      <c r="I40" s="98"/>
    </row>
    <row r="41" spans="1:9" ht="15.95" customHeight="1" x14ac:dyDescent="0.2">
      <c r="A41" s="334"/>
      <c r="B41" s="330"/>
      <c r="C41" s="130" t="s">
        <v>208</v>
      </c>
      <c r="D41" s="132">
        <f t="shared" si="7"/>
        <v>13380</v>
      </c>
      <c r="E41" s="132">
        <f>'2.1 하수관로 신설'!E227</f>
        <v>8978</v>
      </c>
      <c r="F41" s="132">
        <f>'2.1 하수관로 신설'!F227</f>
        <v>4402</v>
      </c>
      <c r="G41" s="132">
        <f>'2.1 하수관로 신설'!G227</f>
        <v>0</v>
      </c>
      <c r="H41" s="132">
        <f>'2.1 하수관로 신설'!H227</f>
        <v>0</v>
      </c>
      <c r="I41" s="98"/>
    </row>
    <row r="42" spans="1:9" ht="15.95" customHeight="1" x14ac:dyDescent="0.2">
      <c r="A42" s="334"/>
      <c r="B42" s="330"/>
      <c r="C42" s="130" t="s">
        <v>209</v>
      </c>
      <c r="D42" s="132">
        <f t="shared" si="7"/>
        <v>5735</v>
      </c>
      <c r="E42" s="132">
        <f>'2.1 하수관로 신설'!E228</f>
        <v>3848</v>
      </c>
      <c r="F42" s="132">
        <f>'2.1 하수관로 신설'!F228</f>
        <v>1887</v>
      </c>
      <c r="G42" s="132">
        <f>'2.1 하수관로 신설'!G228</f>
        <v>0</v>
      </c>
      <c r="H42" s="132">
        <f>'2.1 하수관로 신설'!H228</f>
        <v>0</v>
      </c>
      <c r="I42" s="98"/>
    </row>
    <row r="43" spans="1:9" ht="15.95" customHeight="1" x14ac:dyDescent="0.2">
      <c r="A43" s="334"/>
      <c r="B43" s="330"/>
      <c r="C43" s="130" t="s">
        <v>214</v>
      </c>
      <c r="D43" s="132">
        <f t="shared" si="7"/>
        <v>5931</v>
      </c>
      <c r="E43" s="132">
        <f>'2.1 하수관로 신설'!E229</f>
        <v>0</v>
      </c>
      <c r="F43" s="132">
        <f>'2.1 하수관로 신설'!F229</f>
        <v>5931</v>
      </c>
      <c r="G43" s="132">
        <f>'2.1 하수관로 신설'!G229</f>
        <v>0</v>
      </c>
      <c r="H43" s="132">
        <f>'2.1 하수관로 신설'!H229</f>
        <v>0</v>
      </c>
      <c r="I43" s="98"/>
    </row>
    <row r="44" spans="1:9" ht="15.95" customHeight="1" x14ac:dyDescent="0.2">
      <c r="A44" s="334"/>
      <c r="B44" s="335" t="s">
        <v>298</v>
      </c>
      <c r="C44" s="130" t="s">
        <v>236</v>
      </c>
      <c r="D44" s="132">
        <f t="shared" si="7"/>
        <v>34196</v>
      </c>
      <c r="E44" s="132">
        <f>SUM(E45:E47)</f>
        <v>5347</v>
      </c>
      <c r="F44" s="132">
        <f t="shared" ref="F44" si="27">SUM(F45:F47)</f>
        <v>13877</v>
      </c>
      <c r="G44" s="132">
        <f t="shared" ref="G44" si="28">SUM(G45:G47)</f>
        <v>7486</v>
      </c>
      <c r="H44" s="132">
        <f t="shared" ref="H44" si="29">SUM(H45:H47)</f>
        <v>7486</v>
      </c>
      <c r="I44" s="98"/>
    </row>
    <row r="45" spans="1:9" ht="15.95" customHeight="1" x14ac:dyDescent="0.2">
      <c r="A45" s="334"/>
      <c r="B45" s="330"/>
      <c r="C45" s="130" t="s">
        <v>208</v>
      </c>
      <c r="D45" s="132">
        <f t="shared" si="7"/>
        <v>23937</v>
      </c>
      <c r="E45" s="132">
        <f>'2.2 하수관로 교체'!E251</f>
        <v>3743</v>
      </c>
      <c r="F45" s="132">
        <f>'2.2 하수관로 교체'!F251</f>
        <v>9714</v>
      </c>
      <c r="G45" s="132">
        <f>'2.2 하수관로 교체'!G251</f>
        <v>5240</v>
      </c>
      <c r="H45" s="132">
        <f>'2.2 하수관로 교체'!H251</f>
        <v>5240</v>
      </c>
      <c r="I45" s="98"/>
    </row>
    <row r="46" spans="1:9" ht="15.95" customHeight="1" x14ac:dyDescent="0.2">
      <c r="A46" s="334"/>
      <c r="B46" s="330"/>
      <c r="C46" s="130" t="s">
        <v>209</v>
      </c>
      <c r="D46" s="132">
        <f t="shared" si="7"/>
        <v>10259</v>
      </c>
      <c r="E46" s="132">
        <f>'2.2 하수관로 교체'!E252</f>
        <v>1604</v>
      </c>
      <c r="F46" s="132">
        <f>'2.2 하수관로 교체'!F252</f>
        <v>4163</v>
      </c>
      <c r="G46" s="132">
        <f>'2.2 하수관로 교체'!G252</f>
        <v>2246</v>
      </c>
      <c r="H46" s="132">
        <f>'2.2 하수관로 교체'!H252</f>
        <v>2246</v>
      </c>
      <c r="I46" s="98"/>
    </row>
    <row r="47" spans="1:9" ht="15.95" customHeight="1" x14ac:dyDescent="0.2">
      <c r="A47" s="334"/>
      <c r="B47" s="330"/>
      <c r="C47" s="130" t="s">
        <v>214</v>
      </c>
      <c r="D47" s="132">
        <f t="shared" si="7"/>
        <v>0</v>
      </c>
      <c r="E47" s="132">
        <f>'2.2 하수관로 교체'!E253</f>
        <v>0</v>
      </c>
      <c r="F47" s="132">
        <f>'2.2 하수관로 교체'!F253</f>
        <v>0</v>
      </c>
      <c r="G47" s="132">
        <f>'2.2 하수관로 교체'!G253</f>
        <v>0</v>
      </c>
      <c r="H47" s="132">
        <f>'2.2 하수관로 교체'!H253</f>
        <v>0</v>
      </c>
      <c r="I47" s="98"/>
    </row>
    <row r="48" spans="1:9" ht="15.95" customHeight="1" x14ac:dyDescent="0.2">
      <c r="A48" s="334"/>
      <c r="B48" s="335" t="s">
        <v>299</v>
      </c>
      <c r="C48" s="130" t="s">
        <v>236</v>
      </c>
      <c r="D48" s="132">
        <f t="shared" si="7"/>
        <v>5736</v>
      </c>
      <c r="E48" s="132">
        <f>SUM(E49:E51)</f>
        <v>0</v>
      </c>
      <c r="F48" s="132">
        <f t="shared" ref="F48" si="30">SUM(F49:F51)</f>
        <v>5736</v>
      </c>
      <c r="G48" s="132">
        <f t="shared" ref="G48" si="31">SUM(G49:G51)</f>
        <v>0</v>
      </c>
      <c r="H48" s="132">
        <f t="shared" ref="H48" si="32">SUM(H49:H51)</f>
        <v>0</v>
      </c>
      <c r="I48" s="98"/>
    </row>
    <row r="49" spans="1:9" ht="15.95" customHeight="1" x14ac:dyDescent="0.2">
      <c r="A49" s="334"/>
      <c r="B49" s="330"/>
      <c r="C49" s="130" t="s">
        <v>208</v>
      </c>
      <c r="D49" s="132">
        <f t="shared" si="7"/>
        <v>1721</v>
      </c>
      <c r="E49" s="132">
        <f>'2.3 하수관로 보수'!E74</f>
        <v>0</v>
      </c>
      <c r="F49" s="132">
        <f>'2.3 하수관로 보수'!F74</f>
        <v>1721</v>
      </c>
      <c r="G49" s="132">
        <f>'2.3 하수관로 보수'!G74</f>
        <v>0</v>
      </c>
      <c r="H49" s="132">
        <f>'2.3 하수관로 보수'!H74</f>
        <v>0</v>
      </c>
      <c r="I49" s="98"/>
    </row>
    <row r="50" spans="1:9" ht="15.95" customHeight="1" x14ac:dyDescent="0.2">
      <c r="A50" s="334"/>
      <c r="B50" s="330"/>
      <c r="C50" s="130" t="s">
        <v>209</v>
      </c>
      <c r="D50" s="132">
        <f t="shared" si="7"/>
        <v>4015</v>
      </c>
      <c r="E50" s="132">
        <f>'2.3 하수관로 보수'!E75</f>
        <v>0</v>
      </c>
      <c r="F50" s="132">
        <f>'2.3 하수관로 보수'!F75</f>
        <v>4015</v>
      </c>
      <c r="G50" s="132">
        <f>'2.3 하수관로 보수'!G75</f>
        <v>0</v>
      </c>
      <c r="H50" s="132">
        <f>'2.3 하수관로 보수'!H75</f>
        <v>0</v>
      </c>
      <c r="I50" s="98"/>
    </row>
    <row r="51" spans="1:9" ht="15.95" customHeight="1" x14ac:dyDescent="0.2">
      <c r="A51" s="334"/>
      <c r="B51" s="330"/>
      <c r="C51" s="130" t="s">
        <v>214</v>
      </c>
      <c r="D51" s="132">
        <f t="shared" si="7"/>
        <v>0</v>
      </c>
      <c r="E51" s="132">
        <f>'2.3 하수관로 보수'!E76</f>
        <v>0</v>
      </c>
      <c r="F51" s="132">
        <f>'2.3 하수관로 보수'!F76</f>
        <v>0</v>
      </c>
      <c r="G51" s="132">
        <f>'2.3 하수관로 보수'!G76</f>
        <v>0</v>
      </c>
      <c r="H51" s="132">
        <f>'2.3 하수관로 보수'!H76</f>
        <v>0</v>
      </c>
      <c r="I51" s="98"/>
    </row>
    <row r="52" spans="1:9" ht="15.95" customHeight="1" x14ac:dyDescent="0.2">
      <c r="A52" s="334" t="s">
        <v>294</v>
      </c>
      <c r="B52" s="330" t="s">
        <v>236</v>
      </c>
      <c r="C52" s="330"/>
      <c r="D52" s="132">
        <f t="shared" si="7"/>
        <v>31235</v>
      </c>
      <c r="E52" s="132">
        <f>SUM(E53:E55)</f>
        <v>31235</v>
      </c>
      <c r="F52" s="132">
        <f t="shared" ref="F52" si="33">SUM(F53:F55)</f>
        <v>0</v>
      </c>
      <c r="G52" s="132">
        <f t="shared" ref="G52" si="34">SUM(G53:G55)</f>
        <v>0</v>
      </c>
      <c r="H52" s="132">
        <f t="shared" ref="H52" si="35">SUM(H53:H55)</f>
        <v>0</v>
      </c>
      <c r="I52" s="98"/>
    </row>
    <row r="53" spans="1:9" ht="15.95" customHeight="1" x14ac:dyDescent="0.2">
      <c r="A53" s="334"/>
      <c r="B53" s="330" t="s">
        <v>208</v>
      </c>
      <c r="C53" s="330"/>
      <c r="D53" s="132">
        <f t="shared" si="7"/>
        <v>12494</v>
      </c>
      <c r="E53" s="132">
        <f>'3. 하수처리수 재이용시설'!D31</f>
        <v>12494</v>
      </c>
      <c r="F53" s="132">
        <f>'3. 하수처리수 재이용시설'!E31</f>
        <v>0</v>
      </c>
      <c r="G53" s="132">
        <f>'3. 하수처리수 재이용시설'!F31</f>
        <v>0</v>
      </c>
      <c r="H53" s="132">
        <f>'3. 하수처리수 재이용시설'!G31</f>
        <v>0</v>
      </c>
      <c r="I53" s="98"/>
    </row>
    <row r="54" spans="1:9" ht="15.95" customHeight="1" x14ac:dyDescent="0.2">
      <c r="A54" s="334"/>
      <c r="B54" s="330" t="s">
        <v>209</v>
      </c>
      <c r="C54" s="330"/>
      <c r="D54" s="132">
        <f t="shared" si="7"/>
        <v>3123</v>
      </c>
      <c r="E54" s="132">
        <f>'3. 하수처리수 재이용시설'!D32</f>
        <v>3123</v>
      </c>
      <c r="F54" s="132">
        <f>'3. 하수처리수 재이용시설'!E32</f>
        <v>0</v>
      </c>
      <c r="G54" s="132">
        <f>'3. 하수처리수 재이용시설'!F32</f>
        <v>0</v>
      </c>
      <c r="H54" s="132">
        <f>'3. 하수처리수 재이용시설'!G32</f>
        <v>0</v>
      </c>
      <c r="I54" s="98"/>
    </row>
    <row r="55" spans="1:9" ht="15.95" customHeight="1" x14ac:dyDescent="0.2">
      <c r="A55" s="334"/>
      <c r="B55" s="330" t="s">
        <v>510</v>
      </c>
      <c r="C55" s="330"/>
      <c r="D55" s="132">
        <f t="shared" si="7"/>
        <v>15618</v>
      </c>
      <c r="E55" s="132">
        <f>'3. 하수처리수 재이용시설'!D33</f>
        <v>15618</v>
      </c>
      <c r="F55" s="132">
        <f>'3. 하수처리수 재이용시설'!E33</f>
        <v>0</v>
      </c>
      <c r="G55" s="132">
        <f>'3. 하수처리수 재이용시설'!F33</f>
        <v>0</v>
      </c>
      <c r="H55" s="132">
        <f>'3. 하수처리수 재이용시설'!G33</f>
        <v>0</v>
      </c>
      <c r="I55" s="98"/>
    </row>
    <row r="56" spans="1:9" ht="15.95" customHeight="1" x14ac:dyDescent="0.2">
      <c r="A56" s="334" t="s">
        <v>295</v>
      </c>
      <c r="B56" s="330" t="s">
        <v>236</v>
      </c>
      <c r="C56" s="330"/>
      <c r="D56" s="132">
        <f t="shared" si="7"/>
        <v>5895</v>
      </c>
      <c r="E56" s="132">
        <f>SUM(E57:E59)</f>
        <v>5895</v>
      </c>
      <c r="F56" s="132">
        <f t="shared" ref="F56" si="36">SUM(F57:F59)</f>
        <v>0</v>
      </c>
      <c r="G56" s="132">
        <f t="shared" ref="G56" si="37">SUM(G57:G59)</f>
        <v>0</v>
      </c>
      <c r="H56" s="132">
        <f t="shared" ref="H56" si="38">SUM(H57:H59)</f>
        <v>0</v>
      </c>
      <c r="I56" s="98"/>
    </row>
    <row r="57" spans="1:9" ht="15.95" customHeight="1" x14ac:dyDescent="0.2">
      <c r="A57" s="334"/>
      <c r="B57" s="330" t="s">
        <v>208</v>
      </c>
      <c r="C57" s="330"/>
      <c r="D57" s="132">
        <f t="shared" si="7"/>
        <v>1975</v>
      </c>
      <c r="E57" s="132">
        <f>'4. 하수저류시설 및 우수침투시설'!D29</f>
        <v>1975</v>
      </c>
      <c r="F57" s="132">
        <f>'4. 하수저류시설 및 우수침투시설'!E29</f>
        <v>0</v>
      </c>
      <c r="G57" s="132">
        <f>'4. 하수저류시설 및 우수침투시설'!F29</f>
        <v>0</v>
      </c>
      <c r="H57" s="132">
        <f>'4. 하수저류시설 및 우수침투시설'!G29</f>
        <v>0</v>
      </c>
      <c r="I57" s="98"/>
    </row>
    <row r="58" spans="1:9" ht="15.95" customHeight="1" x14ac:dyDescent="0.2">
      <c r="A58" s="334"/>
      <c r="B58" s="330" t="s">
        <v>209</v>
      </c>
      <c r="C58" s="330"/>
      <c r="D58" s="132">
        <f t="shared" si="7"/>
        <v>3272</v>
      </c>
      <c r="E58" s="132">
        <f>'4. 하수저류시설 및 우수침투시설'!D30</f>
        <v>3272</v>
      </c>
      <c r="F58" s="132">
        <f>'4. 하수저류시설 및 우수침투시설'!E30</f>
        <v>0</v>
      </c>
      <c r="G58" s="132">
        <f>'4. 하수저류시설 및 우수침투시설'!F30</f>
        <v>0</v>
      </c>
      <c r="H58" s="132">
        <f>'4. 하수저류시설 및 우수침투시설'!G30</f>
        <v>0</v>
      </c>
      <c r="I58" s="98"/>
    </row>
    <row r="59" spans="1:9" ht="15.95" customHeight="1" x14ac:dyDescent="0.2">
      <c r="A59" s="340"/>
      <c r="B59" s="343" t="s">
        <v>510</v>
      </c>
      <c r="C59" s="343"/>
      <c r="D59" s="133">
        <f t="shared" si="7"/>
        <v>648</v>
      </c>
      <c r="E59" s="133">
        <f>'4. 하수저류시설 및 우수침투시설'!D31</f>
        <v>648</v>
      </c>
      <c r="F59" s="133">
        <f>'4. 하수저류시설 및 우수침투시설'!E31</f>
        <v>0</v>
      </c>
      <c r="G59" s="133">
        <f>'4. 하수저류시설 및 우수침투시설'!F31</f>
        <v>0</v>
      </c>
      <c r="H59" s="133">
        <f>'4. 하수저류시설 및 우수침투시설'!G31</f>
        <v>0</v>
      </c>
      <c r="I59" s="100"/>
    </row>
  </sheetData>
  <mergeCells count="41">
    <mergeCell ref="A52:A55"/>
    <mergeCell ref="B52:C52"/>
    <mergeCell ref="B53:C53"/>
    <mergeCell ref="B54:C54"/>
    <mergeCell ref="B55:C55"/>
    <mergeCell ref="A56:A59"/>
    <mergeCell ref="B56:C56"/>
    <mergeCell ref="B57:C57"/>
    <mergeCell ref="B58:C58"/>
    <mergeCell ref="B59:C59"/>
    <mergeCell ref="B24:B27"/>
    <mergeCell ref="A24:A35"/>
    <mergeCell ref="A36:A51"/>
    <mergeCell ref="B36:B39"/>
    <mergeCell ref="B40:B43"/>
    <mergeCell ref="B44:B47"/>
    <mergeCell ref="B48:B51"/>
    <mergeCell ref="B28:B31"/>
    <mergeCell ref="B32:B35"/>
    <mergeCell ref="D4:H4"/>
    <mergeCell ref="I4:I5"/>
    <mergeCell ref="B19:C19"/>
    <mergeCell ref="B20:C20"/>
    <mergeCell ref="B12:C12"/>
    <mergeCell ref="B13:C13"/>
    <mergeCell ref="A14:C14"/>
    <mergeCell ref="A15:C15"/>
    <mergeCell ref="A4:C5"/>
    <mergeCell ref="B7:C7"/>
    <mergeCell ref="A6:C6"/>
    <mergeCell ref="B8:C8"/>
    <mergeCell ref="B9:C9"/>
    <mergeCell ref="A18:C18"/>
    <mergeCell ref="B23:C23"/>
    <mergeCell ref="A19:A23"/>
    <mergeCell ref="B22:C22"/>
    <mergeCell ref="A7:A9"/>
    <mergeCell ref="A10:A13"/>
    <mergeCell ref="B10:C10"/>
    <mergeCell ref="B11:C11"/>
    <mergeCell ref="B21:C21"/>
  </mergeCells>
  <phoneticPr fontId="3" type="noConversion"/>
  <pageMargins left="0.7" right="0.7" top="0.75" bottom="0.75" header="0.3" footer="0.3"/>
  <pageSetup paperSize="9" scale="91" orientation="portrait" r:id="rId1"/>
  <rowBreaks count="1" manualBreakCount="1">
    <brk id="16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topLeftCell="A34" zoomScale="130" zoomScaleNormal="115" zoomScaleSheetLayoutView="130" workbookViewId="0">
      <selection activeCell="G66" sqref="G66"/>
    </sheetView>
  </sheetViews>
  <sheetFormatPr defaultRowHeight="15.95" customHeight="1" x14ac:dyDescent="0.2"/>
  <cols>
    <col min="1" max="6" width="8" style="2" customWidth="1"/>
    <col min="7" max="10" width="8" style="14" customWidth="1"/>
    <col min="11" max="16384" width="8.88671875" style="14"/>
  </cols>
  <sheetData>
    <row r="1" spans="1:10" ht="15.95" customHeight="1" x14ac:dyDescent="0.2">
      <c r="A1" s="1" t="s">
        <v>514</v>
      </c>
      <c r="B1" s="1"/>
    </row>
    <row r="2" spans="1:10" ht="15.95" customHeight="1" x14ac:dyDescent="0.2">
      <c r="A2" s="1"/>
      <c r="B2" s="1"/>
    </row>
    <row r="3" spans="1:10" ht="15.95" customHeight="1" x14ac:dyDescent="0.2">
      <c r="A3" s="5" t="s">
        <v>515</v>
      </c>
      <c r="B3" s="5"/>
    </row>
    <row r="4" spans="1:10" ht="15.95" customHeight="1" x14ac:dyDescent="0.2">
      <c r="A4" s="5" t="s">
        <v>90</v>
      </c>
      <c r="B4" s="5"/>
      <c r="C4" s="4"/>
      <c r="D4" s="4"/>
      <c r="E4" s="4"/>
      <c r="F4" s="4"/>
    </row>
    <row r="5" spans="1:10" s="2" customFormat="1" ht="15.95" customHeight="1" x14ac:dyDescent="0.2">
      <c r="A5" s="2" t="s">
        <v>124</v>
      </c>
      <c r="G5" s="10"/>
    </row>
    <row r="6" spans="1:10" s="2" customFormat="1" ht="15.95" customHeight="1" x14ac:dyDescent="0.2">
      <c r="A6" s="284" t="s">
        <v>66</v>
      </c>
      <c r="B6" s="286"/>
      <c r="C6" s="286"/>
      <c r="D6" s="286" t="s">
        <v>128</v>
      </c>
      <c r="E6" s="286"/>
      <c r="F6" s="286"/>
      <c r="G6" s="286"/>
      <c r="H6" s="286"/>
      <c r="I6" s="286"/>
      <c r="J6" s="361" t="s">
        <v>471</v>
      </c>
    </row>
    <row r="7" spans="1:10" ht="15.95" customHeight="1" thickBot="1" x14ac:dyDescent="0.25">
      <c r="A7" s="285"/>
      <c r="B7" s="287"/>
      <c r="C7" s="287"/>
      <c r="D7" s="287" t="s">
        <v>125</v>
      </c>
      <c r="E7" s="287"/>
      <c r="F7" s="287" t="s">
        <v>126</v>
      </c>
      <c r="G7" s="287"/>
      <c r="H7" s="287" t="s">
        <v>127</v>
      </c>
      <c r="I7" s="287"/>
      <c r="J7" s="362"/>
    </row>
    <row r="8" spans="1:10" ht="15.95" customHeight="1" thickTop="1" x14ac:dyDescent="0.2">
      <c r="A8" s="315" t="s">
        <v>88</v>
      </c>
      <c r="B8" s="283"/>
      <c r="C8" s="283"/>
      <c r="D8" s="346">
        <f>F8+H8</f>
        <v>5000</v>
      </c>
      <c r="E8" s="283"/>
      <c r="F8" s="378">
        <v>2150</v>
      </c>
      <c r="G8" s="392"/>
      <c r="H8" s="346">
        <v>2850</v>
      </c>
      <c r="I8" s="283"/>
      <c r="J8" s="176"/>
    </row>
    <row r="9" spans="1:10" ht="15.95" customHeight="1" x14ac:dyDescent="0.2">
      <c r="A9" s="1"/>
      <c r="B9" s="1"/>
    </row>
    <row r="10" spans="1:10" ht="15.95" customHeight="1" x14ac:dyDescent="0.2">
      <c r="A10" s="5" t="s">
        <v>91</v>
      </c>
      <c r="B10" s="5"/>
      <c r="C10" s="4"/>
      <c r="D10" s="4"/>
      <c r="E10" s="4"/>
      <c r="F10" s="4"/>
    </row>
    <row r="11" spans="1:10" ht="15.95" customHeight="1" x14ac:dyDescent="0.2">
      <c r="A11" s="5" t="s">
        <v>129</v>
      </c>
      <c r="B11" s="5"/>
      <c r="C11" s="4"/>
      <c r="D11" s="4"/>
      <c r="E11" s="4"/>
      <c r="F11" s="4"/>
    </row>
    <row r="12" spans="1:10" ht="15.95" customHeight="1" x14ac:dyDescent="0.2">
      <c r="A12" s="379" t="s">
        <v>66</v>
      </c>
      <c r="B12" s="351"/>
      <c r="C12" s="351"/>
      <c r="D12" s="351" t="s">
        <v>67</v>
      </c>
      <c r="E12" s="351"/>
      <c r="F12" s="391" t="s">
        <v>84</v>
      </c>
      <c r="G12" s="351" t="s">
        <v>69</v>
      </c>
      <c r="H12" s="396" t="s">
        <v>68</v>
      </c>
      <c r="I12" s="396"/>
      <c r="J12" s="361" t="s">
        <v>471</v>
      </c>
    </row>
    <row r="13" spans="1:10" ht="37.5" customHeight="1" thickBot="1" x14ac:dyDescent="0.25">
      <c r="A13" s="380"/>
      <c r="B13" s="353"/>
      <c r="C13" s="353"/>
      <c r="D13" s="353"/>
      <c r="E13" s="353"/>
      <c r="F13" s="353"/>
      <c r="G13" s="353"/>
      <c r="H13" s="35" t="s">
        <v>483</v>
      </c>
      <c r="I13" s="178" t="s">
        <v>484</v>
      </c>
      <c r="J13" s="362"/>
    </row>
    <row r="14" spans="1:10" ht="15.95" customHeight="1" thickTop="1" x14ac:dyDescent="0.2">
      <c r="A14" s="377" t="s">
        <v>82</v>
      </c>
      <c r="B14" s="349"/>
      <c r="C14" s="166" t="s">
        <v>83</v>
      </c>
      <c r="D14" s="393" t="s">
        <v>191</v>
      </c>
      <c r="E14" s="393"/>
      <c r="F14" s="173">
        <f>$H$8</f>
        <v>2850</v>
      </c>
      <c r="G14" s="37">
        <f>'0.시설공사비 산정근거'!F9</f>
        <v>1.0820000000000001</v>
      </c>
      <c r="H14" s="173">
        <f>ROUND(179.03*F14^0.5143,0)</f>
        <v>10709</v>
      </c>
      <c r="I14" s="177">
        <f>ROUND(H14*G14,0)</f>
        <v>11587</v>
      </c>
      <c r="J14" s="176"/>
    </row>
    <row r="15" spans="1:10" s="15" customFormat="1" ht="15.95" customHeight="1" x14ac:dyDescent="0.2">
      <c r="A15" s="56" t="s">
        <v>144</v>
      </c>
      <c r="B15" s="2"/>
      <c r="C15" s="2"/>
      <c r="D15" s="2"/>
      <c r="E15" s="2"/>
      <c r="F15" s="2"/>
    </row>
    <row r="17" spans="1:10" ht="15.95" customHeight="1" x14ac:dyDescent="0.2">
      <c r="A17" s="5" t="s">
        <v>130</v>
      </c>
      <c r="B17" s="5"/>
    </row>
    <row r="18" spans="1:10" s="2" customFormat="1" ht="15.95" customHeight="1" x14ac:dyDescent="0.2">
      <c r="A18" s="2" t="s">
        <v>131</v>
      </c>
      <c r="G18" s="10"/>
    </row>
    <row r="19" spans="1:10" ht="30" customHeight="1" thickBot="1" x14ac:dyDescent="0.25">
      <c r="A19" s="255" t="s">
        <v>132</v>
      </c>
      <c r="B19" s="256"/>
      <c r="C19" s="375" t="s">
        <v>134</v>
      </c>
      <c r="D19" s="375"/>
      <c r="E19" s="375" t="s">
        <v>138</v>
      </c>
      <c r="F19" s="375"/>
      <c r="G19" s="256" t="s">
        <v>135</v>
      </c>
      <c r="H19" s="256"/>
      <c r="I19" s="355" t="s">
        <v>136</v>
      </c>
      <c r="J19" s="356"/>
    </row>
    <row r="20" spans="1:10" ht="15.95" customHeight="1" thickTop="1" x14ac:dyDescent="0.2">
      <c r="A20" s="315" t="s">
        <v>133</v>
      </c>
      <c r="B20" s="283"/>
      <c r="C20" s="376">
        <f>$H$8</f>
        <v>2850</v>
      </c>
      <c r="D20" s="376"/>
      <c r="E20" s="378">
        <v>330000</v>
      </c>
      <c r="F20" s="378"/>
      <c r="G20" s="283">
        <v>1.47</v>
      </c>
      <c r="H20" s="283"/>
      <c r="I20" s="373">
        <f>ROUND(C20*E20*G20/10^6,0)</f>
        <v>1383</v>
      </c>
      <c r="J20" s="374"/>
    </row>
    <row r="22" spans="1:10" ht="15.95" customHeight="1" x14ac:dyDescent="0.2">
      <c r="A22" s="5" t="s">
        <v>139</v>
      </c>
      <c r="B22" s="5"/>
    </row>
    <row r="23" spans="1:10" ht="15.95" customHeight="1" thickBot="1" x14ac:dyDescent="0.25">
      <c r="A23" s="388" t="s">
        <v>132</v>
      </c>
      <c r="B23" s="320"/>
      <c r="C23" s="318" t="s">
        <v>140</v>
      </c>
      <c r="D23" s="320"/>
      <c r="E23" s="318" t="s">
        <v>141</v>
      </c>
      <c r="F23" s="320"/>
      <c r="G23" s="318" t="s">
        <v>142</v>
      </c>
      <c r="H23" s="320"/>
      <c r="I23" s="381" t="s">
        <v>472</v>
      </c>
      <c r="J23" s="382"/>
    </row>
    <row r="24" spans="1:10" ht="15.95" customHeight="1" thickTop="1" x14ac:dyDescent="0.2">
      <c r="A24" s="316" t="s">
        <v>143</v>
      </c>
      <c r="B24" s="317"/>
      <c r="C24" s="383">
        <f>E24+G24</f>
        <v>12970</v>
      </c>
      <c r="D24" s="390"/>
      <c r="E24" s="383">
        <f>I14</f>
        <v>11587</v>
      </c>
      <c r="F24" s="390"/>
      <c r="G24" s="383">
        <f>I20</f>
        <v>1383</v>
      </c>
      <c r="H24" s="390"/>
      <c r="I24" s="383"/>
      <c r="J24" s="384"/>
    </row>
    <row r="26" spans="1:10" ht="15.95" customHeight="1" x14ac:dyDescent="0.2">
      <c r="A26" s="5" t="s">
        <v>92</v>
      </c>
      <c r="B26" s="5"/>
      <c r="C26" s="4"/>
      <c r="D26" s="4"/>
      <c r="E26" s="4"/>
      <c r="F26" s="4"/>
    </row>
    <row r="27" spans="1:10" s="2" customFormat="1" ht="15.95" customHeight="1" x14ac:dyDescent="0.2">
      <c r="A27" s="2" t="s">
        <v>89</v>
      </c>
      <c r="G27" s="10"/>
    </row>
    <row r="28" spans="1:10" ht="15.95" customHeight="1" x14ac:dyDescent="0.2">
      <c r="A28" s="367" t="s">
        <v>70</v>
      </c>
      <c r="B28" s="368"/>
      <c r="C28" s="385" t="s">
        <v>71</v>
      </c>
      <c r="D28" s="385"/>
      <c r="E28" s="385"/>
      <c r="F28" s="385" t="s">
        <v>72</v>
      </c>
      <c r="G28" s="385"/>
      <c r="H28" s="385"/>
      <c r="I28" s="386" t="s">
        <v>73</v>
      </c>
      <c r="J28" s="361" t="s">
        <v>471</v>
      </c>
    </row>
    <row r="29" spans="1:10" ht="15.95" customHeight="1" thickBot="1" x14ac:dyDescent="0.25">
      <c r="A29" s="369"/>
      <c r="B29" s="370"/>
      <c r="C29" s="34" t="s">
        <v>74</v>
      </c>
      <c r="D29" s="34" t="s">
        <v>75</v>
      </c>
      <c r="E29" s="34" t="s">
        <v>76</v>
      </c>
      <c r="F29" s="34" t="s">
        <v>74</v>
      </c>
      <c r="G29" s="34" t="s">
        <v>75</v>
      </c>
      <c r="H29" s="34" t="s">
        <v>76</v>
      </c>
      <c r="I29" s="387"/>
      <c r="J29" s="362"/>
    </row>
    <row r="30" spans="1:10" ht="15.95" customHeight="1" thickTop="1" x14ac:dyDescent="0.2">
      <c r="A30" s="371" t="s">
        <v>77</v>
      </c>
      <c r="B30" s="372"/>
      <c r="C30" s="182"/>
      <c r="D30" s="182"/>
      <c r="E30" s="182"/>
      <c r="F30" s="182"/>
      <c r="G30" s="182"/>
      <c r="H30" s="182"/>
      <c r="I30" s="182">
        <f>SUM(I31:I34)</f>
        <v>1675</v>
      </c>
      <c r="J30" s="183"/>
    </row>
    <row r="31" spans="1:10" ht="15.95" customHeight="1" x14ac:dyDescent="0.2">
      <c r="A31" s="363" t="s">
        <v>78</v>
      </c>
      <c r="B31" s="364"/>
      <c r="C31" s="27">
        <f>VLOOKUP($D31,'0.시설공사비 산정근거'!$A$150:$G$166,1,1)</f>
        <v>10000</v>
      </c>
      <c r="D31" s="27">
        <f>C24</f>
        <v>12970</v>
      </c>
      <c r="E31" s="27">
        <v>20000</v>
      </c>
      <c r="F31" s="28">
        <f>VLOOKUP(C31,'0.시설공사비 산정근거'!$A$150:$G$166,2,FALSE)</f>
        <v>1.44</v>
      </c>
      <c r="G31" s="28">
        <f>ROUND(F31-(D31-C31)*(F31-H31)/(E31-C31),2)</f>
        <v>1.43</v>
      </c>
      <c r="H31" s="28">
        <f>VLOOKUP(E31,'0.시설공사비 산정근거'!$A$150:$G$166,2,FALSE)</f>
        <v>1.39</v>
      </c>
      <c r="I31" s="27">
        <f>ROUND(D31*G31/100,0)</f>
        <v>185</v>
      </c>
      <c r="J31" s="180"/>
    </row>
    <row r="32" spans="1:10" ht="15.95" customHeight="1" x14ac:dyDescent="0.2">
      <c r="A32" s="363" t="s">
        <v>79</v>
      </c>
      <c r="B32" s="364"/>
      <c r="C32" s="27">
        <f>VLOOKUP($D32,'0.시설공사비 산정근거'!$A$150:$G$166,1,1)</f>
        <v>10000</v>
      </c>
      <c r="D32" s="27">
        <f>$D$31</f>
        <v>12970</v>
      </c>
      <c r="E32" s="27">
        <v>20000</v>
      </c>
      <c r="F32" s="28">
        <f>VLOOKUP(C32,'0.시설공사비 산정근거'!$A$150:$G$166,3,FALSE)</f>
        <v>2.87</v>
      </c>
      <c r="G32" s="28">
        <f>ROUND(F32-(D32-C32)*(F32-H32)/(E32-C32),2)</f>
        <v>2.84</v>
      </c>
      <c r="H32" s="28">
        <f>VLOOKUP(E32,'0.시설공사비 산정근거'!$A$150:$G$166,3,FALSE)</f>
        <v>2.77</v>
      </c>
      <c r="I32" s="27">
        <f>ROUND(D32*G32/100,0)</f>
        <v>368</v>
      </c>
      <c r="J32" s="180"/>
    </row>
    <row r="33" spans="1:10" ht="15.95" customHeight="1" x14ac:dyDescent="0.2">
      <c r="A33" s="363" t="s">
        <v>80</v>
      </c>
      <c r="B33" s="364"/>
      <c r="C33" s="27">
        <f>VLOOKUP($D33,'0.시설공사비 산정근거'!$A$150:$G$166,1,1)</f>
        <v>10000</v>
      </c>
      <c r="D33" s="27">
        <f t="shared" ref="D33:D34" si="0">$D$31</f>
        <v>12970</v>
      </c>
      <c r="E33" s="27">
        <v>20000</v>
      </c>
      <c r="F33" s="28">
        <f>VLOOKUP(C33,'0.시설공사비 산정근거'!$A$150:$G$166,5,FALSE)</f>
        <v>8.92</v>
      </c>
      <c r="G33" s="28">
        <f>ROUND(F33-(D33-C33)*(F33-H33)/(E33-C33),2)</f>
        <v>8.41</v>
      </c>
      <c r="H33" s="28">
        <f>VLOOKUP(E33,'0.시설공사비 산정근거'!$A$150:$G$166,5,FALSE)</f>
        <v>7.21</v>
      </c>
      <c r="I33" s="27">
        <f>ROUND(D33*G33/100,0)</f>
        <v>1091</v>
      </c>
      <c r="J33" s="180"/>
    </row>
    <row r="34" spans="1:10" ht="15.95" customHeight="1" x14ac:dyDescent="0.2">
      <c r="A34" s="365" t="s">
        <v>81</v>
      </c>
      <c r="B34" s="366"/>
      <c r="C34" s="40">
        <f>VLOOKUP($D34,'0.시설공사비 산정근거'!$A$150:$G$166,1,1)</f>
        <v>10000</v>
      </c>
      <c r="D34" s="40">
        <f t="shared" si="0"/>
        <v>12970</v>
      </c>
      <c r="E34" s="40">
        <v>20000</v>
      </c>
      <c r="F34" s="41">
        <f>VLOOKUP(C34,'0.시설공사비 산정근거'!$A$150:$G$166,6,FALSE)</f>
        <v>0.25</v>
      </c>
      <c r="G34" s="41">
        <f>ROUND(F34-(D34-C34)*(F34-H34)/(E34-C34),2)</f>
        <v>0.24</v>
      </c>
      <c r="H34" s="41">
        <f>VLOOKUP(E34,'0.시설공사비 산정근거'!$A$150:$G$166,6,FALSE)</f>
        <v>0.23</v>
      </c>
      <c r="I34" s="40">
        <f>ROUND(D34*G34/100,0)</f>
        <v>31</v>
      </c>
      <c r="J34" s="181"/>
    </row>
    <row r="36" spans="1:10" ht="15.95" customHeight="1" x14ac:dyDescent="0.2">
      <c r="A36" s="5" t="s">
        <v>211</v>
      </c>
      <c r="B36" s="5"/>
    </row>
    <row r="37" spans="1:10" s="2" customFormat="1" ht="15.95" customHeight="1" x14ac:dyDescent="0.2">
      <c r="A37" s="2" t="s">
        <v>473</v>
      </c>
      <c r="G37" s="10"/>
    </row>
    <row r="38" spans="1:10" ht="30" customHeight="1" thickBot="1" x14ac:dyDescent="0.25">
      <c r="A38" s="255" t="s">
        <v>132</v>
      </c>
      <c r="B38" s="256"/>
      <c r="C38" s="256"/>
      <c r="D38" s="256"/>
      <c r="E38" s="51" t="s">
        <v>160</v>
      </c>
      <c r="F38" s="51" t="s">
        <v>200</v>
      </c>
      <c r="G38" s="51" t="s">
        <v>201</v>
      </c>
      <c r="H38" s="51" t="s">
        <v>202</v>
      </c>
      <c r="I38" s="51" t="s">
        <v>203</v>
      </c>
      <c r="J38" s="169" t="s">
        <v>137</v>
      </c>
    </row>
    <row r="39" spans="1:10" ht="15.95" customHeight="1" thickTop="1" x14ac:dyDescent="0.2">
      <c r="A39" s="333" t="s">
        <v>300</v>
      </c>
      <c r="B39" s="342"/>
      <c r="C39" s="342"/>
      <c r="D39" s="342"/>
      <c r="E39" s="101">
        <f>SUM(F39:I39)</f>
        <v>14645</v>
      </c>
      <c r="F39" s="101">
        <f>F40+F43</f>
        <v>0</v>
      </c>
      <c r="G39" s="101">
        <f>G40+G43</f>
        <v>14645</v>
      </c>
      <c r="H39" s="101">
        <f t="shared" ref="H39:I39" si="1">H40+H43</f>
        <v>0</v>
      </c>
      <c r="I39" s="101">
        <f t="shared" si="1"/>
        <v>0</v>
      </c>
      <c r="J39" s="184"/>
    </row>
    <row r="40" spans="1:10" ht="15.95" customHeight="1" x14ac:dyDescent="0.2">
      <c r="A40" s="334" t="s">
        <v>304</v>
      </c>
      <c r="B40" s="335"/>
      <c r="C40" s="330" t="s">
        <v>301</v>
      </c>
      <c r="D40" s="330"/>
      <c r="E40" s="174">
        <f t="shared" ref="E40:E47" si="2">SUM(F40:I40)</f>
        <v>12970</v>
      </c>
      <c r="F40" s="174">
        <f t="shared" ref="F40:I40" si="3">SUM(F41:F42)</f>
        <v>0</v>
      </c>
      <c r="G40" s="174">
        <f t="shared" si="3"/>
        <v>12970</v>
      </c>
      <c r="H40" s="174">
        <f t="shared" si="3"/>
        <v>0</v>
      </c>
      <c r="I40" s="174">
        <f t="shared" si="3"/>
        <v>0</v>
      </c>
      <c r="J40" s="185"/>
    </row>
    <row r="41" spans="1:10" ht="15.95" customHeight="1" x14ac:dyDescent="0.2">
      <c r="A41" s="334"/>
      <c r="B41" s="335"/>
      <c r="C41" s="330" t="s">
        <v>302</v>
      </c>
      <c r="D41" s="330"/>
      <c r="E41" s="174">
        <f t="shared" si="2"/>
        <v>11587</v>
      </c>
      <c r="F41" s="174">
        <v>0</v>
      </c>
      <c r="G41" s="174">
        <f>E24</f>
        <v>11587</v>
      </c>
      <c r="H41" s="174">
        <v>0</v>
      </c>
      <c r="I41" s="174">
        <v>0</v>
      </c>
      <c r="J41" s="185"/>
    </row>
    <row r="42" spans="1:10" ht="15.95" customHeight="1" x14ac:dyDescent="0.2">
      <c r="A42" s="334"/>
      <c r="B42" s="335"/>
      <c r="C42" s="330" t="s">
        <v>303</v>
      </c>
      <c r="D42" s="330"/>
      <c r="E42" s="174">
        <f t="shared" si="2"/>
        <v>1383</v>
      </c>
      <c r="F42" s="174">
        <v>0</v>
      </c>
      <c r="G42" s="174">
        <f>G24</f>
        <v>1383</v>
      </c>
      <c r="H42" s="174">
        <v>0</v>
      </c>
      <c r="I42" s="174">
        <v>0</v>
      </c>
      <c r="J42" s="185"/>
    </row>
    <row r="43" spans="1:10" ht="15.95" customHeight="1" x14ac:dyDescent="0.2">
      <c r="A43" s="334" t="s">
        <v>305</v>
      </c>
      <c r="B43" s="335"/>
      <c r="C43" s="330" t="s">
        <v>301</v>
      </c>
      <c r="D43" s="330"/>
      <c r="E43" s="174">
        <f t="shared" si="2"/>
        <v>1675</v>
      </c>
      <c r="F43" s="174">
        <f t="shared" ref="F43:I43" si="4">SUM(F44:F47)</f>
        <v>0</v>
      </c>
      <c r="G43" s="174">
        <f t="shared" si="4"/>
        <v>1675</v>
      </c>
      <c r="H43" s="174">
        <f t="shared" si="4"/>
        <v>0</v>
      </c>
      <c r="I43" s="174">
        <f t="shared" si="4"/>
        <v>0</v>
      </c>
      <c r="J43" s="185"/>
    </row>
    <row r="44" spans="1:10" ht="15.95" customHeight="1" x14ac:dyDescent="0.2">
      <c r="A44" s="334"/>
      <c r="B44" s="335"/>
      <c r="C44" s="364" t="s">
        <v>78</v>
      </c>
      <c r="D44" s="364"/>
      <c r="E44" s="174">
        <f t="shared" si="2"/>
        <v>185</v>
      </c>
      <c r="F44" s="174">
        <v>0</v>
      </c>
      <c r="G44" s="174">
        <f>I31</f>
        <v>185</v>
      </c>
      <c r="H44" s="174">
        <v>0</v>
      </c>
      <c r="I44" s="174">
        <v>0</v>
      </c>
      <c r="J44" s="185"/>
    </row>
    <row r="45" spans="1:10" ht="15.95" customHeight="1" x14ac:dyDescent="0.2">
      <c r="A45" s="334"/>
      <c r="B45" s="335"/>
      <c r="C45" s="364" t="s">
        <v>79</v>
      </c>
      <c r="D45" s="364"/>
      <c r="E45" s="174">
        <f t="shared" si="2"/>
        <v>368</v>
      </c>
      <c r="F45" s="174">
        <v>0</v>
      </c>
      <c r="G45" s="174">
        <f t="shared" ref="G45:G47" si="5">I32</f>
        <v>368</v>
      </c>
      <c r="H45" s="174">
        <v>0</v>
      </c>
      <c r="I45" s="174">
        <v>0</v>
      </c>
      <c r="J45" s="185"/>
    </row>
    <row r="46" spans="1:10" ht="15.95" customHeight="1" x14ac:dyDescent="0.2">
      <c r="A46" s="334"/>
      <c r="B46" s="335"/>
      <c r="C46" s="364" t="s">
        <v>80</v>
      </c>
      <c r="D46" s="364"/>
      <c r="E46" s="174">
        <f t="shared" si="2"/>
        <v>1091</v>
      </c>
      <c r="F46" s="174">
        <v>0</v>
      </c>
      <c r="G46" s="174">
        <f t="shared" si="5"/>
        <v>1091</v>
      </c>
      <c r="H46" s="174">
        <v>0</v>
      </c>
      <c r="I46" s="174">
        <v>0</v>
      </c>
      <c r="J46" s="185"/>
    </row>
    <row r="47" spans="1:10" ht="15.95" customHeight="1" x14ac:dyDescent="0.2">
      <c r="A47" s="340"/>
      <c r="B47" s="341"/>
      <c r="C47" s="366" t="s">
        <v>81</v>
      </c>
      <c r="D47" s="366"/>
      <c r="E47" s="175">
        <f t="shared" si="2"/>
        <v>31</v>
      </c>
      <c r="F47" s="175">
        <v>0</v>
      </c>
      <c r="G47" s="175">
        <f t="shared" si="5"/>
        <v>31</v>
      </c>
      <c r="H47" s="175">
        <v>0</v>
      </c>
      <c r="I47" s="175">
        <v>0</v>
      </c>
      <c r="J47" s="179"/>
    </row>
    <row r="49" spans="1:10" ht="15.95" customHeight="1" x14ac:dyDescent="0.2">
      <c r="A49" s="5" t="s">
        <v>145</v>
      </c>
      <c r="B49" s="5"/>
    </row>
    <row r="50" spans="1:10" ht="15.95" customHeight="1" x14ac:dyDescent="0.2">
      <c r="A50" s="5" t="s">
        <v>146</v>
      </c>
      <c r="B50" s="5"/>
      <c r="C50" s="4"/>
      <c r="D50" s="4"/>
      <c r="E50" s="4"/>
      <c r="F50" s="4"/>
    </row>
    <row r="51" spans="1:10" s="2" customFormat="1" ht="15.95" customHeight="1" x14ac:dyDescent="0.2">
      <c r="A51" s="2" t="s">
        <v>147</v>
      </c>
      <c r="G51" s="10"/>
    </row>
    <row r="52" spans="1:10" s="2" customFormat="1" ht="52.5" customHeight="1" thickBot="1" x14ac:dyDescent="0.25">
      <c r="A52" s="164" t="s">
        <v>493</v>
      </c>
      <c r="B52" s="171" t="s">
        <v>474</v>
      </c>
      <c r="C52" s="171" t="s">
        <v>475</v>
      </c>
      <c r="D52" s="171" t="s">
        <v>476</v>
      </c>
      <c r="E52" s="171" t="s">
        <v>480</v>
      </c>
      <c r="F52" s="171" t="s">
        <v>477</v>
      </c>
      <c r="G52" s="171" t="s">
        <v>478</v>
      </c>
      <c r="H52" s="171" t="s">
        <v>479</v>
      </c>
      <c r="I52" s="171" t="s">
        <v>481</v>
      </c>
      <c r="J52" s="172" t="s">
        <v>482</v>
      </c>
    </row>
    <row r="53" spans="1:10" s="2" customFormat="1" ht="30" customHeight="1" thickTop="1" x14ac:dyDescent="0.2">
      <c r="A53" s="192" t="s">
        <v>494</v>
      </c>
      <c r="B53" s="173">
        <v>12307</v>
      </c>
      <c r="C53" s="173">
        <v>5010</v>
      </c>
      <c r="D53" s="173">
        <v>2850</v>
      </c>
      <c r="E53" s="173">
        <f>E39</f>
        <v>14645</v>
      </c>
      <c r="F53" s="187" t="s">
        <v>485</v>
      </c>
      <c r="G53" s="173">
        <v>5167</v>
      </c>
      <c r="H53" s="168">
        <v>2103</v>
      </c>
      <c r="I53" s="173">
        <f>ROUND(E53*H53/D53,0)</f>
        <v>10806</v>
      </c>
      <c r="J53" s="191">
        <f>ROUND(I53*100/E53,1)</f>
        <v>73.8</v>
      </c>
    </row>
    <row r="55" spans="1:10" ht="15.95" customHeight="1" x14ac:dyDescent="0.2">
      <c r="A55" s="5" t="s">
        <v>148</v>
      </c>
      <c r="B55" s="5"/>
      <c r="C55" s="4"/>
      <c r="D55" s="4"/>
      <c r="E55" s="4"/>
      <c r="F55" s="4"/>
    </row>
    <row r="56" spans="1:10" s="2" customFormat="1" ht="15.95" customHeight="1" x14ac:dyDescent="0.2">
      <c r="A56" s="2" t="s">
        <v>159</v>
      </c>
      <c r="G56" s="10"/>
    </row>
    <row r="57" spans="1:10" ht="15.95" customHeight="1" thickBot="1" x14ac:dyDescent="0.25">
      <c r="A57" s="255" t="s">
        <v>66</v>
      </c>
      <c r="B57" s="256"/>
      <c r="C57" s="256"/>
      <c r="D57" s="256"/>
      <c r="E57" s="256"/>
      <c r="F57" s="256" t="s">
        <v>149</v>
      </c>
      <c r="G57" s="256"/>
      <c r="H57" s="256"/>
      <c r="I57" s="256" t="s">
        <v>137</v>
      </c>
      <c r="J57" s="267"/>
    </row>
    <row r="58" spans="1:10" ht="15.95" customHeight="1" thickTop="1" x14ac:dyDescent="0.2">
      <c r="A58" s="290" t="s">
        <v>151</v>
      </c>
      <c r="B58" s="389"/>
      <c r="C58" s="283"/>
      <c r="D58" s="346" t="s">
        <v>152</v>
      </c>
      <c r="E58" s="283"/>
      <c r="F58" s="346">
        <v>50</v>
      </c>
      <c r="G58" s="346"/>
      <c r="H58" s="346"/>
      <c r="I58" s="347"/>
      <c r="J58" s="348"/>
    </row>
    <row r="60" spans="1:10" ht="15.95" customHeight="1" x14ac:dyDescent="0.2">
      <c r="A60" s="5" t="s">
        <v>153</v>
      </c>
      <c r="B60" s="5"/>
      <c r="C60" s="4"/>
      <c r="D60" s="4"/>
      <c r="E60" s="4"/>
      <c r="F60" s="4"/>
    </row>
    <row r="61" spans="1:10" ht="15.95" customHeight="1" x14ac:dyDescent="0.2">
      <c r="A61" s="379" t="s">
        <v>154</v>
      </c>
      <c r="B61" s="351"/>
      <c r="C61" s="351"/>
      <c r="D61" s="351" t="s">
        <v>158</v>
      </c>
      <c r="E61" s="351"/>
      <c r="F61" s="351"/>
      <c r="G61" s="351"/>
      <c r="H61" s="351" t="s">
        <v>150</v>
      </c>
      <c r="I61" s="351"/>
      <c r="J61" s="352"/>
    </row>
    <row r="62" spans="1:10" ht="15.95" customHeight="1" thickBot="1" x14ac:dyDescent="0.25">
      <c r="A62" s="380"/>
      <c r="B62" s="353"/>
      <c r="C62" s="353"/>
      <c r="D62" s="167" t="s">
        <v>140</v>
      </c>
      <c r="E62" s="167" t="s">
        <v>155</v>
      </c>
      <c r="F62" s="167" t="s">
        <v>156</v>
      </c>
      <c r="G62" s="167" t="s">
        <v>157</v>
      </c>
      <c r="H62" s="353"/>
      <c r="I62" s="353"/>
      <c r="J62" s="354"/>
    </row>
    <row r="63" spans="1:10" ht="15.95" customHeight="1" thickTop="1" x14ac:dyDescent="0.2">
      <c r="A63" s="394" t="s">
        <v>486</v>
      </c>
      <c r="B63" s="395"/>
      <c r="C63" s="349"/>
      <c r="D63" s="173">
        <f>E39</f>
        <v>14645</v>
      </c>
      <c r="E63" s="173">
        <f>ROUND((D63-G63)*F58/100,0)</f>
        <v>1920</v>
      </c>
      <c r="F63" s="173">
        <f>D63-E63-G63</f>
        <v>1919</v>
      </c>
      <c r="G63" s="173">
        <f>I53</f>
        <v>10806</v>
      </c>
      <c r="H63" s="349"/>
      <c r="I63" s="349"/>
      <c r="J63" s="350"/>
    </row>
    <row r="65" spans="1:10" ht="15.95" customHeight="1" x14ac:dyDescent="0.2">
      <c r="A65" s="5" t="s">
        <v>213</v>
      </c>
      <c r="B65" s="5"/>
    </row>
    <row r="66" spans="1:10" ht="30" customHeight="1" thickBot="1" x14ac:dyDescent="0.25">
      <c r="A66" s="255" t="s">
        <v>132</v>
      </c>
      <c r="B66" s="256"/>
      <c r="C66" s="256"/>
      <c r="D66" s="51" t="s">
        <v>160</v>
      </c>
      <c r="E66" s="51" t="s">
        <v>200</v>
      </c>
      <c r="F66" s="51" t="s">
        <v>201</v>
      </c>
      <c r="G66" s="51" t="s">
        <v>202</v>
      </c>
      <c r="H66" s="51" t="s">
        <v>203</v>
      </c>
      <c r="I66" s="355" t="s">
        <v>137</v>
      </c>
      <c r="J66" s="356"/>
    </row>
    <row r="67" spans="1:10" ht="15.95" customHeight="1" thickTop="1" x14ac:dyDescent="0.2">
      <c r="A67" s="333" t="s">
        <v>186</v>
      </c>
      <c r="B67" s="342"/>
      <c r="C67" s="339"/>
      <c r="D67" s="101">
        <f>SUM(E67:I67)</f>
        <v>14645</v>
      </c>
      <c r="E67" s="101">
        <f>SUM(E68:E70)</f>
        <v>0</v>
      </c>
      <c r="F67" s="101">
        <f t="shared" ref="F67:H67" si="6">SUM(F68:F70)</f>
        <v>14645</v>
      </c>
      <c r="G67" s="101">
        <f t="shared" si="6"/>
        <v>0</v>
      </c>
      <c r="H67" s="101">
        <f t="shared" si="6"/>
        <v>0</v>
      </c>
      <c r="I67" s="357"/>
      <c r="J67" s="358"/>
    </row>
    <row r="68" spans="1:10" ht="15.95" customHeight="1" x14ac:dyDescent="0.2">
      <c r="A68" s="334" t="s">
        <v>208</v>
      </c>
      <c r="B68" s="335"/>
      <c r="C68" s="330"/>
      <c r="D68" s="174">
        <f t="shared" ref="D68:D70" si="7">SUM(E68:I68)</f>
        <v>1920</v>
      </c>
      <c r="E68" s="174">
        <v>0</v>
      </c>
      <c r="F68" s="174">
        <f>E63</f>
        <v>1920</v>
      </c>
      <c r="G68" s="174">
        <v>0</v>
      </c>
      <c r="H68" s="174">
        <v>0</v>
      </c>
      <c r="I68" s="359"/>
      <c r="J68" s="360"/>
    </row>
    <row r="69" spans="1:10" ht="15.95" customHeight="1" x14ac:dyDescent="0.2">
      <c r="A69" s="334" t="s">
        <v>209</v>
      </c>
      <c r="B69" s="335"/>
      <c r="C69" s="330"/>
      <c r="D69" s="174">
        <f t="shared" si="7"/>
        <v>1919</v>
      </c>
      <c r="E69" s="174">
        <v>0</v>
      </c>
      <c r="F69" s="174">
        <f>F63</f>
        <v>1919</v>
      </c>
      <c r="G69" s="174">
        <v>0</v>
      </c>
      <c r="H69" s="174">
        <v>0</v>
      </c>
      <c r="I69" s="359"/>
      <c r="J69" s="360"/>
    </row>
    <row r="70" spans="1:10" ht="15.95" customHeight="1" x14ac:dyDescent="0.2">
      <c r="A70" s="340" t="s">
        <v>214</v>
      </c>
      <c r="B70" s="341"/>
      <c r="C70" s="343"/>
      <c r="D70" s="175">
        <f t="shared" si="7"/>
        <v>10806</v>
      </c>
      <c r="E70" s="175">
        <v>0</v>
      </c>
      <c r="F70" s="175">
        <f>G63</f>
        <v>10806</v>
      </c>
      <c r="G70" s="175">
        <v>0</v>
      </c>
      <c r="H70" s="175">
        <v>0</v>
      </c>
      <c r="I70" s="344"/>
      <c r="J70" s="345"/>
    </row>
  </sheetData>
  <mergeCells count="82">
    <mergeCell ref="A67:C67"/>
    <mergeCell ref="A68:C68"/>
    <mergeCell ref="A69:C69"/>
    <mergeCell ref="A70:C70"/>
    <mergeCell ref="D7:E7"/>
    <mergeCell ref="D14:E14"/>
    <mergeCell ref="C28:E28"/>
    <mergeCell ref="A61:C62"/>
    <mergeCell ref="D61:G61"/>
    <mergeCell ref="E23:F23"/>
    <mergeCell ref="E24:F24"/>
    <mergeCell ref="G23:H23"/>
    <mergeCell ref="G24:H24"/>
    <mergeCell ref="A63:C63"/>
    <mergeCell ref="A66:C66"/>
    <mergeCell ref="H12:I12"/>
    <mergeCell ref="F12:F13"/>
    <mergeCell ref="F7:G7"/>
    <mergeCell ref="H7:I7"/>
    <mergeCell ref="A8:C8"/>
    <mergeCell ref="D8:E8"/>
    <mergeCell ref="F8:G8"/>
    <mergeCell ref="H8:I8"/>
    <mergeCell ref="A6:C7"/>
    <mergeCell ref="D6:I6"/>
    <mergeCell ref="I23:J23"/>
    <mergeCell ref="I24:J24"/>
    <mergeCell ref="D58:E58"/>
    <mergeCell ref="A57:E57"/>
    <mergeCell ref="F28:H28"/>
    <mergeCell ref="I28:I29"/>
    <mergeCell ref="A38:D38"/>
    <mergeCell ref="C40:D40"/>
    <mergeCell ref="C41:D41"/>
    <mergeCell ref="C42:D42"/>
    <mergeCell ref="A39:D39"/>
    <mergeCell ref="A23:B23"/>
    <mergeCell ref="A24:B24"/>
    <mergeCell ref="A58:C58"/>
    <mergeCell ref="C23:D23"/>
    <mergeCell ref="C24:D24"/>
    <mergeCell ref="J6:J7"/>
    <mergeCell ref="J12:J13"/>
    <mergeCell ref="I19:J19"/>
    <mergeCell ref="I20:J20"/>
    <mergeCell ref="A19:B19"/>
    <mergeCell ref="A20:B20"/>
    <mergeCell ref="C19:D19"/>
    <mergeCell ref="C20:D20"/>
    <mergeCell ref="A14:B14"/>
    <mergeCell ref="G19:H19"/>
    <mergeCell ref="G20:H20"/>
    <mergeCell ref="E19:F19"/>
    <mergeCell ref="E20:F20"/>
    <mergeCell ref="G12:G13"/>
    <mergeCell ref="D12:E13"/>
    <mergeCell ref="A12:C13"/>
    <mergeCell ref="J28:J29"/>
    <mergeCell ref="A33:B33"/>
    <mergeCell ref="A34:B34"/>
    <mergeCell ref="A40:B42"/>
    <mergeCell ref="A43:B47"/>
    <mergeCell ref="A28:B29"/>
    <mergeCell ref="A30:B30"/>
    <mergeCell ref="A31:B31"/>
    <mergeCell ref="A32:B32"/>
    <mergeCell ref="C43:D43"/>
    <mergeCell ref="C44:D44"/>
    <mergeCell ref="C45:D45"/>
    <mergeCell ref="C46:D46"/>
    <mergeCell ref="C47:D47"/>
    <mergeCell ref="I70:J70"/>
    <mergeCell ref="F57:H57"/>
    <mergeCell ref="F58:H58"/>
    <mergeCell ref="I57:J57"/>
    <mergeCell ref="I58:J58"/>
    <mergeCell ref="H63:J63"/>
    <mergeCell ref="H61:J62"/>
    <mergeCell ref="I66:J66"/>
    <mergeCell ref="I67:J67"/>
    <mergeCell ref="I68:J68"/>
    <mergeCell ref="I69:J6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1" manualBreakCount="1">
    <brk id="4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3"/>
  <sheetViews>
    <sheetView view="pageBreakPreview" topLeftCell="A478" zoomScale="130" zoomScaleNormal="115" zoomScaleSheetLayoutView="130" workbookViewId="0">
      <selection activeCell="L469" sqref="L469"/>
    </sheetView>
  </sheetViews>
  <sheetFormatPr defaultRowHeight="15.95" customHeight="1" x14ac:dyDescent="0.2"/>
  <cols>
    <col min="1" max="6" width="8" style="2" customWidth="1"/>
    <col min="7" max="10" width="8" style="14" customWidth="1"/>
    <col min="11" max="16384" width="8.88671875" style="14"/>
  </cols>
  <sheetData>
    <row r="1" spans="1:10" ht="15.95" customHeight="1" x14ac:dyDescent="0.2">
      <c r="A1" s="5" t="s">
        <v>516</v>
      </c>
      <c r="B1" s="5"/>
    </row>
    <row r="2" spans="1:10" ht="15.95" customHeight="1" x14ac:dyDescent="0.2">
      <c r="A2" s="5" t="s">
        <v>90</v>
      </c>
      <c r="B2" s="5"/>
      <c r="C2" s="4"/>
      <c r="D2" s="4"/>
      <c r="E2" s="4"/>
      <c r="F2" s="4"/>
    </row>
    <row r="3" spans="1:10" ht="15.95" customHeight="1" x14ac:dyDescent="0.2">
      <c r="A3" s="284" t="s">
        <v>534</v>
      </c>
      <c r="B3" s="401" t="s">
        <v>162</v>
      </c>
      <c r="C3" s="401" t="s">
        <v>538</v>
      </c>
      <c r="D3" s="397" t="s">
        <v>539</v>
      </c>
      <c r="E3" s="401" t="s">
        <v>431</v>
      </c>
      <c r="F3" s="401"/>
      <c r="G3" s="401"/>
      <c r="H3" s="397" t="s">
        <v>540</v>
      </c>
      <c r="I3" s="401" t="s">
        <v>163</v>
      </c>
      <c r="J3" s="399" t="s">
        <v>541</v>
      </c>
    </row>
    <row r="4" spans="1:10" ht="15" thickBot="1" x14ac:dyDescent="0.25">
      <c r="A4" s="285"/>
      <c r="B4" s="402"/>
      <c r="C4" s="402"/>
      <c r="D4" s="398"/>
      <c r="E4" s="204" t="s">
        <v>436</v>
      </c>
      <c r="F4" s="217" t="s">
        <v>432</v>
      </c>
      <c r="G4" s="217" t="s">
        <v>433</v>
      </c>
      <c r="H4" s="398"/>
      <c r="I4" s="402"/>
      <c r="J4" s="400"/>
    </row>
    <row r="5" spans="1:10" ht="35.1" customHeight="1" thickTop="1" x14ac:dyDescent="0.2">
      <c r="A5" s="201" t="s">
        <v>166</v>
      </c>
      <c r="B5" s="229">
        <v>60</v>
      </c>
      <c r="C5" s="228" t="s">
        <v>547</v>
      </c>
      <c r="D5" s="237">
        <f>ROUND(6.084*(B5/1000)^0.578*1000,0)</f>
        <v>1197</v>
      </c>
      <c r="E5" s="238">
        <f>SUM(F5:G5)</f>
        <v>2202.3000000000002</v>
      </c>
      <c r="F5" s="238">
        <v>1778.5</v>
      </c>
      <c r="G5" s="238">
        <v>423.8</v>
      </c>
      <c r="H5" s="221">
        <v>1</v>
      </c>
      <c r="I5" s="221">
        <v>108</v>
      </c>
      <c r="J5" s="227" t="s">
        <v>542</v>
      </c>
    </row>
    <row r="6" spans="1:10" ht="35.1" customHeight="1" x14ac:dyDescent="0.2">
      <c r="A6" s="202" t="s">
        <v>167</v>
      </c>
      <c r="B6" s="230">
        <v>140</v>
      </c>
      <c r="C6" s="231" t="s">
        <v>587</v>
      </c>
      <c r="D6" s="239">
        <f t="shared" ref="D6:D7" si="0">ROUND(6.084*(B6/1000)^0.578*1000,0)</f>
        <v>1953</v>
      </c>
      <c r="E6" s="225">
        <f t="shared" ref="E6:E25" si="1">SUM(F6:G6)</f>
        <v>7374.1</v>
      </c>
      <c r="F6" s="225">
        <v>6368.6</v>
      </c>
      <c r="G6" s="238">
        <v>1005.5</v>
      </c>
      <c r="H6" s="226">
        <v>2</v>
      </c>
      <c r="I6" s="226">
        <v>311</v>
      </c>
      <c r="J6" s="232" t="s">
        <v>543</v>
      </c>
    </row>
    <row r="7" spans="1:10" ht="35.1" customHeight="1" x14ac:dyDescent="0.2">
      <c r="A7" s="202" t="s">
        <v>168</v>
      </c>
      <c r="B7" s="230">
        <v>70</v>
      </c>
      <c r="C7" s="231" t="s">
        <v>548</v>
      </c>
      <c r="D7" s="239">
        <f t="shared" si="0"/>
        <v>1308</v>
      </c>
      <c r="E7" s="225">
        <f t="shared" si="1"/>
        <v>1950</v>
      </c>
      <c r="F7" s="225">
        <v>1950</v>
      </c>
      <c r="G7" s="238">
        <v>0</v>
      </c>
      <c r="H7" s="226">
        <v>0</v>
      </c>
      <c r="I7" s="226">
        <v>152</v>
      </c>
      <c r="J7" s="232" t="s">
        <v>543</v>
      </c>
    </row>
    <row r="8" spans="1:10" ht="35.1" customHeight="1" x14ac:dyDescent="0.2">
      <c r="A8" s="202" t="s">
        <v>169</v>
      </c>
      <c r="B8" s="230">
        <v>50</v>
      </c>
      <c r="C8" s="231" t="s">
        <v>549</v>
      </c>
      <c r="D8" s="239">
        <f>ROUND(6.084*(B8/1000)^0.578*1000,0)</f>
        <v>1077</v>
      </c>
      <c r="E8" s="225">
        <f t="shared" si="1"/>
        <v>1952.5</v>
      </c>
      <c r="F8" s="225">
        <v>1952.5</v>
      </c>
      <c r="G8" s="238">
        <v>0</v>
      </c>
      <c r="H8" s="226">
        <v>0</v>
      </c>
      <c r="I8" s="226">
        <v>126</v>
      </c>
      <c r="J8" s="232" t="s">
        <v>543</v>
      </c>
    </row>
    <row r="9" spans="1:10" ht="35.1" customHeight="1" x14ac:dyDescent="0.2">
      <c r="A9" s="202" t="s">
        <v>170</v>
      </c>
      <c r="B9" s="230">
        <v>110</v>
      </c>
      <c r="C9" s="231" t="s">
        <v>550</v>
      </c>
      <c r="D9" s="239">
        <f t="shared" ref="D9:D18" si="2">ROUND(6.084*(B9/1000)^0.578*1000,0)</f>
        <v>1699</v>
      </c>
      <c r="E9" s="225">
        <f t="shared" si="1"/>
        <v>5606.6</v>
      </c>
      <c r="F9" s="225">
        <v>4312.3</v>
      </c>
      <c r="G9" s="238">
        <v>1294.3</v>
      </c>
      <c r="H9" s="226">
        <v>2</v>
      </c>
      <c r="I9" s="226">
        <v>242</v>
      </c>
      <c r="J9" s="232" t="s">
        <v>543</v>
      </c>
    </row>
    <row r="10" spans="1:10" ht="35.1" customHeight="1" x14ac:dyDescent="0.2">
      <c r="A10" s="202" t="s">
        <v>171</v>
      </c>
      <c r="B10" s="230">
        <v>50</v>
      </c>
      <c r="C10" s="231" t="s">
        <v>551</v>
      </c>
      <c r="D10" s="239">
        <f t="shared" si="2"/>
        <v>1077</v>
      </c>
      <c r="E10" s="225">
        <f t="shared" si="1"/>
        <v>2252.9</v>
      </c>
      <c r="F10" s="225">
        <v>2170.4</v>
      </c>
      <c r="G10" s="238">
        <v>82.5</v>
      </c>
      <c r="H10" s="226">
        <v>1</v>
      </c>
      <c r="I10" s="226">
        <v>117</v>
      </c>
      <c r="J10" s="232" t="s">
        <v>543</v>
      </c>
    </row>
    <row r="11" spans="1:10" ht="35.1" customHeight="1" x14ac:dyDescent="0.2">
      <c r="A11" s="202" t="s">
        <v>172</v>
      </c>
      <c r="B11" s="230">
        <v>50</v>
      </c>
      <c r="C11" s="231" t="s">
        <v>552</v>
      </c>
      <c r="D11" s="239">
        <f t="shared" si="2"/>
        <v>1077</v>
      </c>
      <c r="E11" s="225">
        <f t="shared" si="1"/>
        <v>1407.2</v>
      </c>
      <c r="F11" s="225">
        <v>1407.2</v>
      </c>
      <c r="G11" s="238">
        <v>0</v>
      </c>
      <c r="H11" s="226">
        <v>0</v>
      </c>
      <c r="I11" s="226">
        <v>129</v>
      </c>
      <c r="J11" s="232" t="s">
        <v>543</v>
      </c>
    </row>
    <row r="12" spans="1:10" ht="35.1" customHeight="1" x14ac:dyDescent="0.2">
      <c r="A12" s="202" t="s">
        <v>173</v>
      </c>
      <c r="B12" s="230">
        <v>70</v>
      </c>
      <c r="C12" s="231" t="s">
        <v>553</v>
      </c>
      <c r="D12" s="239">
        <f t="shared" si="2"/>
        <v>1308</v>
      </c>
      <c r="E12" s="225">
        <f t="shared" si="1"/>
        <v>4027</v>
      </c>
      <c r="F12" s="225">
        <v>4027</v>
      </c>
      <c r="G12" s="238">
        <v>0</v>
      </c>
      <c r="H12" s="226">
        <v>0</v>
      </c>
      <c r="I12" s="226">
        <v>138</v>
      </c>
      <c r="J12" s="232" t="s">
        <v>542</v>
      </c>
    </row>
    <row r="13" spans="1:10" ht="35.1" customHeight="1" x14ac:dyDescent="0.2">
      <c r="A13" s="202" t="s">
        <v>174</v>
      </c>
      <c r="B13" s="230">
        <v>170</v>
      </c>
      <c r="C13" s="231" t="s">
        <v>588</v>
      </c>
      <c r="D13" s="239">
        <f t="shared" si="2"/>
        <v>2185</v>
      </c>
      <c r="E13" s="225">
        <f t="shared" si="1"/>
        <v>11247.7</v>
      </c>
      <c r="F13" s="225">
        <v>10285</v>
      </c>
      <c r="G13" s="238">
        <v>962.7</v>
      </c>
      <c r="H13" s="226">
        <v>2</v>
      </c>
      <c r="I13" s="226">
        <v>408</v>
      </c>
      <c r="J13" s="232" t="s">
        <v>200</v>
      </c>
    </row>
    <row r="14" spans="1:10" ht="35.1" customHeight="1" x14ac:dyDescent="0.2">
      <c r="A14" s="202" t="s">
        <v>175</v>
      </c>
      <c r="B14" s="230">
        <v>50</v>
      </c>
      <c r="C14" s="231" t="s">
        <v>554</v>
      </c>
      <c r="D14" s="239">
        <f t="shared" si="2"/>
        <v>1077</v>
      </c>
      <c r="E14" s="225">
        <f t="shared" si="1"/>
        <v>1864.6</v>
      </c>
      <c r="F14" s="225">
        <v>1864.6</v>
      </c>
      <c r="G14" s="238">
        <v>0</v>
      </c>
      <c r="H14" s="226">
        <v>0</v>
      </c>
      <c r="I14" s="226">
        <v>103</v>
      </c>
      <c r="J14" s="232" t="s">
        <v>201</v>
      </c>
    </row>
    <row r="15" spans="1:10" ht="35.1" customHeight="1" x14ac:dyDescent="0.2">
      <c r="A15" s="202" t="s">
        <v>176</v>
      </c>
      <c r="B15" s="230">
        <v>150</v>
      </c>
      <c r="C15" s="231" t="s">
        <v>555</v>
      </c>
      <c r="D15" s="239">
        <f t="shared" si="2"/>
        <v>2032</v>
      </c>
      <c r="E15" s="225">
        <f t="shared" si="1"/>
        <v>9018.7000000000007</v>
      </c>
      <c r="F15" s="225">
        <v>8887.1</v>
      </c>
      <c r="G15" s="238">
        <v>131.6</v>
      </c>
      <c r="H15" s="226">
        <v>1</v>
      </c>
      <c r="I15" s="226">
        <v>374</v>
      </c>
      <c r="J15" s="232" t="s">
        <v>542</v>
      </c>
    </row>
    <row r="16" spans="1:10" ht="35.1" customHeight="1" x14ac:dyDescent="0.2">
      <c r="A16" s="202" t="s">
        <v>177</v>
      </c>
      <c r="B16" s="230">
        <v>130</v>
      </c>
      <c r="C16" s="231" t="s">
        <v>556</v>
      </c>
      <c r="D16" s="239">
        <f t="shared" si="2"/>
        <v>1871</v>
      </c>
      <c r="E16" s="225">
        <f t="shared" si="1"/>
        <v>7917.4</v>
      </c>
      <c r="F16" s="225">
        <v>7532.5</v>
      </c>
      <c r="G16" s="238">
        <v>384.9</v>
      </c>
      <c r="H16" s="226">
        <v>1</v>
      </c>
      <c r="I16" s="226">
        <v>299</v>
      </c>
      <c r="J16" s="232" t="s">
        <v>542</v>
      </c>
    </row>
    <row r="17" spans="1:10" ht="35.1" customHeight="1" x14ac:dyDescent="0.2">
      <c r="A17" s="202" t="s">
        <v>178</v>
      </c>
      <c r="B17" s="230">
        <v>90</v>
      </c>
      <c r="C17" s="231" t="s">
        <v>557</v>
      </c>
      <c r="D17" s="239">
        <f t="shared" si="2"/>
        <v>1513</v>
      </c>
      <c r="E17" s="225">
        <f t="shared" si="1"/>
        <v>4862.3999999999996</v>
      </c>
      <c r="F17" s="225">
        <v>4862.3999999999996</v>
      </c>
      <c r="G17" s="238">
        <v>0</v>
      </c>
      <c r="H17" s="226">
        <v>0</v>
      </c>
      <c r="I17" s="226">
        <v>177</v>
      </c>
      <c r="J17" s="232" t="s">
        <v>542</v>
      </c>
    </row>
    <row r="18" spans="1:10" ht="35.1" customHeight="1" x14ac:dyDescent="0.2">
      <c r="A18" s="202" t="s">
        <v>179</v>
      </c>
      <c r="B18" s="230">
        <v>90</v>
      </c>
      <c r="C18" s="231" t="s">
        <v>558</v>
      </c>
      <c r="D18" s="239">
        <f t="shared" si="2"/>
        <v>1513</v>
      </c>
      <c r="E18" s="225">
        <f t="shared" si="1"/>
        <v>5419</v>
      </c>
      <c r="F18" s="225">
        <v>5419</v>
      </c>
      <c r="G18" s="238">
        <v>0</v>
      </c>
      <c r="H18" s="226">
        <v>0</v>
      </c>
      <c r="I18" s="226">
        <v>202</v>
      </c>
      <c r="J18" s="232" t="s">
        <v>543</v>
      </c>
    </row>
    <row r="19" spans="1:10" ht="35.1" customHeight="1" x14ac:dyDescent="0.2">
      <c r="A19" s="202" t="s">
        <v>180</v>
      </c>
      <c r="B19" s="230">
        <v>110</v>
      </c>
      <c r="C19" s="231" t="s">
        <v>559</v>
      </c>
      <c r="D19" s="239">
        <f>ROUND(6.084*(B19/1000)^0.578*1000,0)</f>
        <v>1699</v>
      </c>
      <c r="E19" s="225">
        <f t="shared" si="1"/>
        <v>5415.3</v>
      </c>
      <c r="F19" s="225">
        <v>4320.3</v>
      </c>
      <c r="G19" s="238">
        <v>1095</v>
      </c>
      <c r="H19" s="226">
        <v>1</v>
      </c>
      <c r="I19" s="226">
        <v>215</v>
      </c>
      <c r="J19" s="232" t="s">
        <v>543</v>
      </c>
    </row>
    <row r="20" spans="1:10" ht="35.1" customHeight="1" x14ac:dyDescent="0.2">
      <c r="A20" s="202" t="s">
        <v>181</v>
      </c>
      <c r="B20" s="230">
        <v>110</v>
      </c>
      <c r="C20" s="231" t="s">
        <v>560</v>
      </c>
      <c r="D20" s="239">
        <f t="shared" ref="D20:D24" si="3">ROUND(6.084*(B20/1000)^0.578*1000,0)</f>
        <v>1699</v>
      </c>
      <c r="E20" s="225">
        <f t="shared" si="1"/>
        <v>5919.7</v>
      </c>
      <c r="F20" s="225">
        <v>5528.3</v>
      </c>
      <c r="G20" s="238">
        <v>391.4</v>
      </c>
      <c r="H20" s="226">
        <v>1</v>
      </c>
      <c r="I20" s="226">
        <v>239</v>
      </c>
      <c r="J20" s="232" t="s">
        <v>542</v>
      </c>
    </row>
    <row r="21" spans="1:10" ht="35.1" customHeight="1" x14ac:dyDescent="0.2">
      <c r="A21" s="202" t="s">
        <v>182</v>
      </c>
      <c r="B21" s="230">
        <v>60</v>
      </c>
      <c r="C21" s="231" t="s">
        <v>561</v>
      </c>
      <c r="D21" s="239">
        <f t="shared" si="3"/>
        <v>1197</v>
      </c>
      <c r="E21" s="225">
        <f t="shared" si="1"/>
        <v>3260.4</v>
      </c>
      <c r="F21" s="225">
        <v>3260.4</v>
      </c>
      <c r="G21" s="238">
        <v>0</v>
      </c>
      <c r="H21" s="226">
        <v>0</v>
      </c>
      <c r="I21" s="226">
        <v>139</v>
      </c>
      <c r="J21" s="232" t="s">
        <v>543</v>
      </c>
    </row>
    <row r="22" spans="1:10" ht="35.1" customHeight="1" x14ac:dyDescent="0.2">
      <c r="A22" s="202" t="s">
        <v>183</v>
      </c>
      <c r="B22" s="230">
        <v>120</v>
      </c>
      <c r="C22" s="231" t="s">
        <v>562</v>
      </c>
      <c r="D22" s="239">
        <f t="shared" si="3"/>
        <v>1786</v>
      </c>
      <c r="E22" s="225">
        <f t="shared" si="1"/>
        <v>8049.4</v>
      </c>
      <c r="F22" s="225">
        <v>8049.4</v>
      </c>
      <c r="G22" s="238">
        <v>0</v>
      </c>
      <c r="H22" s="226">
        <v>0</v>
      </c>
      <c r="I22" s="226">
        <v>266</v>
      </c>
      <c r="J22" s="232" t="s">
        <v>542</v>
      </c>
    </row>
    <row r="23" spans="1:10" ht="35.1" customHeight="1" x14ac:dyDescent="0.2">
      <c r="A23" s="202" t="s">
        <v>184</v>
      </c>
      <c r="B23" s="230">
        <v>40</v>
      </c>
      <c r="C23" s="231" t="s">
        <v>563</v>
      </c>
      <c r="D23" s="239">
        <f t="shared" si="3"/>
        <v>947</v>
      </c>
      <c r="E23" s="225">
        <f t="shared" si="1"/>
        <v>1471.7</v>
      </c>
      <c r="F23" s="225">
        <v>1471.7</v>
      </c>
      <c r="G23" s="238">
        <v>0</v>
      </c>
      <c r="H23" s="226">
        <v>0</v>
      </c>
      <c r="I23" s="226">
        <v>74</v>
      </c>
      <c r="J23" s="232" t="s">
        <v>543</v>
      </c>
    </row>
    <row r="24" spans="1:10" ht="35.1" customHeight="1" x14ac:dyDescent="0.2">
      <c r="A24" s="202" t="s">
        <v>564</v>
      </c>
      <c r="B24" s="230">
        <v>80</v>
      </c>
      <c r="C24" s="231" t="s">
        <v>565</v>
      </c>
      <c r="D24" s="239">
        <f t="shared" si="3"/>
        <v>1413</v>
      </c>
      <c r="E24" s="225">
        <f t="shared" si="1"/>
        <v>0</v>
      </c>
      <c r="F24" s="225">
        <v>0</v>
      </c>
      <c r="G24" s="238">
        <v>0</v>
      </c>
      <c r="H24" s="226">
        <v>0</v>
      </c>
      <c r="I24" s="226">
        <v>0</v>
      </c>
      <c r="J24" s="232" t="s">
        <v>542</v>
      </c>
    </row>
    <row r="25" spans="1:10" ht="35.1" customHeight="1" x14ac:dyDescent="0.2">
      <c r="A25" s="203" t="s">
        <v>185</v>
      </c>
      <c r="B25" s="233">
        <v>60</v>
      </c>
      <c r="C25" s="234" t="s">
        <v>566</v>
      </c>
      <c r="D25" s="240">
        <f t="shared" ref="D25" si="4">ROUND(6.084*(B25/1000)^0.578*1000,0)</f>
        <v>1197</v>
      </c>
      <c r="E25" s="236">
        <f t="shared" si="1"/>
        <v>5815.2</v>
      </c>
      <c r="F25" s="236">
        <v>5568.5</v>
      </c>
      <c r="G25" s="241">
        <v>246.7</v>
      </c>
      <c r="H25" s="220">
        <v>1</v>
      </c>
      <c r="I25" s="220">
        <v>180</v>
      </c>
      <c r="J25" s="235" t="s">
        <v>542</v>
      </c>
    </row>
    <row r="26" spans="1:10" ht="15.95" customHeight="1" x14ac:dyDescent="0.2">
      <c r="A26" s="417"/>
      <c r="B26" s="417"/>
      <c r="C26" s="417"/>
      <c r="D26" s="16"/>
      <c r="E26" s="16"/>
      <c r="F26" s="17"/>
      <c r="G26" s="15"/>
      <c r="H26" s="418"/>
      <c r="I26" s="418"/>
    </row>
    <row r="27" spans="1:10" ht="15.95" customHeight="1" x14ac:dyDescent="0.2">
      <c r="A27" s="5" t="s">
        <v>165</v>
      </c>
      <c r="B27" s="5"/>
      <c r="C27" s="4"/>
      <c r="D27" s="4"/>
      <c r="E27" s="4"/>
      <c r="F27" s="4"/>
    </row>
    <row r="28" spans="1:10" ht="15.95" customHeight="1" thickBot="1" x14ac:dyDescent="0.25">
      <c r="A28" s="255" t="s">
        <v>448</v>
      </c>
      <c r="B28" s="256"/>
      <c r="C28" s="199" t="s">
        <v>532</v>
      </c>
      <c r="D28" s="199" t="s">
        <v>454</v>
      </c>
      <c r="E28" s="208" t="s">
        <v>451</v>
      </c>
      <c r="F28" s="208" t="s">
        <v>535</v>
      </c>
      <c r="G28" s="375" t="s">
        <v>452</v>
      </c>
      <c r="H28" s="375"/>
      <c r="I28" s="375" t="s">
        <v>453</v>
      </c>
      <c r="J28" s="405"/>
    </row>
    <row r="29" spans="1:10" ht="15.95" customHeight="1" thickTop="1" x14ac:dyDescent="0.2">
      <c r="A29" s="272" t="s">
        <v>533</v>
      </c>
      <c r="B29" s="282" t="s">
        <v>544</v>
      </c>
      <c r="C29" s="200" t="s">
        <v>390</v>
      </c>
      <c r="D29" s="200"/>
      <c r="E29" s="221"/>
      <c r="F29" s="221"/>
      <c r="G29" s="408"/>
      <c r="H29" s="408"/>
      <c r="I29" s="409">
        <f>SUM(I30:J34)</f>
        <v>1835</v>
      </c>
      <c r="J29" s="410"/>
    </row>
    <row r="30" spans="1:10" ht="15.95" customHeight="1" x14ac:dyDescent="0.2">
      <c r="A30" s="275"/>
      <c r="B30" s="276"/>
      <c r="C30" s="198" t="s">
        <v>529</v>
      </c>
      <c r="D30" s="198"/>
      <c r="E30" s="226">
        <f>VLOOKUP($A29,$A$5:$I$25,2,FALSE)</f>
        <v>60</v>
      </c>
      <c r="F30" s="225" t="s">
        <v>536</v>
      </c>
      <c r="G30" s="403" t="s">
        <v>546</v>
      </c>
      <c r="H30" s="403"/>
      <c r="I30" s="403">
        <f>ROUND(40.09*$E30^0.644*'0.시설공사비 산정근거'!$F$11,0)</f>
        <v>606</v>
      </c>
      <c r="J30" s="404"/>
    </row>
    <row r="31" spans="1:10" ht="15.95" customHeight="1" x14ac:dyDescent="0.2">
      <c r="A31" s="275"/>
      <c r="B31" s="276"/>
      <c r="C31" s="198" t="s">
        <v>432</v>
      </c>
      <c r="D31" s="198" t="s">
        <v>456</v>
      </c>
      <c r="E31" s="225">
        <f>VLOOKUP($A29,$A$5:$I$25,6,FALSE)</f>
        <v>1778.5</v>
      </c>
      <c r="F31" s="225" t="s">
        <v>537</v>
      </c>
      <c r="G31" s="403">
        <f>'0.시설공사비 산정근거'!$D$64</f>
        <v>404491</v>
      </c>
      <c r="H31" s="403"/>
      <c r="I31" s="403">
        <f>ROUND(E31*G31/10^6,0)</f>
        <v>719</v>
      </c>
      <c r="J31" s="404"/>
    </row>
    <row r="32" spans="1:10" ht="15.95" customHeight="1" x14ac:dyDescent="0.2">
      <c r="A32" s="275"/>
      <c r="B32" s="276"/>
      <c r="C32" s="198" t="s">
        <v>433</v>
      </c>
      <c r="D32" s="198" t="s">
        <v>455</v>
      </c>
      <c r="E32" s="225">
        <f>VLOOKUP($A29,$A$5:$I$25,7,FALSE)</f>
        <v>423.8</v>
      </c>
      <c r="F32" s="225" t="s">
        <v>537</v>
      </c>
      <c r="G32" s="403">
        <f>'0.시설공사비 산정근거'!$B$145</f>
        <v>320148</v>
      </c>
      <c r="H32" s="403"/>
      <c r="I32" s="403">
        <f t="shared" ref="I32:I35" si="5">ROUND(E32*G32/10^6,0)</f>
        <v>136</v>
      </c>
      <c r="J32" s="404"/>
    </row>
    <row r="33" spans="1:10" ht="15.95" customHeight="1" x14ac:dyDescent="0.2">
      <c r="A33" s="275"/>
      <c r="B33" s="276"/>
      <c r="C33" s="198" t="s">
        <v>449</v>
      </c>
      <c r="D33" s="198" t="s">
        <v>531</v>
      </c>
      <c r="E33" s="226">
        <f>VLOOKUP($A29,$A$5:$I$25,8,FALSE)</f>
        <v>1</v>
      </c>
      <c r="F33" s="226" t="s">
        <v>531</v>
      </c>
      <c r="G33" s="403">
        <f>'0.시설공사비 산정근거'!$C$139</f>
        <v>71500000</v>
      </c>
      <c r="H33" s="403"/>
      <c r="I33" s="403">
        <f t="shared" si="5"/>
        <v>72</v>
      </c>
      <c r="J33" s="404"/>
    </row>
    <row r="34" spans="1:10" ht="15.95" customHeight="1" x14ac:dyDescent="0.2">
      <c r="A34" s="275"/>
      <c r="B34" s="276"/>
      <c r="C34" s="198" t="s">
        <v>450</v>
      </c>
      <c r="D34" s="226" t="s">
        <v>458</v>
      </c>
      <c r="E34" s="226">
        <f>VLOOKUP($A29,$A$5:$I$25,9,FALSE)</f>
        <v>108</v>
      </c>
      <c r="F34" s="226" t="s">
        <v>531</v>
      </c>
      <c r="G34" s="403">
        <f>'0.시설공사비 산정근거'!$C$125</f>
        <v>2800000</v>
      </c>
      <c r="H34" s="403"/>
      <c r="I34" s="403">
        <f t="shared" si="5"/>
        <v>302</v>
      </c>
      <c r="J34" s="404"/>
    </row>
    <row r="35" spans="1:10" ht="15.95" customHeight="1" x14ac:dyDescent="0.2">
      <c r="A35" s="275"/>
      <c r="B35" s="276" t="s">
        <v>530</v>
      </c>
      <c r="C35" s="276"/>
      <c r="D35" s="226"/>
      <c r="E35" s="226">
        <f>VLOOKUP($A29,$A$5:$I$25,4,FALSE)</f>
        <v>1197</v>
      </c>
      <c r="F35" s="226" t="s">
        <v>545</v>
      </c>
      <c r="G35" s="403">
        <v>17500</v>
      </c>
      <c r="H35" s="403"/>
      <c r="I35" s="403">
        <f t="shared" si="5"/>
        <v>21</v>
      </c>
      <c r="J35" s="404"/>
    </row>
    <row r="36" spans="1:10" ht="15.95" customHeight="1" x14ac:dyDescent="0.2">
      <c r="A36" s="275" t="s">
        <v>567</v>
      </c>
      <c r="B36" s="276" t="s">
        <v>86</v>
      </c>
      <c r="C36" s="198" t="s">
        <v>85</v>
      </c>
      <c r="D36" s="198"/>
      <c r="E36" s="226"/>
      <c r="F36" s="226"/>
      <c r="G36" s="419"/>
      <c r="H36" s="419"/>
      <c r="I36" s="403">
        <f>SUM(I37:J41)</f>
        <v>4958</v>
      </c>
      <c r="J36" s="404"/>
    </row>
    <row r="37" spans="1:10" ht="15.95" customHeight="1" x14ac:dyDescent="0.2">
      <c r="A37" s="275"/>
      <c r="B37" s="276"/>
      <c r="C37" s="198" t="s">
        <v>82</v>
      </c>
      <c r="D37" s="198"/>
      <c r="E37" s="226">
        <f>VLOOKUP($A36,$A$5:$I$25,2,FALSE)</f>
        <v>140</v>
      </c>
      <c r="F37" s="225" t="s">
        <v>536</v>
      </c>
      <c r="G37" s="403" t="s">
        <v>67</v>
      </c>
      <c r="H37" s="403"/>
      <c r="I37" s="403">
        <f>ROUND(40.09*$E37^0.644*'0.시설공사비 산정근거'!$F$11,0)</f>
        <v>1046</v>
      </c>
      <c r="J37" s="404"/>
    </row>
    <row r="38" spans="1:10" ht="15.95" customHeight="1" x14ac:dyDescent="0.2">
      <c r="A38" s="275"/>
      <c r="B38" s="276"/>
      <c r="C38" s="198" t="s">
        <v>235</v>
      </c>
      <c r="D38" s="198" t="s">
        <v>456</v>
      </c>
      <c r="E38" s="225">
        <f>VLOOKUP($A36,$A$5:$I$25,6,FALSE)</f>
        <v>6368.6</v>
      </c>
      <c r="F38" s="225" t="s">
        <v>537</v>
      </c>
      <c r="G38" s="403">
        <f>'0.시설공사비 산정근거'!$D$64</f>
        <v>404491</v>
      </c>
      <c r="H38" s="403"/>
      <c r="I38" s="403">
        <f>ROUND(E38*G38/10^6,0)</f>
        <v>2576</v>
      </c>
      <c r="J38" s="404"/>
    </row>
    <row r="39" spans="1:10" ht="15.95" customHeight="1" x14ac:dyDescent="0.2">
      <c r="A39" s="275"/>
      <c r="B39" s="276"/>
      <c r="C39" s="198" t="s">
        <v>433</v>
      </c>
      <c r="D39" s="198" t="s">
        <v>455</v>
      </c>
      <c r="E39" s="225">
        <f>VLOOKUP($A36,$A$5:$I$25,7,FALSE)</f>
        <v>1005.5</v>
      </c>
      <c r="F39" s="225" t="s">
        <v>537</v>
      </c>
      <c r="G39" s="403">
        <f>'0.시설공사비 산정근거'!$B$145</f>
        <v>320148</v>
      </c>
      <c r="H39" s="403"/>
      <c r="I39" s="403">
        <f t="shared" ref="I39:I42" si="6">ROUND(E39*G39/10^6,0)</f>
        <v>322</v>
      </c>
      <c r="J39" s="404"/>
    </row>
    <row r="40" spans="1:10" ht="15.95" customHeight="1" x14ac:dyDescent="0.2">
      <c r="A40" s="275"/>
      <c r="B40" s="276"/>
      <c r="C40" s="198" t="s">
        <v>435</v>
      </c>
      <c r="D40" s="198" t="s">
        <v>458</v>
      </c>
      <c r="E40" s="226">
        <f>VLOOKUP($A36,$A$5:$I$25,8,FALSE)</f>
        <v>2</v>
      </c>
      <c r="F40" s="226" t="s">
        <v>458</v>
      </c>
      <c r="G40" s="403">
        <f>'0.시설공사비 산정근거'!$C$139</f>
        <v>71500000</v>
      </c>
      <c r="H40" s="403"/>
      <c r="I40" s="403">
        <f t="shared" si="6"/>
        <v>143</v>
      </c>
      <c r="J40" s="404"/>
    </row>
    <row r="41" spans="1:10" ht="15.95" customHeight="1" x14ac:dyDescent="0.2">
      <c r="A41" s="275"/>
      <c r="B41" s="276"/>
      <c r="C41" s="198" t="s">
        <v>187</v>
      </c>
      <c r="D41" s="226" t="s">
        <v>458</v>
      </c>
      <c r="E41" s="226">
        <f>VLOOKUP($A36,$A$5:$I$25,9,FALSE)</f>
        <v>311</v>
      </c>
      <c r="F41" s="226" t="s">
        <v>458</v>
      </c>
      <c r="G41" s="403">
        <f>'0.시설공사비 산정근거'!$C$125</f>
        <v>2800000</v>
      </c>
      <c r="H41" s="403"/>
      <c r="I41" s="403">
        <f t="shared" si="6"/>
        <v>871</v>
      </c>
      <c r="J41" s="404"/>
    </row>
    <row r="42" spans="1:10" ht="15.95" customHeight="1" x14ac:dyDescent="0.2">
      <c r="A42" s="275"/>
      <c r="B42" s="276" t="s">
        <v>487</v>
      </c>
      <c r="C42" s="276"/>
      <c r="D42" s="226"/>
      <c r="E42" s="226">
        <f>VLOOKUP($A36,$A$5:$I$25,4,FALSE)</f>
        <v>1953</v>
      </c>
      <c r="F42" s="226" t="s">
        <v>545</v>
      </c>
      <c r="G42" s="403">
        <v>69000</v>
      </c>
      <c r="H42" s="403"/>
      <c r="I42" s="403">
        <f t="shared" si="6"/>
        <v>135</v>
      </c>
      <c r="J42" s="404"/>
    </row>
    <row r="43" spans="1:10" ht="15.95" customHeight="1" x14ac:dyDescent="0.2">
      <c r="A43" s="275" t="s">
        <v>568</v>
      </c>
      <c r="B43" s="276" t="s">
        <v>86</v>
      </c>
      <c r="C43" s="198" t="s">
        <v>85</v>
      </c>
      <c r="D43" s="198"/>
      <c r="E43" s="226"/>
      <c r="F43" s="226"/>
      <c r="G43" s="419"/>
      <c r="H43" s="419"/>
      <c r="I43" s="403">
        <f>SUM(I44:J48)</f>
        <v>1884</v>
      </c>
      <c r="J43" s="404"/>
    </row>
    <row r="44" spans="1:10" ht="15.95" customHeight="1" x14ac:dyDescent="0.2">
      <c r="A44" s="275"/>
      <c r="B44" s="276"/>
      <c r="C44" s="198" t="s">
        <v>82</v>
      </c>
      <c r="D44" s="198"/>
      <c r="E44" s="226">
        <f>VLOOKUP($A43,$A$5:$I$25,2,FALSE)</f>
        <v>70</v>
      </c>
      <c r="F44" s="225" t="s">
        <v>536</v>
      </c>
      <c r="G44" s="403" t="s">
        <v>67</v>
      </c>
      <c r="H44" s="403"/>
      <c r="I44" s="403">
        <f>ROUND(40.09*$E44^0.644*'0.시설공사비 산정근거'!$F$11,0)</f>
        <v>669</v>
      </c>
      <c r="J44" s="404"/>
    </row>
    <row r="45" spans="1:10" ht="15.95" customHeight="1" x14ac:dyDescent="0.2">
      <c r="A45" s="275"/>
      <c r="B45" s="276"/>
      <c r="C45" s="198" t="s">
        <v>235</v>
      </c>
      <c r="D45" s="198" t="s">
        <v>456</v>
      </c>
      <c r="E45" s="225">
        <f>VLOOKUP($A43,$A$5:$I$25,6,FALSE)</f>
        <v>1950</v>
      </c>
      <c r="F45" s="225" t="s">
        <v>537</v>
      </c>
      <c r="G45" s="403">
        <f>'0.시설공사비 산정근거'!$D$64</f>
        <v>404491</v>
      </c>
      <c r="H45" s="403"/>
      <c r="I45" s="403">
        <f>ROUND(E45*G45/10^6,0)</f>
        <v>789</v>
      </c>
      <c r="J45" s="404"/>
    </row>
    <row r="46" spans="1:10" ht="15.95" customHeight="1" x14ac:dyDescent="0.2">
      <c r="A46" s="275"/>
      <c r="B46" s="276"/>
      <c r="C46" s="198" t="s">
        <v>433</v>
      </c>
      <c r="D46" s="198" t="s">
        <v>455</v>
      </c>
      <c r="E46" s="225">
        <f>VLOOKUP($A43,$A$5:$I$25,7,FALSE)</f>
        <v>0</v>
      </c>
      <c r="F46" s="225" t="s">
        <v>537</v>
      </c>
      <c r="G46" s="403">
        <f>'0.시설공사비 산정근거'!$B$145</f>
        <v>320148</v>
      </c>
      <c r="H46" s="403"/>
      <c r="I46" s="403">
        <f t="shared" ref="I46:I49" si="7">ROUND(E46*G46/10^6,0)</f>
        <v>0</v>
      </c>
      <c r="J46" s="404"/>
    </row>
    <row r="47" spans="1:10" ht="15.95" customHeight="1" x14ac:dyDescent="0.2">
      <c r="A47" s="275"/>
      <c r="B47" s="276"/>
      <c r="C47" s="198" t="s">
        <v>435</v>
      </c>
      <c r="D47" s="198" t="s">
        <v>458</v>
      </c>
      <c r="E47" s="226">
        <f>VLOOKUP($A43,$A$5:$I$25,8,FALSE)</f>
        <v>0</v>
      </c>
      <c r="F47" s="226" t="s">
        <v>458</v>
      </c>
      <c r="G47" s="403">
        <f>'0.시설공사비 산정근거'!$C$139</f>
        <v>71500000</v>
      </c>
      <c r="H47" s="403"/>
      <c r="I47" s="403">
        <f t="shared" si="7"/>
        <v>0</v>
      </c>
      <c r="J47" s="404"/>
    </row>
    <row r="48" spans="1:10" ht="15.95" customHeight="1" x14ac:dyDescent="0.2">
      <c r="A48" s="275"/>
      <c r="B48" s="276"/>
      <c r="C48" s="198" t="s">
        <v>187</v>
      </c>
      <c r="D48" s="226" t="s">
        <v>458</v>
      </c>
      <c r="E48" s="226">
        <f>VLOOKUP($A43,$A$5:$I$25,9,FALSE)</f>
        <v>152</v>
      </c>
      <c r="F48" s="226" t="s">
        <v>458</v>
      </c>
      <c r="G48" s="403">
        <f>'0.시설공사비 산정근거'!$C$125</f>
        <v>2800000</v>
      </c>
      <c r="H48" s="403"/>
      <c r="I48" s="403">
        <f t="shared" si="7"/>
        <v>426</v>
      </c>
      <c r="J48" s="404"/>
    </row>
    <row r="49" spans="1:10" ht="15.95" customHeight="1" x14ac:dyDescent="0.2">
      <c r="A49" s="275"/>
      <c r="B49" s="276" t="s">
        <v>487</v>
      </c>
      <c r="C49" s="276"/>
      <c r="D49" s="226"/>
      <c r="E49" s="226">
        <f>VLOOKUP($A43,$A$5:$I$25,4,FALSE)</f>
        <v>1308</v>
      </c>
      <c r="F49" s="226" t="s">
        <v>545</v>
      </c>
      <c r="G49" s="403">
        <v>24300</v>
      </c>
      <c r="H49" s="403"/>
      <c r="I49" s="403">
        <f t="shared" si="7"/>
        <v>32</v>
      </c>
      <c r="J49" s="404"/>
    </row>
    <row r="50" spans="1:10" ht="15.95" customHeight="1" x14ac:dyDescent="0.2">
      <c r="A50" s="275" t="s">
        <v>569</v>
      </c>
      <c r="B50" s="276" t="s">
        <v>86</v>
      </c>
      <c r="C50" s="198" t="s">
        <v>85</v>
      </c>
      <c r="D50" s="198"/>
      <c r="E50" s="226"/>
      <c r="F50" s="226"/>
      <c r="G50" s="419"/>
      <c r="H50" s="419"/>
      <c r="I50" s="403">
        <f>SUM(I51:J55)</f>
        <v>1682</v>
      </c>
      <c r="J50" s="404"/>
    </row>
    <row r="51" spans="1:10" ht="15.95" customHeight="1" x14ac:dyDescent="0.2">
      <c r="A51" s="275"/>
      <c r="B51" s="276"/>
      <c r="C51" s="198" t="s">
        <v>82</v>
      </c>
      <c r="D51" s="198"/>
      <c r="E51" s="226">
        <f>VLOOKUP($A50,$A$5:$I$25,2,FALSE)</f>
        <v>50</v>
      </c>
      <c r="F51" s="225" t="s">
        <v>536</v>
      </c>
      <c r="G51" s="403" t="s">
        <v>67</v>
      </c>
      <c r="H51" s="403"/>
      <c r="I51" s="403">
        <f>ROUND(40.09*$E51^0.644*'0.시설공사비 산정근거'!$F$11,0)</f>
        <v>539</v>
      </c>
      <c r="J51" s="404"/>
    </row>
    <row r="52" spans="1:10" ht="15.95" customHeight="1" x14ac:dyDescent="0.2">
      <c r="A52" s="275"/>
      <c r="B52" s="276"/>
      <c r="C52" s="198" t="s">
        <v>235</v>
      </c>
      <c r="D52" s="198" t="s">
        <v>456</v>
      </c>
      <c r="E52" s="225">
        <f>VLOOKUP($A50,$A$5:$I$25,6,FALSE)</f>
        <v>1952.5</v>
      </c>
      <c r="F52" s="225" t="s">
        <v>537</v>
      </c>
      <c r="G52" s="403">
        <f>'0.시설공사비 산정근거'!$D$64</f>
        <v>404491</v>
      </c>
      <c r="H52" s="403"/>
      <c r="I52" s="403">
        <f>ROUND(E52*G52/10^6,0)</f>
        <v>790</v>
      </c>
      <c r="J52" s="404"/>
    </row>
    <row r="53" spans="1:10" ht="15.95" customHeight="1" x14ac:dyDescent="0.2">
      <c r="A53" s="275"/>
      <c r="B53" s="276"/>
      <c r="C53" s="198" t="s">
        <v>433</v>
      </c>
      <c r="D53" s="198" t="s">
        <v>455</v>
      </c>
      <c r="E53" s="225">
        <f>VLOOKUP($A50,$A$5:$I$25,7,FALSE)</f>
        <v>0</v>
      </c>
      <c r="F53" s="225" t="s">
        <v>537</v>
      </c>
      <c r="G53" s="403">
        <f>'0.시설공사비 산정근거'!$B$145</f>
        <v>320148</v>
      </c>
      <c r="H53" s="403"/>
      <c r="I53" s="403">
        <f t="shared" ref="I53:I56" si="8">ROUND(E53*G53/10^6,0)</f>
        <v>0</v>
      </c>
      <c r="J53" s="404"/>
    </row>
    <row r="54" spans="1:10" ht="15.95" customHeight="1" x14ac:dyDescent="0.2">
      <c r="A54" s="275"/>
      <c r="B54" s="276"/>
      <c r="C54" s="198" t="s">
        <v>435</v>
      </c>
      <c r="D54" s="198" t="s">
        <v>458</v>
      </c>
      <c r="E54" s="226">
        <f>VLOOKUP($A50,$A$5:$I$25,8,FALSE)</f>
        <v>0</v>
      </c>
      <c r="F54" s="226" t="s">
        <v>458</v>
      </c>
      <c r="G54" s="403">
        <f>'0.시설공사비 산정근거'!$C$139</f>
        <v>71500000</v>
      </c>
      <c r="H54" s="403"/>
      <c r="I54" s="403">
        <f t="shared" si="8"/>
        <v>0</v>
      </c>
      <c r="J54" s="404"/>
    </row>
    <row r="55" spans="1:10" ht="15.95" customHeight="1" x14ac:dyDescent="0.2">
      <c r="A55" s="275"/>
      <c r="B55" s="276"/>
      <c r="C55" s="198" t="s">
        <v>187</v>
      </c>
      <c r="D55" s="226" t="s">
        <v>458</v>
      </c>
      <c r="E55" s="226">
        <f>VLOOKUP($A50,$A$5:$I$25,9,FALSE)</f>
        <v>126</v>
      </c>
      <c r="F55" s="226" t="s">
        <v>458</v>
      </c>
      <c r="G55" s="403">
        <f>'0.시설공사비 산정근거'!$C$125</f>
        <v>2800000</v>
      </c>
      <c r="H55" s="403"/>
      <c r="I55" s="403">
        <f t="shared" si="8"/>
        <v>353</v>
      </c>
      <c r="J55" s="404"/>
    </row>
    <row r="56" spans="1:10" ht="15.95" customHeight="1" x14ac:dyDescent="0.2">
      <c r="A56" s="275"/>
      <c r="B56" s="276" t="s">
        <v>487</v>
      </c>
      <c r="C56" s="276"/>
      <c r="D56" s="226"/>
      <c r="E56" s="226">
        <f>VLOOKUP($A50,$A$5:$I$25,4,FALSE)</f>
        <v>1077</v>
      </c>
      <c r="F56" s="226" t="s">
        <v>545</v>
      </c>
      <c r="G56" s="403">
        <v>59300</v>
      </c>
      <c r="H56" s="403"/>
      <c r="I56" s="403">
        <f t="shared" si="8"/>
        <v>64</v>
      </c>
      <c r="J56" s="404"/>
    </row>
    <row r="57" spans="1:10" ht="15.95" customHeight="1" x14ac:dyDescent="0.2">
      <c r="A57" s="275" t="s">
        <v>570</v>
      </c>
      <c r="B57" s="276" t="s">
        <v>86</v>
      </c>
      <c r="C57" s="198" t="s">
        <v>85</v>
      </c>
      <c r="D57" s="198"/>
      <c r="E57" s="226"/>
      <c r="F57" s="226"/>
      <c r="G57" s="419"/>
      <c r="H57" s="419"/>
      <c r="I57" s="403">
        <f>SUM(I58:J62)</f>
        <v>3874</v>
      </c>
      <c r="J57" s="404"/>
    </row>
    <row r="58" spans="1:10" ht="15.95" customHeight="1" x14ac:dyDescent="0.2">
      <c r="A58" s="275"/>
      <c r="B58" s="276"/>
      <c r="C58" s="198" t="s">
        <v>82</v>
      </c>
      <c r="D58" s="198"/>
      <c r="E58" s="226">
        <f>VLOOKUP($A57,$A$5:$I$25,2,FALSE)</f>
        <v>110</v>
      </c>
      <c r="F58" s="225" t="s">
        <v>536</v>
      </c>
      <c r="G58" s="403" t="s">
        <v>67</v>
      </c>
      <c r="H58" s="403"/>
      <c r="I58" s="403">
        <f>ROUND(40.09*$E58^0.644*'0.시설공사비 산정근거'!$F$11,0)</f>
        <v>895</v>
      </c>
      <c r="J58" s="404"/>
    </row>
    <row r="59" spans="1:10" ht="15.95" customHeight="1" x14ac:dyDescent="0.2">
      <c r="A59" s="275"/>
      <c r="B59" s="276"/>
      <c r="C59" s="198" t="s">
        <v>235</v>
      </c>
      <c r="D59" s="198" t="s">
        <v>456</v>
      </c>
      <c r="E59" s="225">
        <f>VLOOKUP($A57,$A$5:$I$25,6,FALSE)</f>
        <v>4312.3</v>
      </c>
      <c r="F59" s="225" t="s">
        <v>537</v>
      </c>
      <c r="G59" s="403">
        <f>'0.시설공사비 산정근거'!$D$64</f>
        <v>404491</v>
      </c>
      <c r="H59" s="403"/>
      <c r="I59" s="403">
        <f>ROUND(E59*G59/10^6,0)</f>
        <v>1744</v>
      </c>
      <c r="J59" s="404"/>
    </row>
    <row r="60" spans="1:10" ht="15.95" customHeight="1" x14ac:dyDescent="0.2">
      <c r="A60" s="275"/>
      <c r="B60" s="276"/>
      <c r="C60" s="198" t="s">
        <v>433</v>
      </c>
      <c r="D60" s="198" t="s">
        <v>455</v>
      </c>
      <c r="E60" s="225">
        <f>VLOOKUP($A57,$A$5:$I$25,7,FALSE)</f>
        <v>1294.3</v>
      </c>
      <c r="F60" s="225" t="s">
        <v>537</v>
      </c>
      <c r="G60" s="403">
        <f>'0.시설공사비 산정근거'!$B$145</f>
        <v>320148</v>
      </c>
      <c r="H60" s="403"/>
      <c r="I60" s="403">
        <f t="shared" ref="I60:I63" si="9">ROUND(E60*G60/10^6,0)</f>
        <v>414</v>
      </c>
      <c r="J60" s="404"/>
    </row>
    <row r="61" spans="1:10" ht="15.95" customHeight="1" x14ac:dyDescent="0.2">
      <c r="A61" s="275"/>
      <c r="B61" s="276"/>
      <c r="C61" s="198" t="s">
        <v>435</v>
      </c>
      <c r="D61" s="198" t="s">
        <v>458</v>
      </c>
      <c r="E61" s="226">
        <f>VLOOKUP($A57,$A$5:$I$25,8,FALSE)</f>
        <v>2</v>
      </c>
      <c r="F61" s="226" t="s">
        <v>458</v>
      </c>
      <c r="G61" s="403">
        <f>'0.시설공사비 산정근거'!$C$139</f>
        <v>71500000</v>
      </c>
      <c r="H61" s="403"/>
      <c r="I61" s="403">
        <f t="shared" si="9"/>
        <v>143</v>
      </c>
      <c r="J61" s="404"/>
    </row>
    <row r="62" spans="1:10" ht="15.95" customHeight="1" x14ac:dyDescent="0.2">
      <c r="A62" s="275"/>
      <c r="B62" s="276"/>
      <c r="C62" s="198" t="s">
        <v>187</v>
      </c>
      <c r="D62" s="226" t="s">
        <v>458</v>
      </c>
      <c r="E62" s="226">
        <f>VLOOKUP($A57,$A$5:$I$25,9,FALSE)</f>
        <v>242</v>
      </c>
      <c r="F62" s="226" t="s">
        <v>458</v>
      </c>
      <c r="G62" s="403">
        <f>'0.시설공사비 산정근거'!$C$125</f>
        <v>2800000</v>
      </c>
      <c r="H62" s="403"/>
      <c r="I62" s="403">
        <f t="shared" si="9"/>
        <v>678</v>
      </c>
      <c r="J62" s="404"/>
    </row>
    <row r="63" spans="1:10" ht="15.95" customHeight="1" x14ac:dyDescent="0.2">
      <c r="A63" s="275"/>
      <c r="B63" s="276" t="s">
        <v>487</v>
      </c>
      <c r="C63" s="276"/>
      <c r="D63" s="226"/>
      <c r="E63" s="226">
        <f>VLOOKUP($A57,$A$5:$I$25,4,FALSE)</f>
        <v>1699</v>
      </c>
      <c r="F63" s="226" t="s">
        <v>545</v>
      </c>
      <c r="G63" s="403">
        <v>15000</v>
      </c>
      <c r="H63" s="403"/>
      <c r="I63" s="403">
        <f t="shared" si="9"/>
        <v>25</v>
      </c>
      <c r="J63" s="404"/>
    </row>
    <row r="64" spans="1:10" ht="15.95" customHeight="1" x14ac:dyDescent="0.2">
      <c r="A64" s="275" t="s">
        <v>571</v>
      </c>
      <c r="B64" s="276" t="s">
        <v>86</v>
      </c>
      <c r="C64" s="198" t="s">
        <v>85</v>
      </c>
      <c r="D64" s="198"/>
      <c r="E64" s="226"/>
      <c r="F64" s="226"/>
      <c r="G64" s="419"/>
      <c r="H64" s="419"/>
      <c r="I64" s="403">
        <f>SUM(I65:J69)</f>
        <v>1843</v>
      </c>
      <c r="J64" s="404"/>
    </row>
    <row r="65" spans="1:10" ht="15.95" customHeight="1" x14ac:dyDescent="0.2">
      <c r="A65" s="275"/>
      <c r="B65" s="276"/>
      <c r="C65" s="198" t="s">
        <v>82</v>
      </c>
      <c r="D65" s="198"/>
      <c r="E65" s="226">
        <f>VLOOKUP($A64,$A$5:$I$25,2,FALSE)</f>
        <v>50</v>
      </c>
      <c r="F65" s="225" t="s">
        <v>536</v>
      </c>
      <c r="G65" s="403" t="s">
        <v>67</v>
      </c>
      <c r="H65" s="403"/>
      <c r="I65" s="403">
        <f>ROUND(40.09*$E65^0.644*'0.시설공사비 산정근거'!$F$11,0)</f>
        <v>539</v>
      </c>
      <c r="J65" s="404"/>
    </row>
    <row r="66" spans="1:10" ht="15.95" customHeight="1" x14ac:dyDescent="0.2">
      <c r="A66" s="275"/>
      <c r="B66" s="276"/>
      <c r="C66" s="198" t="s">
        <v>235</v>
      </c>
      <c r="D66" s="198" t="s">
        <v>456</v>
      </c>
      <c r="E66" s="225">
        <f>VLOOKUP($A64,$A$5:$I$25,6,FALSE)</f>
        <v>2170.4</v>
      </c>
      <c r="F66" s="225" t="s">
        <v>537</v>
      </c>
      <c r="G66" s="403">
        <f>'0.시설공사비 산정근거'!$D$64</f>
        <v>404491</v>
      </c>
      <c r="H66" s="403"/>
      <c r="I66" s="403">
        <f>ROUND(E66*G66/10^6,0)</f>
        <v>878</v>
      </c>
      <c r="J66" s="404"/>
    </row>
    <row r="67" spans="1:10" ht="15.95" customHeight="1" x14ac:dyDescent="0.2">
      <c r="A67" s="275"/>
      <c r="B67" s="276"/>
      <c r="C67" s="198" t="s">
        <v>433</v>
      </c>
      <c r="D67" s="198" t="s">
        <v>455</v>
      </c>
      <c r="E67" s="225">
        <f>VLOOKUP($A64,$A$5:$I$25,7,FALSE)</f>
        <v>82.5</v>
      </c>
      <c r="F67" s="225" t="s">
        <v>537</v>
      </c>
      <c r="G67" s="403">
        <f>'0.시설공사비 산정근거'!$B$145</f>
        <v>320148</v>
      </c>
      <c r="H67" s="403"/>
      <c r="I67" s="403">
        <f t="shared" ref="I67:I70" si="10">ROUND(E67*G67/10^6,0)</f>
        <v>26</v>
      </c>
      <c r="J67" s="404"/>
    </row>
    <row r="68" spans="1:10" ht="15.95" customHeight="1" x14ac:dyDescent="0.2">
      <c r="A68" s="275"/>
      <c r="B68" s="276"/>
      <c r="C68" s="198" t="s">
        <v>435</v>
      </c>
      <c r="D68" s="198" t="s">
        <v>458</v>
      </c>
      <c r="E68" s="226">
        <f>VLOOKUP($A64,$A$5:$I$25,8,FALSE)</f>
        <v>1</v>
      </c>
      <c r="F68" s="226" t="s">
        <v>458</v>
      </c>
      <c r="G68" s="403">
        <f>'0.시설공사비 산정근거'!$C$139</f>
        <v>71500000</v>
      </c>
      <c r="H68" s="403"/>
      <c r="I68" s="403">
        <f t="shared" si="10"/>
        <v>72</v>
      </c>
      <c r="J68" s="404"/>
    </row>
    <row r="69" spans="1:10" ht="15.95" customHeight="1" x14ac:dyDescent="0.2">
      <c r="A69" s="275"/>
      <c r="B69" s="276"/>
      <c r="C69" s="198" t="s">
        <v>187</v>
      </c>
      <c r="D69" s="226" t="s">
        <v>458</v>
      </c>
      <c r="E69" s="226">
        <f>VLOOKUP($A64,$A$5:$I$25,9,FALSE)</f>
        <v>117</v>
      </c>
      <c r="F69" s="226" t="s">
        <v>458</v>
      </c>
      <c r="G69" s="403">
        <f>'0.시설공사비 산정근거'!$C$125</f>
        <v>2800000</v>
      </c>
      <c r="H69" s="403"/>
      <c r="I69" s="403">
        <f t="shared" si="10"/>
        <v>328</v>
      </c>
      <c r="J69" s="404"/>
    </row>
    <row r="70" spans="1:10" ht="15.95" customHeight="1" x14ac:dyDescent="0.2">
      <c r="A70" s="275"/>
      <c r="B70" s="276" t="s">
        <v>487</v>
      </c>
      <c r="C70" s="276"/>
      <c r="D70" s="226"/>
      <c r="E70" s="226">
        <f>VLOOKUP($A64,$A$5:$I$25,4,FALSE)</f>
        <v>1077</v>
      </c>
      <c r="F70" s="226" t="s">
        <v>545</v>
      </c>
      <c r="G70" s="403">
        <v>7950</v>
      </c>
      <c r="H70" s="403"/>
      <c r="I70" s="403">
        <f t="shared" si="10"/>
        <v>9</v>
      </c>
      <c r="J70" s="404"/>
    </row>
    <row r="71" spans="1:10" ht="15.95" customHeight="1" x14ac:dyDescent="0.2">
      <c r="A71" s="275" t="s">
        <v>572</v>
      </c>
      <c r="B71" s="276" t="s">
        <v>86</v>
      </c>
      <c r="C71" s="198" t="s">
        <v>85</v>
      </c>
      <c r="D71" s="198"/>
      <c r="E71" s="226"/>
      <c r="F71" s="226"/>
      <c r="G71" s="419"/>
      <c r="H71" s="419"/>
      <c r="I71" s="403">
        <f>SUM(I72:J76)</f>
        <v>1469</v>
      </c>
      <c r="J71" s="404"/>
    </row>
    <row r="72" spans="1:10" ht="15.95" customHeight="1" x14ac:dyDescent="0.2">
      <c r="A72" s="275"/>
      <c r="B72" s="276"/>
      <c r="C72" s="198" t="s">
        <v>82</v>
      </c>
      <c r="D72" s="198"/>
      <c r="E72" s="226">
        <f>VLOOKUP($A71,$A$5:$I$25,2,FALSE)</f>
        <v>50</v>
      </c>
      <c r="F72" s="225" t="s">
        <v>536</v>
      </c>
      <c r="G72" s="403" t="s">
        <v>67</v>
      </c>
      <c r="H72" s="403"/>
      <c r="I72" s="403">
        <f>ROUND(40.09*$E72^0.644*'0.시설공사비 산정근거'!$F$11,0)</f>
        <v>539</v>
      </c>
      <c r="J72" s="404"/>
    </row>
    <row r="73" spans="1:10" ht="15.95" customHeight="1" x14ac:dyDescent="0.2">
      <c r="A73" s="275"/>
      <c r="B73" s="276"/>
      <c r="C73" s="198" t="s">
        <v>235</v>
      </c>
      <c r="D73" s="198" t="s">
        <v>456</v>
      </c>
      <c r="E73" s="225">
        <f>VLOOKUP($A71,$A$5:$I$25,6,FALSE)</f>
        <v>1407.2</v>
      </c>
      <c r="F73" s="225" t="s">
        <v>537</v>
      </c>
      <c r="G73" s="403">
        <f>'0.시설공사비 산정근거'!$D$64</f>
        <v>404491</v>
      </c>
      <c r="H73" s="403"/>
      <c r="I73" s="403">
        <f>ROUND(E73*G73/10^6,0)</f>
        <v>569</v>
      </c>
      <c r="J73" s="404"/>
    </row>
    <row r="74" spans="1:10" ht="15.95" customHeight="1" x14ac:dyDescent="0.2">
      <c r="A74" s="275"/>
      <c r="B74" s="276"/>
      <c r="C74" s="198" t="s">
        <v>433</v>
      </c>
      <c r="D74" s="198" t="s">
        <v>455</v>
      </c>
      <c r="E74" s="225">
        <f>VLOOKUP($A71,$A$5:$I$25,7,FALSE)</f>
        <v>0</v>
      </c>
      <c r="F74" s="225" t="s">
        <v>537</v>
      </c>
      <c r="G74" s="403">
        <f>'0.시설공사비 산정근거'!$B$145</f>
        <v>320148</v>
      </c>
      <c r="H74" s="403"/>
      <c r="I74" s="403">
        <f t="shared" ref="I74:I77" si="11">ROUND(E74*G74/10^6,0)</f>
        <v>0</v>
      </c>
      <c r="J74" s="404"/>
    </row>
    <row r="75" spans="1:10" ht="15.95" customHeight="1" x14ac:dyDescent="0.2">
      <c r="A75" s="275"/>
      <c r="B75" s="276"/>
      <c r="C75" s="198" t="s">
        <v>435</v>
      </c>
      <c r="D75" s="198" t="s">
        <v>458</v>
      </c>
      <c r="E75" s="226">
        <f>VLOOKUP($A71,$A$5:$I$25,8,FALSE)</f>
        <v>0</v>
      </c>
      <c r="F75" s="226" t="s">
        <v>458</v>
      </c>
      <c r="G75" s="403">
        <f>'0.시설공사비 산정근거'!$C$139</f>
        <v>71500000</v>
      </c>
      <c r="H75" s="403"/>
      <c r="I75" s="403">
        <f t="shared" si="11"/>
        <v>0</v>
      </c>
      <c r="J75" s="404"/>
    </row>
    <row r="76" spans="1:10" ht="15.95" customHeight="1" x14ac:dyDescent="0.2">
      <c r="A76" s="275"/>
      <c r="B76" s="276"/>
      <c r="C76" s="198" t="s">
        <v>187</v>
      </c>
      <c r="D76" s="226" t="s">
        <v>458</v>
      </c>
      <c r="E76" s="226">
        <f>VLOOKUP($A71,$A$5:$I$25,9,FALSE)</f>
        <v>129</v>
      </c>
      <c r="F76" s="226" t="s">
        <v>458</v>
      </c>
      <c r="G76" s="403">
        <f>'0.시설공사비 산정근거'!$C$125</f>
        <v>2800000</v>
      </c>
      <c r="H76" s="403"/>
      <c r="I76" s="403">
        <f t="shared" si="11"/>
        <v>361</v>
      </c>
      <c r="J76" s="404"/>
    </row>
    <row r="77" spans="1:10" ht="15.95" customHeight="1" x14ac:dyDescent="0.2">
      <c r="A77" s="265"/>
      <c r="B77" s="263" t="s">
        <v>487</v>
      </c>
      <c r="C77" s="263"/>
      <c r="D77" s="220"/>
      <c r="E77" s="220">
        <f>VLOOKUP($A71,$A$5:$I$25,4,FALSE)</f>
        <v>1077</v>
      </c>
      <c r="F77" s="220" t="s">
        <v>545</v>
      </c>
      <c r="G77" s="420">
        <v>6820</v>
      </c>
      <c r="H77" s="420"/>
      <c r="I77" s="420">
        <f t="shared" si="11"/>
        <v>7</v>
      </c>
      <c r="J77" s="421"/>
    </row>
    <row r="78" spans="1:10" ht="15.95" customHeight="1" thickBot="1" x14ac:dyDescent="0.25">
      <c r="A78" s="255" t="s">
        <v>66</v>
      </c>
      <c r="B78" s="256"/>
      <c r="C78" s="199" t="s">
        <v>66</v>
      </c>
      <c r="D78" s="199" t="s">
        <v>454</v>
      </c>
      <c r="E78" s="208" t="s">
        <v>269</v>
      </c>
      <c r="F78" s="208" t="s">
        <v>535</v>
      </c>
      <c r="G78" s="375" t="s">
        <v>452</v>
      </c>
      <c r="H78" s="375"/>
      <c r="I78" s="375" t="s">
        <v>136</v>
      </c>
      <c r="J78" s="405"/>
    </row>
    <row r="79" spans="1:10" ht="15.95" customHeight="1" thickTop="1" x14ac:dyDescent="0.2">
      <c r="A79" s="279" t="s">
        <v>573</v>
      </c>
      <c r="B79" s="269" t="s">
        <v>86</v>
      </c>
      <c r="C79" s="205" t="s">
        <v>85</v>
      </c>
      <c r="D79" s="205"/>
      <c r="E79" s="242"/>
      <c r="F79" s="242"/>
      <c r="G79" s="422"/>
      <c r="H79" s="422"/>
      <c r="I79" s="423">
        <f>SUM(I80:J84)</f>
        <v>2684</v>
      </c>
      <c r="J79" s="424"/>
    </row>
    <row r="80" spans="1:10" ht="15.95" customHeight="1" x14ac:dyDescent="0.2">
      <c r="A80" s="275"/>
      <c r="B80" s="276"/>
      <c r="C80" s="198" t="s">
        <v>82</v>
      </c>
      <c r="D80" s="198"/>
      <c r="E80" s="226">
        <f>VLOOKUP($A79,$A$5:$I$25,2,FALSE)</f>
        <v>70</v>
      </c>
      <c r="F80" s="225" t="s">
        <v>536</v>
      </c>
      <c r="G80" s="403" t="s">
        <v>67</v>
      </c>
      <c r="H80" s="403"/>
      <c r="I80" s="403">
        <f>ROUND(40.09*$E80^0.644*'0.시설공사비 산정근거'!$F$11,0)</f>
        <v>669</v>
      </c>
      <c r="J80" s="404"/>
    </row>
    <row r="81" spans="1:10" ht="15.95" customHeight="1" x14ac:dyDescent="0.2">
      <c r="A81" s="275"/>
      <c r="B81" s="276"/>
      <c r="C81" s="198" t="s">
        <v>235</v>
      </c>
      <c r="D81" s="198" t="s">
        <v>456</v>
      </c>
      <c r="E81" s="225">
        <f>VLOOKUP($A79,$A$5:$I$25,6,FALSE)</f>
        <v>4027</v>
      </c>
      <c r="F81" s="225" t="s">
        <v>537</v>
      </c>
      <c r="G81" s="403">
        <f>'0.시설공사비 산정근거'!$D$64</f>
        <v>404491</v>
      </c>
      <c r="H81" s="403"/>
      <c r="I81" s="403">
        <f>ROUND(E81*G81/10^6,0)</f>
        <v>1629</v>
      </c>
      <c r="J81" s="404"/>
    </row>
    <row r="82" spans="1:10" ht="15.95" customHeight="1" x14ac:dyDescent="0.2">
      <c r="A82" s="275"/>
      <c r="B82" s="276"/>
      <c r="C82" s="198" t="s">
        <v>433</v>
      </c>
      <c r="D82" s="198" t="s">
        <v>455</v>
      </c>
      <c r="E82" s="225">
        <f>VLOOKUP($A79,$A$5:$I$25,7,FALSE)</f>
        <v>0</v>
      </c>
      <c r="F82" s="225" t="s">
        <v>537</v>
      </c>
      <c r="G82" s="403">
        <f>'0.시설공사비 산정근거'!$B$145</f>
        <v>320148</v>
      </c>
      <c r="H82" s="403"/>
      <c r="I82" s="403">
        <f t="shared" ref="I82:I85" si="12">ROUND(E82*G82/10^6,0)</f>
        <v>0</v>
      </c>
      <c r="J82" s="404"/>
    </row>
    <row r="83" spans="1:10" ht="15.95" customHeight="1" x14ac:dyDescent="0.2">
      <c r="A83" s="275"/>
      <c r="B83" s="276"/>
      <c r="C83" s="198" t="s">
        <v>435</v>
      </c>
      <c r="D83" s="198" t="s">
        <v>458</v>
      </c>
      <c r="E83" s="226">
        <f>VLOOKUP($A79,$A$5:$I$25,8,FALSE)</f>
        <v>0</v>
      </c>
      <c r="F83" s="226" t="s">
        <v>458</v>
      </c>
      <c r="G83" s="403">
        <f>'0.시설공사비 산정근거'!$C$139</f>
        <v>71500000</v>
      </c>
      <c r="H83" s="403"/>
      <c r="I83" s="403">
        <f t="shared" si="12"/>
        <v>0</v>
      </c>
      <c r="J83" s="404"/>
    </row>
    <row r="84" spans="1:10" ht="15.95" customHeight="1" x14ac:dyDescent="0.2">
      <c r="A84" s="275"/>
      <c r="B84" s="276"/>
      <c r="C84" s="198" t="s">
        <v>187</v>
      </c>
      <c r="D84" s="226" t="s">
        <v>458</v>
      </c>
      <c r="E84" s="226">
        <f>VLOOKUP($A79,$A$5:$I$25,9,FALSE)</f>
        <v>138</v>
      </c>
      <c r="F84" s="226" t="s">
        <v>458</v>
      </c>
      <c r="G84" s="403">
        <f>'0.시설공사비 산정근거'!$C$125</f>
        <v>2800000</v>
      </c>
      <c r="H84" s="403"/>
      <c r="I84" s="403">
        <f t="shared" si="12"/>
        <v>386</v>
      </c>
      <c r="J84" s="404"/>
    </row>
    <row r="85" spans="1:10" ht="15.95" customHeight="1" x14ac:dyDescent="0.2">
      <c r="A85" s="275"/>
      <c r="B85" s="276" t="s">
        <v>487</v>
      </c>
      <c r="C85" s="276"/>
      <c r="D85" s="226"/>
      <c r="E85" s="226">
        <f>VLOOKUP($A79,$A$5:$I$25,4,FALSE)</f>
        <v>1308</v>
      </c>
      <c r="F85" s="226" t="s">
        <v>545</v>
      </c>
      <c r="G85" s="403">
        <v>19300</v>
      </c>
      <c r="H85" s="403"/>
      <c r="I85" s="403">
        <f t="shared" si="12"/>
        <v>25</v>
      </c>
      <c r="J85" s="404"/>
    </row>
    <row r="86" spans="1:10" ht="15.95" customHeight="1" x14ac:dyDescent="0.2">
      <c r="A86" s="275" t="s">
        <v>574</v>
      </c>
      <c r="B86" s="276" t="s">
        <v>86</v>
      </c>
      <c r="C86" s="198" t="s">
        <v>85</v>
      </c>
      <c r="D86" s="198"/>
      <c r="E86" s="226"/>
      <c r="F86" s="226"/>
      <c r="G86" s="419"/>
      <c r="H86" s="419"/>
      <c r="I86" s="403">
        <f>SUM(I87:J91)</f>
        <v>6938</v>
      </c>
      <c r="J86" s="404"/>
    </row>
    <row r="87" spans="1:10" ht="15.95" customHeight="1" x14ac:dyDescent="0.2">
      <c r="A87" s="275"/>
      <c r="B87" s="276"/>
      <c r="C87" s="198" t="s">
        <v>82</v>
      </c>
      <c r="D87" s="198"/>
      <c r="E87" s="226">
        <f>VLOOKUP($A86,$A$5:$I$25,2,FALSE)</f>
        <v>170</v>
      </c>
      <c r="F87" s="225" t="s">
        <v>536</v>
      </c>
      <c r="G87" s="403" t="s">
        <v>67</v>
      </c>
      <c r="H87" s="403"/>
      <c r="I87" s="403">
        <f>ROUND(40.09*$E87^0.644*'0.시설공사비 산정근거'!$F$11,0)</f>
        <v>1185</v>
      </c>
      <c r="J87" s="404"/>
    </row>
    <row r="88" spans="1:10" ht="15.95" customHeight="1" x14ac:dyDescent="0.2">
      <c r="A88" s="275"/>
      <c r="B88" s="276"/>
      <c r="C88" s="198" t="s">
        <v>235</v>
      </c>
      <c r="D88" s="198" t="s">
        <v>456</v>
      </c>
      <c r="E88" s="225">
        <f>VLOOKUP($A86,$A$5:$I$25,6,FALSE)</f>
        <v>10285</v>
      </c>
      <c r="F88" s="225" t="s">
        <v>537</v>
      </c>
      <c r="G88" s="403">
        <f>'0.시설공사비 산정근거'!$D$64</f>
        <v>404491</v>
      </c>
      <c r="H88" s="403"/>
      <c r="I88" s="403">
        <f>ROUND(E88*G88/10^6,0)</f>
        <v>4160</v>
      </c>
      <c r="J88" s="404"/>
    </row>
    <row r="89" spans="1:10" ht="15.95" customHeight="1" x14ac:dyDescent="0.2">
      <c r="A89" s="275"/>
      <c r="B89" s="276"/>
      <c r="C89" s="198" t="s">
        <v>433</v>
      </c>
      <c r="D89" s="198" t="s">
        <v>455</v>
      </c>
      <c r="E89" s="225">
        <f>VLOOKUP($A86,$A$5:$I$25,7,FALSE)</f>
        <v>962.7</v>
      </c>
      <c r="F89" s="225" t="s">
        <v>537</v>
      </c>
      <c r="G89" s="403">
        <f>'0.시설공사비 산정근거'!$B$145</f>
        <v>320148</v>
      </c>
      <c r="H89" s="403"/>
      <c r="I89" s="403">
        <f t="shared" ref="I89:I92" si="13">ROUND(E89*G89/10^6,0)</f>
        <v>308</v>
      </c>
      <c r="J89" s="404"/>
    </row>
    <row r="90" spans="1:10" ht="15.95" customHeight="1" x14ac:dyDescent="0.2">
      <c r="A90" s="275"/>
      <c r="B90" s="276"/>
      <c r="C90" s="198" t="s">
        <v>435</v>
      </c>
      <c r="D90" s="198" t="s">
        <v>458</v>
      </c>
      <c r="E90" s="226">
        <f>VLOOKUP($A86,$A$5:$I$25,8,FALSE)</f>
        <v>2</v>
      </c>
      <c r="F90" s="226" t="s">
        <v>458</v>
      </c>
      <c r="G90" s="403">
        <f>'0.시설공사비 산정근거'!$C$139</f>
        <v>71500000</v>
      </c>
      <c r="H90" s="403"/>
      <c r="I90" s="403">
        <f t="shared" si="13"/>
        <v>143</v>
      </c>
      <c r="J90" s="404"/>
    </row>
    <row r="91" spans="1:10" ht="15.95" customHeight="1" x14ac:dyDescent="0.2">
      <c r="A91" s="275"/>
      <c r="B91" s="276"/>
      <c r="C91" s="198" t="s">
        <v>187</v>
      </c>
      <c r="D91" s="226" t="s">
        <v>458</v>
      </c>
      <c r="E91" s="226">
        <f>VLOOKUP($A86,$A$5:$I$25,9,FALSE)</f>
        <v>408</v>
      </c>
      <c r="F91" s="226" t="s">
        <v>458</v>
      </c>
      <c r="G91" s="403">
        <f>'0.시설공사비 산정근거'!$C$125</f>
        <v>2800000</v>
      </c>
      <c r="H91" s="403"/>
      <c r="I91" s="403">
        <f t="shared" si="13"/>
        <v>1142</v>
      </c>
      <c r="J91" s="404"/>
    </row>
    <row r="92" spans="1:10" ht="15.95" customHeight="1" x14ac:dyDescent="0.2">
      <c r="A92" s="275"/>
      <c r="B92" s="276" t="s">
        <v>487</v>
      </c>
      <c r="C92" s="276"/>
      <c r="D92" s="226"/>
      <c r="E92" s="226">
        <f>VLOOKUP($A86,$A$5:$I$25,4,FALSE)</f>
        <v>2185</v>
      </c>
      <c r="F92" s="226" t="s">
        <v>545</v>
      </c>
      <c r="G92" s="403">
        <v>16500</v>
      </c>
      <c r="H92" s="403"/>
      <c r="I92" s="403">
        <f t="shared" si="13"/>
        <v>36</v>
      </c>
      <c r="J92" s="404"/>
    </row>
    <row r="93" spans="1:10" ht="15.95" customHeight="1" x14ac:dyDescent="0.2">
      <c r="A93" s="275" t="s">
        <v>575</v>
      </c>
      <c r="B93" s="276" t="s">
        <v>86</v>
      </c>
      <c r="C93" s="198" t="s">
        <v>85</v>
      </c>
      <c r="D93" s="198"/>
      <c r="E93" s="226"/>
      <c r="F93" s="226"/>
      <c r="G93" s="419"/>
      <c r="H93" s="419"/>
      <c r="I93" s="403">
        <f>SUM(I94:J98)</f>
        <v>1581</v>
      </c>
      <c r="J93" s="404"/>
    </row>
    <row r="94" spans="1:10" ht="15.95" customHeight="1" x14ac:dyDescent="0.2">
      <c r="A94" s="275"/>
      <c r="B94" s="276"/>
      <c r="C94" s="198" t="s">
        <v>82</v>
      </c>
      <c r="D94" s="198"/>
      <c r="E94" s="226">
        <f>VLOOKUP($A93,$A$5:$I$25,2,FALSE)</f>
        <v>50</v>
      </c>
      <c r="F94" s="225" t="s">
        <v>536</v>
      </c>
      <c r="G94" s="403" t="s">
        <v>67</v>
      </c>
      <c r="H94" s="403"/>
      <c r="I94" s="403">
        <f>ROUND(40.09*$E94^0.644*'0.시설공사비 산정근거'!$F$11,0)</f>
        <v>539</v>
      </c>
      <c r="J94" s="404"/>
    </row>
    <row r="95" spans="1:10" ht="15.95" customHeight="1" x14ac:dyDescent="0.2">
      <c r="A95" s="275"/>
      <c r="B95" s="276"/>
      <c r="C95" s="198" t="s">
        <v>235</v>
      </c>
      <c r="D95" s="198" t="s">
        <v>456</v>
      </c>
      <c r="E95" s="225">
        <f>VLOOKUP($A93,$A$5:$I$25,6,FALSE)</f>
        <v>1864.6</v>
      </c>
      <c r="F95" s="225" t="s">
        <v>537</v>
      </c>
      <c r="G95" s="403">
        <f>'0.시설공사비 산정근거'!$D$64</f>
        <v>404491</v>
      </c>
      <c r="H95" s="403"/>
      <c r="I95" s="403">
        <f>ROUND(E95*G95/10^6,0)</f>
        <v>754</v>
      </c>
      <c r="J95" s="404"/>
    </row>
    <row r="96" spans="1:10" ht="15.95" customHeight="1" x14ac:dyDescent="0.2">
      <c r="A96" s="275"/>
      <c r="B96" s="276"/>
      <c r="C96" s="198" t="s">
        <v>433</v>
      </c>
      <c r="D96" s="198" t="s">
        <v>455</v>
      </c>
      <c r="E96" s="225">
        <f>VLOOKUP($A93,$A$5:$I$25,7,FALSE)</f>
        <v>0</v>
      </c>
      <c r="F96" s="225" t="s">
        <v>537</v>
      </c>
      <c r="G96" s="403">
        <f>'0.시설공사비 산정근거'!$B$145</f>
        <v>320148</v>
      </c>
      <c r="H96" s="403"/>
      <c r="I96" s="403">
        <f t="shared" ref="I96:I99" si="14">ROUND(E96*G96/10^6,0)</f>
        <v>0</v>
      </c>
      <c r="J96" s="404"/>
    </row>
    <row r="97" spans="1:10" ht="15.95" customHeight="1" x14ac:dyDescent="0.2">
      <c r="A97" s="275"/>
      <c r="B97" s="276"/>
      <c r="C97" s="198" t="s">
        <v>435</v>
      </c>
      <c r="D97" s="198" t="s">
        <v>458</v>
      </c>
      <c r="E97" s="226">
        <f>VLOOKUP($A93,$A$5:$I$25,8,FALSE)</f>
        <v>0</v>
      </c>
      <c r="F97" s="226" t="s">
        <v>458</v>
      </c>
      <c r="G97" s="403">
        <f>'0.시설공사비 산정근거'!$C$139</f>
        <v>71500000</v>
      </c>
      <c r="H97" s="403"/>
      <c r="I97" s="403">
        <f t="shared" si="14"/>
        <v>0</v>
      </c>
      <c r="J97" s="404"/>
    </row>
    <row r="98" spans="1:10" ht="15.95" customHeight="1" x14ac:dyDescent="0.2">
      <c r="A98" s="275"/>
      <c r="B98" s="276"/>
      <c r="C98" s="198" t="s">
        <v>187</v>
      </c>
      <c r="D98" s="226" t="s">
        <v>458</v>
      </c>
      <c r="E98" s="226">
        <f>VLOOKUP($A93,$A$5:$I$25,9,FALSE)</f>
        <v>103</v>
      </c>
      <c r="F98" s="226" t="s">
        <v>458</v>
      </c>
      <c r="G98" s="403">
        <f>'0.시설공사비 산정근거'!$C$125</f>
        <v>2800000</v>
      </c>
      <c r="H98" s="403"/>
      <c r="I98" s="403">
        <f t="shared" si="14"/>
        <v>288</v>
      </c>
      <c r="J98" s="404"/>
    </row>
    <row r="99" spans="1:10" ht="15.95" customHeight="1" x14ac:dyDescent="0.2">
      <c r="A99" s="275"/>
      <c r="B99" s="276" t="s">
        <v>487</v>
      </c>
      <c r="C99" s="276"/>
      <c r="D99" s="226"/>
      <c r="E99" s="226">
        <f>VLOOKUP($A93,$A$5:$I$25,4,FALSE)</f>
        <v>1077</v>
      </c>
      <c r="F99" s="226" t="s">
        <v>545</v>
      </c>
      <c r="G99" s="403">
        <v>25400</v>
      </c>
      <c r="H99" s="403"/>
      <c r="I99" s="403">
        <f t="shared" si="14"/>
        <v>27</v>
      </c>
      <c r="J99" s="404"/>
    </row>
    <row r="100" spans="1:10" ht="15.95" customHeight="1" x14ac:dyDescent="0.2">
      <c r="A100" s="275" t="s">
        <v>576</v>
      </c>
      <c r="B100" s="276" t="s">
        <v>86</v>
      </c>
      <c r="C100" s="198" t="s">
        <v>85</v>
      </c>
      <c r="D100" s="198"/>
      <c r="E100" s="226"/>
      <c r="F100" s="226"/>
      <c r="G100" s="419"/>
      <c r="H100" s="419"/>
      <c r="I100" s="403">
        <f>SUM(I101:J105)</f>
        <v>5849</v>
      </c>
      <c r="J100" s="404"/>
    </row>
    <row r="101" spans="1:10" ht="15.95" customHeight="1" x14ac:dyDescent="0.2">
      <c r="A101" s="275"/>
      <c r="B101" s="276"/>
      <c r="C101" s="198" t="s">
        <v>82</v>
      </c>
      <c r="D101" s="198"/>
      <c r="E101" s="226">
        <f>VLOOKUP($A100,$A$5:$I$25,2,FALSE)</f>
        <v>150</v>
      </c>
      <c r="F101" s="225" t="s">
        <v>536</v>
      </c>
      <c r="G101" s="403" t="s">
        <v>67</v>
      </c>
      <c r="H101" s="403"/>
      <c r="I101" s="403">
        <f>ROUND(40.09*$E101^0.644*'0.시설공사비 산정근거'!$F$11,0)</f>
        <v>1093</v>
      </c>
      <c r="J101" s="404"/>
    </row>
    <row r="102" spans="1:10" ht="15.95" customHeight="1" x14ac:dyDescent="0.2">
      <c r="A102" s="275"/>
      <c r="B102" s="276"/>
      <c r="C102" s="198" t="s">
        <v>235</v>
      </c>
      <c r="D102" s="198" t="s">
        <v>456</v>
      </c>
      <c r="E102" s="225">
        <f>VLOOKUP($A100,$A$5:$I$25,6,FALSE)</f>
        <v>8887.1</v>
      </c>
      <c r="F102" s="225" t="s">
        <v>537</v>
      </c>
      <c r="G102" s="403">
        <f>'0.시설공사비 산정근거'!$D$64</f>
        <v>404491</v>
      </c>
      <c r="H102" s="403"/>
      <c r="I102" s="403">
        <f>ROUND(E102*G102/10^6,0)</f>
        <v>3595</v>
      </c>
      <c r="J102" s="404"/>
    </row>
    <row r="103" spans="1:10" ht="15.95" customHeight="1" x14ac:dyDescent="0.2">
      <c r="A103" s="275"/>
      <c r="B103" s="276"/>
      <c r="C103" s="198" t="s">
        <v>433</v>
      </c>
      <c r="D103" s="198" t="s">
        <v>455</v>
      </c>
      <c r="E103" s="225">
        <f>VLOOKUP($A100,$A$5:$I$25,7,FALSE)</f>
        <v>131.6</v>
      </c>
      <c r="F103" s="225" t="s">
        <v>537</v>
      </c>
      <c r="G103" s="403">
        <f>'0.시설공사비 산정근거'!$B$145</f>
        <v>320148</v>
      </c>
      <c r="H103" s="403"/>
      <c r="I103" s="403">
        <f t="shared" ref="I103:I106" si="15">ROUND(E103*G103/10^6,0)</f>
        <v>42</v>
      </c>
      <c r="J103" s="404"/>
    </row>
    <row r="104" spans="1:10" ht="15.95" customHeight="1" x14ac:dyDescent="0.2">
      <c r="A104" s="275"/>
      <c r="B104" s="276"/>
      <c r="C104" s="198" t="s">
        <v>435</v>
      </c>
      <c r="D104" s="198" t="s">
        <v>458</v>
      </c>
      <c r="E104" s="226">
        <f>VLOOKUP($A100,$A$5:$I$25,8,FALSE)</f>
        <v>1</v>
      </c>
      <c r="F104" s="226" t="s">
        <v>458</v>
      </c>
      <c r="G104" s="403">
        <f>'0.시설공사비 산정근거'!$C$139</f>
        <v>71500000</v>
      </c>
      <c r="H104" s="403"/>
      <c r="I104" s="403">
        <f t="shared" si="15"/>
        <v>72</v>
      </c>
      <c r="J104" s="404"/>
    </row>
    <row r="105" spans="1:10" ht="15.95" customHeight="1" x14ac:dyDescent="0.2">
      <c r="A105" s="275"/>
      <c r="B105" s="276"/>
      <c r="C105" s="198" t="s">
        <v>187</v>
      </c>
      <c r="D105" s="226" t="s">
        <v>458</v>
      </c>
      <c r="E105" s="226">
        <f>VLOOKUP($A100,$A$5:$I$25,9,FALSE)</f>
        <v>374</v>
      </c>
      <c r="F105" s="226" t="s">
        <v>458</v>
      </c>
      <c r="G105" s="403">
        <f>'0.시설공사비 산정근거'!$C$125</f>
        <v>2800000</v>
      </c>
      <c r="H105" s="403"/>
      <c r="I105" s="403">
        <f t="shared" si="15"/>
        <v>1047</v>
      </c>
      <c r="J105" s="404"/>
    </row>
    <row r="106" spans="1:10" ht="15.95" customHeight="1" x14ac:dyDescent="0.2">
      <c r="A106" s="275"/>
      <c r="B106" s="276" t="s">
        <v>487</v>
      </c>
      <c r="C106" s="276"/>
      <c r="D106" s="226"/>
      <c r="E106" s="226">
        <f>VLOOKUP($A100,$A$5:$I$25,4,FALSE)</f>
        <v>2032</v>
      </c>
      <c r="F106" s="226" t="s">
        <v>545</v>
      </c>
      <c r="G106" s="403">
        <v>11700</v>
      </c>
      <c r="H106" s="403"/>
      <c r="I106" s="403">
        <f t="shared" si="15"/>
        <v>24</v>
      </c>
      <c r="J106" s="404"/>
    </row>
    <row r="107" spans="1:10" ht="15.95" customHeight="1" x14ac:dyDescent="0.2">
      <c r="A107" s="275" t="s">
        <v>577</v>
      </c>
      <c r="B107" s="276" t="s">
        <v>86</v>
      </c>
      <c r="C107" s="198" t="s">
        <v>85</v>
      </c>
      <c r="D107" s="198"/>
      <c r="E107" s="226"/>
      <c r="F107" s="226"/>
      <c r="G107" s="419"/>
      <c r="H107" s="419"/>
      <c r="I107" s="403">
        <f>SUM(I108:J112)</f>
        <v>5076</v>
      </c>
      <c r="J107" s="404"/>
    </row>
    <row r="108" spans="1:10" ht="15.95" customHeight="1" x14ac:dyDescent="0.2">
      <c r="A108" s="275"/>
      <c r="B108" s="276"/>
      <c r="C108" s="198" t="s">
        <v>82</v>
      </c>
      <c r="D108" s="198"/>
      <c r="E108" s="226">
        <f>VLOOKUP($A107,$A$5:$I$25,2,FALSE)</f>
        <v>130</v>
      </c>
      <c r="F108" s="225" t="s">
        <v>536</v>
      </c>
      <c r="G108" s="403" t="s">
        <v>67</v>
      </c>
      <c r="H108" s="403"/>
      <c r="I108" s="403">
        <f>ROUND(40.09*$E108^0.644*'0.시설공사비 산정근거'!$F$11,0)</f>
        <v>997</v>
      </c>
      <c r="J108" s="404"/>
    </row>
    <row r="109" spans="1:10" ht="15.95" customHeight="1" x14ac:dyDescent="0.2">
      <c r="A109" s="275"/>
      <c r="B109" s="276"/>
      <c r="C109" s="198" t="s">
        <v>235</v>
      </c>
      <c r="D109" s="198" t="s">
        <v>456</v>
      </c>
      <c r="E109" s="225">
        <f>VLOOKUP($A107,$A$5:$I$25,6,FALSE)</f>
        <v>7532.5</v>
      </c>
      <c r="F109" s="225" t="s">
        <v>537</v>
      </c>
      <c r="G109" s="403">
        <f>'0.시설공사비 산정근거'!$D$64</f>
        <v>404491</v>
      </c>
      <c r="H109" s="403"/>
      <c r="I109" s="403">
        <f>ROUND(E109*G109/10^6,0)</f>
        <v>3047</v>
      </c>
      <c r="J109" s="404"/>
    </row>
    <row r="110" spans="1:10" ht="15.95" customHeight="1" x14ac:dyDescent="0.2">
      <c r="A110" s="275"/>
      <c r="B110" s="276"/>
      <c r="C110" s="198" t="s">
        <v>433</v>
      </c>
      <c r="D110" s="198" t="s">
        <v>455</v>
      </c>
      <c r="E110" s="225">
        <f>VLOOKUP($A107,$A$5:$I$25,7,FALSE)</f>
        <v>384.9</v>
      </c>
      <c r="F110" s="225" t="s">
        <v>537</v>
      </c>
      <c r="G110" s="403">
        <f>'0.시설공사비 산정근거'!$B$145</f>
        <v>320148</v>
      </c>
      <c r="H110" s="403"/>
      <c r="I110" s="403">
        <f t="shared" ref="I110:I113" si="16">ROUND(E110*G110/10^6,0)</f>
        <v>123</v>
      </c>
      <c r="J110" s="404"/>
    </row>
    <row r="111" spans="1:10" ht="15.95" customHeight="1" x14ac:dyDescent="0.2">
      <c r="A111" s="275"/>
      <c r="B111" s="276"/>
      <c r="C111" s="198" t="s">
        <v>435</v>
      </c>
      <c r="D111" s="198" t="s">
        <v>458</v>
      </c>
      <c r="E111" s="226">
        <f>VLOOKUP($A107,$A$5:$I$25,8,FALSE)</f>
        <v>1</v>
      </c>
      <c r="F111" s="226" t="s">
        <v>458</v>
      </c>
      <c r="G111" s="403">
        <f>'0.시설공사비 산정근거'!$C$139</f>
        <v>71500000</v>
      </c>
      <c r="H111" s="403"/>
      <c r="I111" s="403">
        <f t="shared" si="16"/>
        <v>72</v>
      </c>
      <c r="J111" s="404"/>
    </row>
    <row r="112" spans="1:10" ht="15.95" customHeight="1" x14ac:dyDescent="0.2">
      <c r="A112" s="275"/>
      <c r="B112" s="276"/>
      <c r="C112" s="198" t="s">
        <v>187</v>
      </c>
      <c r="D112" s="226" t="s">
        <v>458</v>
      </c>
      <c r="E112" s="226">
        <f>VLOOKUP($A107,$A$5:$I$25,9,FALSE)</f>
        <v>299</v>
      </c>
      <c r="F112" s="226" t="s">
        <v>458</v>
      </c>
      <c r="G112" s="403">
        <f>'0.시설공사비 산정근거'!$C$125</f>
        <v>2800000</v>
      </c>
      <c r="H112" s="403"/>
      <c r="I112" s="403">
        <f t="shared" si="16"/>
        <v>837</v>
      </c>
      <c r="J112" s="404"/>
    </row>
    <row r="113" spans="1:10" ht="15.95" customHeight="1" x14ac:dyDescent="0.2">
      <c r="A113" s="275"/>
      <c r="B113" s="276" t="s">
        <v>487</v>
      </c>
      <c r="C113" s="276"/>
      <c r="D113" s="226"/>
      <c r="E113" s="226">
        <f>VLOOKUP($A107,$A$5:$I$25,4,FALSE)</f>
        <v>1871</v>
      </c>
      <c r="F113" s="226" t="s">
        <v>545</v>
      </c>
      <c r="G113" s="403">
        <v>17900</v>
      </c>
      <c r="H113" s="403"/>
      <c r="I113" s="403">
        <f t="shared" si="16"/>
        <v>33</v>
      </c>
      <c r="J113" s="404"/>
    </row>
    <row r="114" spans="1:10" ht="15.95" customHeight="1" x14ac:dyDescent="0.2">
      <c r="A114" s="275" t="s">
        <v>578</v>
      </c>
      <c r="B114" s="276" t="s">
        <v>86</v>
      </c>
      <c r="C114" s="198" t="s">
        <v>85</v>
      </c>
      <c r="D114" s="198"/>
      <c r="E114" s="226"/>
      <c r="F114" s="226"/>
      <c r="G114" s="419"/>
      <c r="H114" s="419"/>
      <c r="I114" s="403">
        <f>SUM(I115:J119)</f>
        <v>3250</v>
      </c>
      <c r="J114" s="404"/>
    </row>
    <row r="115" spans="1:10" ht="15.95" customHeight="1" x14ac:dyDescent="0.2">
      <c r="A115" s="275"/>
      <c r="B115" s="276"/>
      <c r="C115" s="198" t="s">
        <v>82</v>
      </c>
      <c r="D115" s="198"/>
      <c r="E115" s="226">
        <f>VLOOKUP($A114,$A$5:$I$25,2,FALSE)</f>
        <v>90</v>
      </c>
      <c r="F115" s="225" t="s">
        <v>536</v>
      </c>
      <c r="G115" s="403" t="s">
        <v>67</v>
      </c>
      <c r="H115" s="403"/>
      <c r="I115" s="403">
        <f>ROUND(40.09*$E115^0.644*'0.시설공사비 산정근거'!$F$11,0)</f>
        <v>787</v>
      </c>
      <c r="J115" s="404"/>
    </row>
    <row r="116" spans="1:10" ht="15.95" customHeight="1" x14ac:dyDescent="0.2">
      <c r="A116" s="275"/>
      <c r="B116" s="276"/>
      <c r="C116" s="198" t="s">
        <v>235</v>
      </c>
      <c r="D116" s="198" t="s">
        <v>456</v>
      </c>
      <c r="E116" s="225">
        <f>VLOOKUP($A114,$A$5:$I$25,6,FALSE)</f>
        <v>4862.3999999999996</v>
      </c>
      <c r="F116" s="225" t="s">
        <v>537</v>
      </c>
      <c r="G116" s="403">
        <f>'0.시설공사비 산정근거'!$D$64</f>
        <v>404491</v>
      </c>
      <c r="H116" s="403"/>
      <c r="I116" s="403">
        <f>ROUND(E116*G116/10^6,0)</f>
        <v>1967</v>
      </c>
      <c r="J116" s="404"/>
    </row>
    <row r="117" spans="1:10" ht="15.95" customHeight="1" x14ac:dyDescent="0.2">
      <c r="A117" s="275"/>
      <c r="B117" s="276"/>
      <c r="C117" s="198" t="s">
        <v>433</v>
      </c>
      <c r="D117" s="198" t="s">
        <v>455</v>
      </c>
      <c r="E117" s="225">
        <f>VLOOKUP($A114,$A$5:$I$25,7,FALSE)</f>
        <v>0</v>
      </c>
      <c r="F117" s="225" t="s">
        <v>537</v>
      </c>
      <c r="G117" s="403">
        <f>'0.시설공사비 산정근거'!$B$145</f>
        <v>320148</v>
      </c>
      <c r="H117" s="403"/>
      <c r="I117" s="403">
        <f t="shared" ref="I117:I120" si="17">ROUND(E117*G117/10^6,0)</f>
        <v>0</v>
      </c>
      <c r="J117" s="404"/>
    </row>
    <row r="118" spans="1:10" ht="15.95" customHeight="1" x14ac:dyDescent="0.2">
      <c r="A118" s="275"/>
      <c r="B118" s="276"/>
      <c r="C118" s="198" t="s">
        <v>435</v>
      </c>
      <c r="D118" s="198" t="s">
        <v>458</v>
      </c>
      <c r="E118" s="226">
        <f>VLOOKUP($A114,$A$5:$I$25,8,FALSE)</f>
        <v>0</v>
      </c>
      <c r="F118" s="226" t="s">
        <v>458</v>
      </c>
      <c r="G118" s="403">
        <f>'0.시설공사비 산정근거'!$C$139</f>
        <v>71500000</v>
      </c>
      <c r="H118" s="403"/>
      <c r="I118" s="403">
        <f t="shared" si="17"/>
        <v>0</v>
      </c>
      <c r="J118" s="404"/>
    </row>
    <row r="119" spans="1:10" ht="15.95" customHeight="1" x14ac:dyDescent="0.2">
      <c r="A119" s="275"/>
      <c r="B119" s="276"/>
      <c r="C119" s="198" t="s">
        <v>187</v>
      </c>
      <c r="D119" s="226" t="s">
        <v>458</v>
      </c>
      <c r="E119" s="226">
        <f>VLOOKUP($A114,$A$5:$I$25,9,FALSE)</f>
        <v>177</v>
      </c>
      <c r="F119" s="226" t="s">
        <v>458</v>
      </c>
      <c r="G119" s="403">
        <f>'0.시설공사비 산정근거'!$C$125</f>
        <v>2800000</v>
      </c>
      <c r="H119" s="403"/>
      <c r="I119" s="403">
        <f t="shared" si="17"/>
        <v>496</v>
      </c>
      <c r="J119" s="404"/>
    </row>
    <row r="120" spans="1:10" ht="15.95" customHeight="1" x14ac:dyDescent="0.2">
      <c r="A120" s="275"/>
      <c r="B120" s="276" t="s">
        <v>487</v>
      </c>
      <c r="C120" s="276"/>
      <c r="D120" s="226"/>
      <c r="E120" s="226">
        <f>VLOOKUP($A114,$A$5:$I$25,4,FALSE)</f>
        <v>1513</v>
      </c>
      <c r="F120" s="226" t="s">
        <v>545</v>
      </c>
      <c r="G120" s="403">
        <v>29600</v>
      </c>
      <c r="H120" s="403"/>
      <c r="I120" s="403">
        <f t="shared" si="17"/>
        <v>45</v>
      </c>
      <c r="J120" s="404"/>
    </row>
    <row r="121" spans="1:10" ht="15.95" customHeight="1" x14ac:dyDescent="0.2">
      <c r="A121" s="275" t="s">
        <v>579</v>
      </c>
      <c r="B121" s="276" t="s">
        <v>86</v>
      </c>
      <c r="C121" s="198" t="s">
        <v>85</v>
      </c>
      <c r="D121" s="198"/>
      <c r="E121" s="226"/>
      <c r="F121" s="226"/>
      <c r="G121" s="419"/>
      <c r="H121" s="419"/>
      <c r="I121" s="403">
        <f>SUM(I122:J126)</f>
        <v>3545</v>
      </c>
      <c r="J121" s="404"/>
    </row>
    <row r="122" spans="1:10" ht="15.95" customHeight="1" x14ac:dyDescent="0.2">
      <c r="A122" s="275"/>
      <c r="B122" s="276"/>
      <c r="C122" s="198" t="s">
        <v>82</v>
      </c>
      <c r="D122" s="198"/>
      <c r="E122" s="226">
        <f>VLOOKUP($A121,$A$5:$I$25,2,FALSE)</f>
        <v>90</v>
      </c>
      <c r="F122" s="225" t="s">
        <v>536</v>
      </c>
      <c r="G122" s="403" t="s">
        <v>67</v>
      </c>
      <c r="H122" s="403"/>
      <c r="I122" s="403">
        <f>ROUND(40.09*$E122^0.644*'0.시설공사비 산정근거'!$F$11,0)</f>
        <v>787</v>
      </c>
      <c r="J122" s="404"/>
    </row>
    <row r="123" spans="1:10" ht="15.95" customHeight="1" x14ac:dyDescent="0.2">
      <c r="A123" s="275"/>
      <c r="B123" s="276"/>
      <c r="C123" s="198" t="s">
        <v>235</v>
      </c>
      <c r="D123" s="198" t="s">
        <v>456</v>
      </c>
      <c r="E123" s="225">
        <f>VLOOKUP($A121,$A$5:$I$25,6,FALSE)</f>
        <v>5419</v>
      </c>
      <c r="F123" s="225" t="s">
        <v>537</v>
      </c>
      <c r="G123" s="403">
        <f>'0.시설공사비 산정근거'!$D$64</f>
        <v>404491</v>
      </c>
      <c r="H123" s="403"/>
      <c r="I123" s="403">
        <f>ROUND(E123*G123/10^6,0)</f>
        <v>2192</v>
      </c>
      <c r="J123" s="404"/>
    </row>
    <row r="124" spans="1:10" ht="15.95" customHeight="1" x14ac:dyDescent="0.2">
      <c r="A124" s="275"/>
      <c r="B124" s="276"/>
      <c r="C124" s="198" t="s">
        <v>433</v>
      </c>
      <c r="D124" s="198" t="s">
        <v>455</v>
      </c>
      <c r="E124" s="225">
        <f>VLOOKUP($A121,$A$5:$I$25,7,FALSE)</f>
        <v>0</v>
      </c>
      <c r="F124" s="225" t="s">
        <v>537</v>
      </c>
      <c r="G124" s="403">
        <f>'0.시설공사비 산정근거'!$B$145</f>
        <v>320148</v>
      </c>
      <c r="H124" s="403"/>
      <c r="I124" s="403">
        <f t="shared" ref="I124:I127" si="18">ROUND(E124*G124/10^6,0)</f>
        <v>0</v>
      </c>
      <c r="J124" s="404"/>
    </row>
    <row r="125" spans="1:10" ht="15.95" customHeight="1" x14ac:dyDescent="0.2">
      <c r="A125" s="275"/>
      <c r="B125" s="276"/>
      <c r="C125" s="198" t="s">
        <v>435</v>
      </c>
      <c r="D125" s="198" t="s">
        <v>458</v>
      </c>
      <c r="E125" s="226">
        <f>VLOOKUP($A121,$A$5:$I$25,8,FALSE)</f>
        <v>0</v>
      </c>
      <c r="F125" s="226" t="s">
        <v>458</v>
      </c>
      <c r="G125" s="403">
        <f>'0.시설공사비 산정근거'!$C$139</f>
        <v>71500000</v>
      </c>
      <c r="H125" s="403"/>
      <c r="I125" s="403">
        <f t="shared" si="18"/>
        <v>0</v>
      </c>
      <c r="J125" s="404"/>
    </row>
    <row r="126" spans="1:10" ht="15.95" customHeight="1" x14ac:dyDescent="0.2">
      <c r="A126" s="275"/>
      <c r="B126" s="276"/>
      <c r="C126" s="198" t="s">
        <v>187</v>
      </c>
      <c r="D126" s="226" t="s">
        <v>458</v>
      </c>
      <c r="E126" s="226">
        <f>VLOOKUP($A121,$A$5:$I$25,9,FALSE)</f>
        <v>202</v>
      </c>
      <c r="F126" s="226" t="s">
        <v>458</v>
      </c>
      <c r="G126" s="403">
        <f>'0.시설공사비 산정근거'!$C$125</f>
        <v>2800000</v>
      </c>
      <c r="H126" s="403"/>
      <c r="I126" s="403">
        <f t="shared" si="18"/>
        <v>566</v>
      </c>
      <c r="J126" s="404"/>
    </row>
    <row r="127" spans="1:10" ht="15.95" customHeight="1" x14ac:dyDescent="0.2">
      <c r="A127" s="265"/>
      <c r="B127" s="263" t="s">
        <v>487</v>
      </c>
      <c r="C127" s="263"/>
      <c r="D127" s="220"/>
      <c r="E127" s="220">
        <f>VLOOKUP($A121,$A$5:$I$25,4,FALSE)</f>
        <v>1513</v>
      </c>
      <c r="F127" s="220" t="s">
        <v>545</v>
      </c>
      <c r="G127" s="420">
        <v>48600</v>
      </c>
      <c r="H127" s="420"/>
      <c r="I127" s="420">
        <f t="shared" si="18"/>
        <v>74</v>
      </c>
      <c r="J127" s="421"/>
    </row>
    <row r="128" spans="1:10" ht="15.95" customHeight="1" thickBot="1" x14ac:dyDescent="0.25">
      <c r="A128" s="255" t="s">
        <v>66</v>
      </c>
      <c r="B128" s="256"/>
      <c r="C128" s="199" t="s">
        <v>66</v>
      </c>
      <c r="D128" s="199" t="s">
        <v>454</v>
      </c>
      <c r="E128" s="208" t="s">
        <v>269</v>
      </c>
      <c r="F128" s="208" t="s">
        <v>535</v>
      </c>
      <c r="G128" s="375" t="s">
        <v>452</v>
      </c>
      <c r="H128" s="375"/>
      <c r="I128" s="375" t="s">
        <v>136</v>
      </c>
      <c r="J128" s="405"/>
    </row>
    <row r="129" spans="1:10" ht="15.95" customHeight="1" thickTop="1" x14ac:dyDescent="0.2">
      <c r="A129" s="279" t="s">
        <v>580</v>
      </c>
      <c r="B129" s="269" t="s">
        <v>86</v>
      </c>
      <c r="C129" s="205" t="s">
        <v>85</v>
      </c>
      <c r="D129" s="205"/>
      <c r="E129" s="242"/>
      <c r="F129" s="242"/>
      <c r="G129" s="422"/>
      <c r="H129" s="422"/>
      <c r="I129" s="423">
        <f>SUM(I130:J134)</f>
        <v>3668</v>
      </c>
      <c r="J129" s="424"/>
    </row>
    <row r="130" spans="1:10" ht="15.95" customHeight="1" x14ac:dyDescent="0.2">
      <c r="A130" s="275"/>
      <c r="B130" s="276"/>
      <c r="C130" s="198" t="s">
        <v>82</v>
      </c>
      <c r="D130" s="198"/>
      <c r="E130" s="226">
        <f>VLOOKUP($A129,$A$5:$I$25,2,FALSE)</f>
        <v>110</v>
      </c>
      <c r="F130" s="225" t="s">
        <v>536</v>
      </c>
      <c r="G130" s="403" t="s">
        <v>67</v>
      </c>
      <c r="H130" s="403"/>
      <c r="I130" s="403">
        <f>ROUND(40.09*$E130^0.644*'0.시설공사비 산정근거'!$F$11,0)</f>
        <v>895</v>
      </c>
      <c r="J130" s="404"/>
    </row>
    <row r="131" spans="1:10" ht="15.95" customHeight="1" x14ac:dyDescent="0.2">
      <c r="A131" s="275"/>
      <c r="B131" s="276"/>
      <c r="C131" s="198" t="s">
        <v>235</v>
      </c>
      <c r="D131" s="198" t="s">
        <v>456</v>
      </c>
      <c r="E131" s="225">
        <f>VLOOKUP($A129,$A$5:$I$25,6,FALSE)</f>
        <v>4320.3</v>
      </c>
      <c r="F131" s="225" t="s">
        <v>537</v>
      </c>
      <c r="G131" s="403">
        <f>'0.시설공사비 산정근거'!$D$64</f>
        <v>404491</v>
      </c>
      <c r="H131" s="403"/>
      <c r="I131" s="403">
        <f>ROUND(E131*G131/10^6,0)</f>
        <v>1748</v>
      </c>
      <c r="J131" s="404"/>
    </row>
    <row r="132" spans="1:10" ht="15.95" customHeight="1" x14ac:dyDescent="0.2">
      <c r="A132" s="275"/>
      <c r="B132" s="276"/>
      <c r="C132" s="198" t="s">
        <v>433</v>
      </c>
      <c r="D132" s="198" t="s">
        <v>455</v>
      </c>
      <c r="E132" s="225">
        <f>VLOOKUP($A129,$A$5:$I$25,7,FALSE)</f>
        <v>1095</v>
      </c>
      <c r="F132" s="225" t="s">
        <v>537</v>
      </c>
      <c r="G132" s="403">
        <f>'0.시설공사비 산정근거'!$B$145</f>
        <v>320148</v>
      </c>
      <c r="H132" s="403"/>
      <c r="I132" s="403">
        <f t="shared" ref="I132:I135" si="19">ROUND(E132*G132/10^6,0)</f>
        <v>351</v>
      </c>
      <c r="J132" s="404"/>
    </row>
    <row r="133" spans="1:10" ht="15.95" customHeight="1" x14ac:dyDescent="0.2">
      <c r="A133" s="275"/>
      <c r="B133" s="276"/>
      <c r="C133" s="198" t="s">
        <v>435</v>
      </c>
      <c r="D133" s="198" t="s">
        <v>458</v>
      </c>
      <c r="E133" s="226">
        <f>VLOOKUP($A129,$A$5:$I$25,8,FALSE)</f>
        <v>1</v>
      </c>
      <c r="F133" s="226" t="s">
        <v>458</v>
      </c>
      <c r="G133" s="403">
        <f>'0.시설공사비 산정근거'!$C$139</f>
        <v>71500000</v>
      </c>
      <c r="H133" s="403"/>
      <c r="I133" s="403">
        <f t="shared" si="19"/>
        <v>72</v>
      </c>
      <c r="J133" s="404"/>
    </row>
    <row r="134" spans="1:10" ht="15.95" customHeight="1" x14ac:dyDescent="0.2">
      <c r="A134" s="275"/>
      <c r="B134" s="276"/>
      <c r="C134" s="198" t="s">
        <v>187</v>
      </c>
      <c r="D134" s="226" t="s">
        <v>458</v>
      </c>
      <c r="E134" s="226">
        <f>VLOOKUP($A129,$A$5:$I$25,9,FALSE)</f>
        <v>215</v>
      </c>
      <c r="F134" s="226" t="s">
        <v>458</v>
      </c>
      <c r="G134" s="403">
        <f>'0.시설공사비 산정근거'!$C$125</f>
        <v>2800000</v>
      </c>
      <c r="H134" s="403"/>
      <c r="I134" s="403">
        <f t="shared" si="19"/>
        <v>602</v>
      </c>
      <c r="J134" s="404"/>
    </row>
    <row r="135" spans="1:10" ht="15.95" customHeight="1" x14ac:dyDescent="0.2">
      <c r="A135" s="275"/>
      <c r="B135" s="276" t="s">
        <v>487</v>
      </c>
      <c r="C135" s="276"/>
      <c r="D135" s="226"/>
      <c r="E135" s="226">
        <f>VLOOKUP($A129,$A$5:$I$25,4,FALSE)</f>
        <v>1699</v>
      </c>
      <c r="F135" s="226" t="s">
        <v>545</v>
      </c>
      <c r="G135" s="403">
        <v>26700</v>
      </c>
      <c r="H135" s="403"/>
      <c r="I135" s="403">
        <f t="shared" si="19"/>
        <v>45</v>
      </c>
      <c r="J135" s="404"/>
    </row>
    <row r="136" spans="1:10" ht="15.95" customHeight="1" x14ac:dyDescent="0.2">
      <c r="A136" s="275" t="s">
        <v>581</v>
      </c>
      <c r="B136" s="276" t="s">
        <v>86</v>
      </c>
      <c r="C136" s="198" t="s">
        <v>85</v>
      </c>
      <c r="D136" s="198"/>
      <c r="E136" s="226"/>
      <c r="F136" s="226"/>
      <c r="G136" s="419"/>
      <c r="H136" s="419"/>
      <c r="I136" s="403">
        <f>SUM(I137:J141)</f>
        <v>3997</v>
      </c>
      <c r="J136" s="404"/>
    </row>
    <row r="137" spans="1:10" ht="15.95" customHeight="1" x14ac:dyDescent="0.2">
      <c r="A137" s="275"/>
      <c r="B137" s="276"/>
      <c r="C137" s="198" t="s">
        <v>82</v>
      </c>
      <c r="D137" s="198"/>
      <c r="E137" s="226">
        <f>VLOOKUP($A136,$A$5:$I$25,2,FALSE)</f>
        <v>110</v>
      </c>
      <c r="F137" s="225" t="s">
        <v>536</v>
      </c>
      <c r="G137" s="403" t="s">
        <v>67</v>
      </c>
      <c r="H137" s="403"/>
      <c r="I137" s="403">
        <f>ROUND(40.09*$E137^0.644*'0.시설공사비 산정근거'!$F$11,0)</f>
        <v>895</v>
      </c>
      <c r="J137" s="404"/>
    </row>
    <row r="138" spans="1:10" ht="15.95" customHeight="1" x14ac:dyDescent="0.2">
      <c r="A138" s="275"/>
      <c r="B138" s="276"/>
      <c r="C138" s="198" t="s">
        <v>235</v>
      </c>
      <c r="D138" s="198" t="s">
        <v>456</v>
      </c>
      <c r="E138" s="225">
        <f>VLOOKUP($A136,$A$5:$I$25,6,FALSE)</f>
        <v>5528.3</v>
      </c>
      <c r="F138" s="225" t="s">
        <v>537</v>
      </c>
      <c r="G138" s="403">
        <f>'0.시설공사비 산정근거'!$D$64</f>
        <v>404491</v>
      </c>
      <c r="H138" s="403"/>
      <c r="I138" s="403">
        <f>ROUND(E138*G138/10^6,0)</f>
        <v>2236</v>
      </c>
      <c r="J138" s="404"/>
    </row>
    <row r="139" spans="1:10" ht="15.95" customHeight="1" x14ac:dyDescent="0.2">
      <c r="A139" s="275"/>
      <c r="B139" s="276"/>
      <c r="C139" s="198" t="s">
        <v>433</v>
      </c>
      <c r="D139" s="198" t="s">
        <v>455</v>
      </c>
      <c r="E139" s="225">
        <f>VLOOKUP($A136,$A$5:$I$25,7,FALSE)</f>
        <v>391.4</v>
      </c>
      <c r="F139" s="225" t="s">
        <v>537</v>
      </c>
      <c r="G139" s="403">
        <f>'0.시설공사비 산정근거'!$B$145</f>
        <v>320148</v>
      </c>
      <c r="H139" s="403"/>
      <c r="I139" s="403">
        <f t="shared" ref="I139:I142" si="20">ROUND(E139*G139/10^6,0)</f>
        <v>125</v>
      </c>
      <c r="J139" s="404"/>
    </row>
    <row r="140" spans="1:10" ht="15.95" customHeight="1" x14ac:dyDescent="0.2">
      <c r="A140" s="275"/>
      <c r="B140" s="276"/>
      <c r="C140" s="198" t="s">
        <v>435</v>
      </c>
      <c r="D140" s="198" t="s">
        <v>458</v>
      </c>
      <c r="E140" s="226">
        <f>VLOOKUP($A136,$A$5:$I$25,8,FALSE)</f>
        <v>1</v>
      </c>
      <c r="F140" s="226" t="s">
        <v>458</v>
      </c>
      <c r="G140" s="403">
        <f>'0.시설공사비 산정근거'!$C$139</f>
        <v>71500000</v>
      </c>
      <c r="H140" s="403"/>
      <c r="I140" s="403">
        <f t="shared" si="20"/>
        <v>72</v>
      </c>
      <c r="J140" s="404"/>
    </row>
    <row r="141" spans="1:10" ht="15.95" customHeight="1" x14ac:dyDescent="0.2">
      <c r="A141" s="275"/>
      <c r="B141" s="276"/>
      <c r="C141" s="198" t="s">
        <v>187</v>
      </c>
      <c r="D141" s="226" t="s">
        <v>458</v>
      </c>
      <c r="E141" s="226">
        <f>VLOOKUP($A136,$A$5:$I$25,9,FALSE)</f>
        <v>239</v>
      </c>
      <c r="F141" s="226" t="s">
        <v>458</v>
      </c>
      <c r="G141" s="403">
        <f>'0.시설공사비 산정근거'!$C$125</f>
        <v>2800000</v>
      </c>
      <c r="H141" s="403"/>
      <c r="I141" s="403">
        <f t="shared" si="20"/>
        <v>669</v>
      </c>
      <c r="J141" s="404"/>
    </row>
    <row r="142" spans="1:10" ht="15.95" customHeight="1" x14ac:dyDescent="0.2">
      <c r="A142" s="275"/>
      <c r="B142" s="276" t="s">
        <v>487</v>
      </c>
      <c r="C142" s="276"/>
      <c r="D142" s="226"/>
      <c r="E142" s="226">
        <f>VLOOKUP($A136,$A$5:$I$25,4,FALSE)</f>
        <v>1699</v>
      </c>
      <c r="F142" s="226" t="s">
        <v>545</v>
      </c>
      <c r="G142" s="403">
        <v>17000</v>
      </c>
      <c r="H142" s="403"/>
      <c r="I142" s="403">
        <f t="shared" si="20"/>
        <v>29</v>
      </c>
      <c r="J142" s="404"/>
    </row>
    <row r="143" spans="1:10" ht="15.95" customHeight="1" x14ac:dyDescent="0.2">
      <c r="A143" s="275" t="s">
        <v>582</v>
      </c>
      <c r="B143" s="276" t="s">
        <v>86</v>
      </c>
      <c r="C143" s="198" t="s">
        <v>85</v>
      </c>
      <c r="D143" s="198"/>
      <c r="E143" s="226"/>
      <c r="F143" s="226"/>
      <c r="G143" s="419"/>
      <c r="H143" s="419"/>
      <c r="I143" s="403">
        <f>SUM(I144:J148)</f>
        <v>2314</v>
      </c>
      <c r="J143" s="404"/>
    </row>
    <row r="144" spans="1:10" ht="15.95" customHeight="1" x14ac:dyDescent="0.2">
      <c r="A144" s="275"/>
      <c r="B144" s="276"/>
      <c r="C144" s="198" t="s">
        <v>82</v>
      </c>
      <c r="D144" s="198"/>
      <c r="E144" s="226">
        <f>VLOOKUP($A143,$A$5:$I$25,2,FALSE)</f>
        <v>60</v>
      </c>
      <c r="F144" s="225" t="s">
        <v>536</v>
      </c>
      <c r="G144" s="403" t="s">
        <v>67</v>
      </c>
      <c r="H144" s="403"/>
      <c r="I144" s="403">
        <f>ROUND(40.09*$E144^0.644*'0.시설공사비 산정근거'!$F$11,0)</f>
        <v>606</v>
      </c>
      <c r="J144" s="404"/>
    </row>
    <row r="145" spans="1:10" ht="15.95" customHeight="1" x14ac:dyDescent="0.2">
      <c r="A145" s="275"/>
      <c r="B145" s="276"/>
      <c r="C145" s="198" t="s">
        <v>235</v>
      </c>
      <c r="D145" s="198" t="s">
        <v>456</v>
      </c>
      <c r="E145" s="225">
        <f>VLOOKUP($A143,$A$5:$I$25,6,FALSE)</f>
        <v>3260.4</v>
      </c>
      <c r="F145" s="225" t="s">
        <v>537</v>
      </c>
      <c r="G145" s="403">
        <f>'0.시설공사비 산정근거'!$D$64</f>
        <v>404491</v>
      </c>
      <c r="H145" s="403"/>
      <c r="I145" s="403">
        <f>ROUND(E145*G145/10^6,0)</f>
        <v>1319</v>
      </c>
      <c r="J145" s="404"/>
    </row>
    <row r="146" spans="1:10" ht="15.95" customHeight="1" x14ac:dyDescent="0.2">
      <c r="A146" s="275"/>
      <c r="B146" s="276"/>
      <c r="C146" s="198" t="s">
        <v>433</v>
      </c>
      <c r="D146" s="198" t="s">
        <v>455</v>
      </c>
      <c r="E146" s="225">
        <f>VLOOKUP($A143,$A$5:$I$25,7,FALSE)</f>
        <v>0</v>
      </c>
      <c r="F146" s="225" t="s">
        <v>537</v>
      </c>
      <c r="G146" s="403">
        <f>'0.시설공사비 산정근거'!$B$145</f>
        <v>320148</v>
      </c>
      <c r="H146" s="403"/>
      <c r="I146" s="403">
        <f t="shared" ref="I146:I149" si="21">ROUND(E146*G146/10^6,0)</f>
        <v>0</v>
      </c>
      <c r="J146" s="404"/>
    </row>
    <row r="147" spans="1:10" ht="15.95" customHeight="1" x14ac:dyDescent="0.2">
      <c r="A147" s="275"/>
      <c r="B147" s="276"/>
      <c r="C147" s="198" t="s">
        <v>435</v>
      </c>
      <c r="D147" s="198" t="s">
        <v>458</v>
      </c>
      <c r="E147" s="226">
        <f>VLOOKUP($A143,$A$5:$I$25,8,FALSE)</f>
        <v>0</v>
      </c>
      <c r="F147" s="226" t="s">
        <v>458</v>
      </c>
      <c r="G147" s="403">
        <f>'0.시설공사비 산정근거'!$C$139</f>
        <v>71500000</v>
      </c>
      <c r="H147" s="403"/>
      <c r="I147" s="403">
        <f t="shared" si="21"/>
        <v>0</v>
      </c>
      <c r="J147" s="404"/>
    </row>
    <row r="148" spans="1:10" ht="15.95" customHeight="1" x14ac:dyDescent="0.2">
      <c r="A148" s="275"/>
      <c r="B148" s="276"/>
      <c r="C148" s="198" t="s">
        <v>187</v>
      </c>
      <c r="D148" s="226" t="s">
        <v>458</v>
      </c>
      <c r="E148" s="226">
        <f>VLOOKUP($A143,$A$5:$I$25,9,FALSE)</f>
        <v>139</v>
      </c>
      <c r="F148" s="226" t="s">
        <v>458</v>
      </c>
      <c r="G148" s="403">
        <f>'0.시설공사비 산정근거'!$C$125</f>
        <v>2800000</v>
      </c>
      <c r="H148" s="403"/>
      <c r="I148" s="403">
        <f t="shared" si="21"/>
        <v>389</v>
      </c>
      <c r="J148" s="404"/>
    </row>
    <row r="149" spans="1:10" ht="15.95" customHeight="1" x14ac:dyDescent="0.2">
      <c r="A149" s="275"/>
      <c r="B149" s="276" t="s">
        <v>487</v>
      </c>
      <c r="C149" s="276"/>
      <c r="D149" s="226"/>
      <c r="E149" s="226">
        <f>VLOOKUP($A143,$A$5:$I$25,4,FALSE)</f>
        <v>1197</v>
      </c>
      <c r="F149" s="226" t="s">
        <v>545</v>
      </c>
      <c r="G149" s="403">
        <v>11300</v>
      </c>
      <c r="H149" s="403"/>
      <c r="I149" s="403">
        <f t="shared" si="21"/>
        <v>14</v>
      </c>
      <c r="J149" s="404"/>
    </row>
    <row r="150" spans="1:10" ht="15.95" customHeight="1" x14ac:dyDescent="0.2">
      <c r="A150" s="275" t="s">
        <v>583</v>
      </c>
      <c r="B150" s="276" t="s">
        <v>86</v>
      </c>
      <c r="C150" s="198" t="s">
        <v>85</v>
      </c>
      <c r="D150" s="198"/>
      <c r="E150" s="226"/>
      <c r="F150" s="226"/>
      <c r="G150" s="419"/>
      <c r="H150" s="419"/>
      <c r="I150" s="403">
        <f>SUM(I151:J155)</f>
        <v>4948</v>
      </c>
      <c r="J150" s="404"/>
    </row>
    <row r="151" spans="1:10" ht="15.95" customHeight="1" x14ac:dyDescent="0.2">
      <c r="A151" s="275"/>
      <c r="B151" s="276"/>
      <c r="C151" s="198" t="s">
        <v>82</v>
      </c>
      <c r="D151" s="198"/>
      <c r="E151" s="226">
        <f>VLOOKUP($A150,$A$5:$I$25,2,FALSE)</f>
        <v>120</v>
      </c>
      <c r="F151" s="225" t="s">
        <v>536</v>
      </c>
      <c r="G151" s="403" t="s">
        <v>67</v>
      </c>
      <c r="H151" s="403"/>
      <c r="I151" s="403">
        <f>ROUND(40.09*$E151^0.644*'0.시설공사비 산정근거'!$F$11,0)</f>
        <v>947</v>
      </c>
      <c r="J151" s="404"/>
    </row>
    <row r="152" spans="1:10" ht="15.95" customHeight="1" x14ac:dyDescent="0.2">
      <c r="A152" s="275"/>
      <c r="B152" s="276"/>
      <c r="C152" s="198" t="s">
        <v>235</v>
      </c>
      <c r="D152" s="198" t="s">
        <v>456</v>
      </c>
      <c r="E152" s="225">
        <f>VLOOKUP($A150,$A$5:$I$25,6,FALSE)</f>
        <v>8049.4</v>
      </c>
      <c r="F152" s="225" t="s">
        <v>537</v>
      </c>
      <c r="G152" s="403">
        <f>'0.시설공사비 산정근거'!$D$64</f>
        <v>404491</v>
      </c>
      <c r="H152" s="403"/>
      <c r="I152" s="403">
        <f>ROUND(E152*G152/10^6,0)</f>
        <v>3256</v>
      </c>
      <c r="J152" s="404"/>
    </row>
    <row r="153" spans="1:10" ht="15.95" customHeight="1" x14ac:dyDescent="0.2">
      <c r="A153" s="275"/>
      <c r="B153" s="276"/>
      <c r="C153" s="198" t="s">
        <v>433</v>
      </c>
      <c r="D153" s="198" t="s">
        <v>455</v>
      </c>
      <c r="E153" s="225">
        <f>VLOOKUP($A150,$A$5:$I$25,7,FALSE)</f>
        <v>0</v>
      </c>
      <c r="F153" s="225" t="s">
        <v>537</v>
      </c>
      <c r="G153" s="403">
        <f>'0.시설공사비 산정근거'!$B$145</f>
        <v>320148</v>
      </c>
      <c r="H153" s="403"/>
      <c r="I153" s="403">
        <f t="shared" ref="I153:I156" si="22">ROUND(E153*G153/10^6,0)</f>
        <v>0</v>
      </c>
      <c r="J153" s="404"/>
    </row>
    <row r="154" spans="1:10" ht="15.95" customHeight="1" x14ac:dyDescent="0.2">
      <c r="A154" s="275"/>
      <c r="B154" s="276"/>
      <c r="C154" s="198" t="s">
        <v>435</v>
      </c>
      <c r="D154" s="198" t="s">
        <v>458</v>
      </c>
      <c r="E154" s="226">
        <f>VLOOKUP($A150,$A$5:$I$25,8,FALSE)</f>
        <v>0</v>
      </c>
      <c r="F154" s="226" t="s">
        <v>458</v>
      </c>
      <c r="G154" s="403">
        <f>'0.시설공사비 산정근거'!$C$139</f>
        <v>71500000</v>
      </c>
      <c r="H154" s="403"/>
      <c r="I154" s="403">
        <f t="shared" si="22"/>
        <v>0</v>
      </c>
      <c r="J154" s="404"/>
    </row>
    <row r="155" spans="1:10" ht="15.95" customHeight="1" x14ac:dyDescent="0.2">
      <c r="A155" s="275"/>
      <c r="B155" s="276"/>
      <c r="C155" s="198" t="s">
        <v>187</v>
      </c>
      <c r="D155" s="226" t="s">
        <v>458</v>
      </c>
      <c r="E155" s="226">
        <f>VLOOKUP($A150,$A$5:$I$25,9,FALSE)</f>
        <v>266</v>
      </c>
      <c r="F155" s="226" t="s">
        <v>458</v>
      </c>
      <c r="G155" s="403">
        <f>'0.시설공사비 산정근거'!$C$125</f>
        <v>2800000</v>
      </c>
      <c r="H155" s="403"/>
      <c r="I155" s="403">
        <f t="shared" si="22"/>
        <v>745</v>
      </c>
      <c r="J155" s="404"/>
    </row>
    <row r="156" spans="1:10" ht="15.95" customHeight="1" x14ac:dyDescent="0.2">
      <c r="A156" s="275"/>
      <c r="B156" s="276" t="s">
        <v>487</v>
      </c>
      <c r="C156" s="276"/>
      <c r="D156" s="226"/>
      <c r="E156" s="226">
        <f>VLOOKUP($A150,$A$5:$I$25,4,FALSE)</f>
        <v>1786</v>
      </c>
      <c r="F156" s="226" t="s">
        <v>545</v>
      </c>
      <c r="G156" s="403">
        <v>19400</v>
      </c>
      <c r="H156" s="403"/>
      <c r="I156" s="403">
        <f t="shared" si="22"/>
        <v>35</v>
      </c>
      <c r="J156" s="404"/>
    </row>
    <row r="157" spans="1:10" ht="15.95" customHeight="1" x14ac:dyDescent="0.2">
      <c r="A157" s="275" t="s">
        <v>584</v>
      </c>
      <c r="B157" s="276" t="s">
        <v>86</v>
      </c>
      <c r="C157" s="198" t="s">
        <v>85</v>
      </c>
      <c r="D157" s="198"/>
      <c r="E157" s="226"/>
      <c r="F157" s="226"/>
      <c r="G157" s="419"/>
      <c r="H157" s="419"/>
      <c r="I157" s="403">
        <f>SUM(I158:J162)</f>
        <v>1269</v>
      </c>
      <c r="J157" s="404"/>
    </row>
    <row r="158" spans="1:10" ht="15.95" customHeight="1" x14ac:dyDescent="0.2">
      <c r="A158" s="275"/>
      <c r="B158" s="276"/>
      <c r="C158" s="198" t="s">
        <v>82</v>
      </c>
      <c r="D158" s="198"/>
      <c r="E158" s="226">
        <f>VLOOKUP($A157,$A$5:$I$25,2,FALSE)</f>
        <v>40</v>
      </c>
      <c r="F158" s="225" t="s">
        <v>536</v>
      </c>
      <c r="G158" s="403" t="s">
        <v>67</v>
      </c>
      <c r="H158" s="403"/>
      <c r="I158" s="403">
        <f>ROUND(40.09*$E158^0.644*'0.시설공사비 산정근거'!$F$11,0)</f>
        <v>467</v>
      </c>
      <c r="J158" s="404"/>
    </row>
    <row r="159" spans="1:10" ht="15.95" customHeight="1" x14ac:dyDescent="0.2">
      <c r="A159" s="275"/>
      <c r="B159" s="276"/>
      <c r="C159" s="198" t="s">
        <v>235</v>
      </c>
      <c r="D159" s="198" t="s">
        <v>456</v>
      </c>
      <c r="E159" s="225">
        <f>VLOOKUP($A157,$A$5:$I$25,6,FALSE)</f>
        <v>1471.7</v>
      </c>
      <c r="F159" s="225" t="s">
        <v>537</v>
      </c>
      <c r="G159" s="403">
        <f>'0.시설공사비 산정근거'!$D$64</f>
        <v>404491</v>
      </c>
      <c r="H159" s="403"/>
      <c r="I159" s="403">
        <f>ROUND(E159*G159/10^6,0)</f>
        <v>595</v>
      </c>
      <c r="J159" s="404"/>
    </row>
    <row r="160" spans="1:10" ht="15.95" customHeight="1" x14ac:dyDescent="0.2">
      <c r="A160" s="275"/>
      <c r="B160" s="276"/>
      <c r="C160" s="198" t="s">
        <v>433</v>
      </c>
      <c r="D160" s="198" t="s">
        <v>455</v>
      </c>
      <c r="E160" s="225">
        <f>VLOOKUP($A157,$A$5:$I$25,7,FALSE)</f>
        <v>0</v>
      </c>
      <c r="F160" s="225" t="s">
        <v>537</v>
      </c>
      <c r="G160" s="403">
        <f>'0.시설공사비 산정근거'!$B$145</f>
        <v>320148</v>
      </c>
      <c r="H160" s="403"/>
      <c r="I160" s="403">
        <f t="shared" ref="I160:I163" si="23">ROUND(E160*G160/10^6,0)</f>
        <v>0</v>
      </c>
      <c r="J160" s="404"/>
    </row>
    <row r="161" spans="1:10" ht="15.95" customHeight="1" x14ac:dyDescent="0.2">
      <c r="A161" s="275"/>
      <c r="B161" s="276"/>
      <c r="C161" s="198" t="s">
        <v>435</v>
      </c>
      <c r="D161" s="198" t="s">
        <v>458</v>
      </c>
      <c r="E161" s="226">
        <f>VLOOKUP($A157,$A$5:$I$25,8,FALSE)</f>
        <v>0</v>
      </c>
      <c r="F161" s="226" t="s">
        <v>458</v>
      </c>
      <c r="G161" s="403">
        <f>'0.시설공사비 산정근거'!$C$139</f>
        <v>71500000</v>
      </c>
      <c r="H161" s="403"/>
      <c r="I161" s="403">
        <f t="shared" si="23"/>
        <v>0</v>
      </c>
      <c r="J161" s="404"/>
    </row>
    <row r="162" spans="1:10" ht="15.95" customHeight="1" x14ac:dyDescent="0.2">
      <c r="A162" s="275"/>
      <c r="B162" s="276"/>
      <c r="C162" s="198" t="s">
        <v>187</v>
      </c>
      <c r="D162" s="226" t="s">
        <v>458</v>
      </c>
      <c r="E162" s="226">
        <f>VLOOKUP($A157,$A$5:$I$25,9,FALSE)</f>
        <v>74</v>
      </c>
      <c r="F162" s="226" t="s">
        <v>458</v>
      </c>
      <c r="G162" s="403">
        <f>'0.시설공사비 산정근거'!$C$125</f>
        <v>2800000</v>
      </c>
      <c r="H162" s="403"/>
      <c r="I162" s="403">
        <f t="shared" si="23"/>
        <v>207</v>
      </c>
      <c r="J162" s="404"/>
    </row>
    <row r="163" spans="1:10" ht="15.95" customHeight="1" x14ac:dyDescent="0.2">
      <c r="A163" s="275"/>
      <c r="B163" s="276" t="s">
        <v>487</v>
      </c>
      <c r="C163" s="276"/>
      <c r="D163" s="226"/>
      <c r="E163" s="226">
        <f>VLOOKUP($A157,$A$5:$I$25,4,FALSE)</f>
        <v>947</v>
      </c>
      <c r="F163" s="226" t="s">
        <v>545</v>
      </c>
      <c r="G163" s="403">
        <v>18100</v>
      </c>
      <c r="H163" s="403"/>
      <c r="I163" s="403">
        <f t="shared" si="23"/>
        <v>17</v>
      </c>
      <c r="J163" s="404"/>
    </row>
    <row r="164" spans="1:10" ht="15.95" customHeight="1" x14ac:dyDescent="0.2">
      <c r="A164" s="275" t="s">
        <v>586</v>
      </c>
      <c r="B164" s="276" t="s">
        <v>86</v>
      </c>
      <c r="C164" s="198" t="s">
        <v>85</v>
      </c>
      <c r="D164" s="198"/>
      <c r="E164" s="226"/>
      <c r="F164" s="226"/>
      <c r="G164" s="419"/>
      <c r="H164" s="419"/>
      <c r="I164" s="403">
        <f>SUM(I165:J169)</f>
        <v>729</v>
      </c>
      <c r="J164" s="404"/>
    </row>
    <row r="165" spans="1:10" ht="15.95" customHeight="1" x14ac:dyDescent="0.2">
      <c r="A165" s="275"/>
      <c r="B165" s="276"/>
      <c r="C165" s="198" t="s">
        <v>82</v>
      </c>
      <c r="D165" s="198"/>
      <c r="E165" s="226">
        <f>VLOOKUP($A164,$A$5:$I$25,2,FALSE)</f>
        <v>80</v>
      </c>
      <c r="F165" s="225" t="s">
        <v>536</v>
      </c>
      <c r="G165" s="403" t="s">
        <v>67</v>
      </c>
      <c r="H165" s="403"/>
      <c r="I165" s="403">
        <f>ROUND(40.09*$E165^0.644*'0.시설공사비 산정근거'!$F$11,0)</f>
        <v>729</v>
      </c>
      <c r="J165" s="404"/>
    </row>
    <row r="166" spans="1:10" ht="15.95" customHeight="1" x14ac:dyDescent="0.2">
      <c r="A166" s="275"/>
      <c r="B166" s="276"/>
      <c r="C166" s="198" t="s">
        <v>235</v>
      </c>
      <c r="D166" s="198" t="s">
        <v>456</v>
      </c>
      <c r="E166" s="225">
        <f>VLOOKUP($A164,$A$5:$I$25,6,FALSE)</f>
        <v>0</v>
      </c>
      <c r="F166" s="225" t="s">
        <v>537</v>
      </c>
      <c r="G166" s="403">
        <f>'0.시설공사비 산정근거'!$D$64</f>
        <v>404491</v>
      </c>
      <c r="H166" s="403"/>
      <c r="I166" s="403">
        <f>ROUND(E166*G166/10^6,0)</f>
        <v>0</v>
      </c>
      <c r="J166" s="404"/>
    </row>
    <row r="167" spans="1:10" ht="15.95" customHeight="1" x14ac:dyDescent="0.2">
      <c r="A167" s="275"/>
      <c r="B167" s="276"/>
      <c r="C167" s="198" t="s">
        <v>433</v>
      </c>
      <c r="D167" s="198" t="s">
        <v>455</v>
      </c>
      <c r="E167" s="225">
        <f>VLOOKUP($A164,$A$5:$I$25,7,FALSE)</f>
        <v>0</v>
      </c>
      <c r="F167" s="225" t="s">
        <v>537</v>
      </c>
      <c r="G167" s="403">
        <f>'0.시설공사비 산정근거'!$B$145</f>
        <v>320148</v>
      </c>
      <c r="H167" s="403"/>
      <c r="I167" s="403">
        <f t="shared" ref="I167:I170" si="24">ROUND(E167*G167/10^6,0)</f>
        <v>0</v>
      </c>
      <c r="J167" s="404"/>
    </row>
    <row r="168" spans="1:10" ht="15.95" customHeight="1" x14ac:dyDescent="0.2">
      <c r="A168" s="275"/>
      <c r="B168" s="276"/>
      <c r="C168" s="198" t="s">
        <v>435</v>
      </c>
      <c r="D168" s="198" t="s">
        <v>458</v>
      </c>
      <c r="E168" s="226">
        <f>VLOOKUP($A164,$A$5:$I$25,8,FALSE)</f>
        <v>0</v>
      </c>
      <c r="F168" s="226" t="s">
        <v>458</v>
      </c>
      <c r="G168" s="403">
        <f>'0.시설공사비 산정근거'!$C$139</f>
        <v>71500000</v>
      </c>
      <c r="H168" s="403"/>
      <c r="I168" s="403">
        <f t="shared" si="24"/>
        <v>0</v>
      </c>
      <c r="J168" s="404"/>
    </row>
    <row r="169" spans="1:10" ht="15.95" customHeight="1" x14ac:dyDescent="0.2">
      <c r="A169" s="275"/>
      <c r="B169" s="276"/>
      <c r="C169" s="198" t="s">
        <v>187</v>
      </c>
      <c r="D169" s="226" t="s">
        <v>458</v>
      </c>
      <c r="E169" s="226">
        <f>VLOOKUP($A164,$A$5:$I$25,9,FALSE)</f>
        <v>0</v>
      </c>
      <c r="F169" s="226" t="s">
        <v>458</v>
      </c>
      <c r="G169" s="403">
        <f>'0.시설공사비 산정근거'!$C$125</f>
        <v>2800000</v>
      </c>
      <c r="H169" s="403"/>
      <c r="I169" s="403">
        <f t="shared" si="24"/>
        <v>0</v>
      </c>
      <c r="J169" s="404"/>
    </row>
    <row r="170" spans="1:10" ht="15.95" customHeight="1" x14ac:dyDescent="0.2">
      <c r="A170" s="275"/>
      <c r="B170" s="276" t="s">
        <v>487</v>
      </c>
      <c r="C170" s="276"/>
      <c r="D170" s="226"/>
      <c r="E170" s="226">
        <f>VLOOKUP($A164,$A$5:$I$25,4,FALSE)</f>
        <v>1413</v>
      </c>
      <c r="F170" s="226" t="s">
        <v>545</v>
      </c>
      <c r="G170" s="403">
        <v>20500</v>
      </c>
      <c r="H170" s="403"/>
      <c r="I170" s="403">
        <f t="shared" si="24"/>
        <v>29</v>
      </c>
      <c r="J170" s="404"/>
    </row>
    <row r="171" spans="1:10" ht="15.95" customHeight="1" x14ac:dyDescent="0.2">
      <c r="A171" s="275" t="s">
        <v>585</v>
      </c>
      <c r="B171" s="276" t="s">
        <v>86</v>
      </c>
      <c r="C171" s="198" t="s">
        <v>85</v>
      </c>
      <c r="D171" s="198"/>
      <c r="E171" s="226"/>
      <c r="F171" s="226"/>
      <c r="G171" s="419"/>
      <c r="H171" s="419"/>
      <c r="I171" s="403">
        <f>SUM(I172:J176)</f>
        <v>3513</v>
      </c>
      <c r="J171" s="404"/>
    </row>
    <row r="172" spans="1:10" ht="15.95" customHeight="1" x14ac:dyDescent="0.2">
      <c r="A172" s="275"/>
      <c r="B172" s="276"/>
      <c r="C172" s="198" t="s">
        <v>82</v>
      </c>
      <c r="D172" s="198"/>
      <c r="E172" s="226">
        <f>VLOOKUP($A171,$A$5:$I$25,2,FALSE)</f>
        <v>60</v>
      </c>
      <c r="F172" s="225" t="s">
        <v>536</v>
      </c>
      <c r="G172" s="403" t="s">
        <v>67</v>
      </c>
      <c r="H172" s="403"/>
      <c r="I172" s="403">
        <f>ROUND(40.09*$E172^0.644*'0.시설공사비 산정근거'!$F$11,0)</f>
        <v>606</v>
      </c>
      <c r="J172" s="404"/>
    </row>
    <row r="173" spans="1:10" ht="15.95" customHeight="1" x14ac:dyDescent="0.2">
      <c r="A173" s="275"/>
      <c r="B173" s="276"/>
      <c r="C173" s="198" t="s">
        <v>235</v>
      </c>
      <c r="D173" s="198" t="s">
        <v>456</v>
      </c>
      <c r="E173" s="225">
        <f>VLOOKUP($A171,$A$5:$I$25,6,FALSE)</f>
        <v>5568.5</v>
      </c>
      <c r="F173" s="225" t="s">
        <v>537</v>
      </c>
      <c r="G173" s="403">
        <f>'0.시설공사비 산정근거'!$D$64</f>
        <v>404491</v>
      </c>
      <c r="H173" s="403"/>
      <c r="I173" s="403">
        <f>ROUND(E173*G173/10^6,0)</f>
        <v>2252</v>
      </c>
      <c r="J173" s="404"/>
    </row>
    <row r="174" spans="1:10" ht="15.95" customHeight="1" x14ac:dyDescent="0.2">
      <c r="A174" s="275"/>
      <c r="B174" s="276"/>
      <c r="C174" s="198" t="s">
        <v>433</v>
      </c>
      <c r="D174" s="198" t="s">
        <v>455</v>
      </c>
      <c r="E174" s="225">
        <f>VLOOKUP($A171,$A$5:$I$25,7,FALSE)</f>
        <v>246.7</v>
      </c>
      <c r="F174" s="225" t="s">
        <v>537</v>
      </c>
      <c r="G174" s="403">
        <f>'0.시설공사비 산정근거'!$B$145</f>
        <v>320148</v>
      </c>
      <c r="H174" s="403"/>
      <c r="I174" s="403">
        <f t="shared" ref="I174:I177" si="25">ROUND(E174*G174/10^6,0)</f>
        <v>79</v>
      </c>
      <c r="J174" s="404"/>
    </row>
    <row r="175" spans="1:10" ht="15.95" customHeight="1" x14ac:dyDescent="0.2">
      <c r="A175" s="275"/>
      <c r="B175" s="276"/>
      <c r="C175" s="198" t="s">
        <v>435</v>
      </c>
      <c r="D175" s="198" t="s">
        <v>458</v>
      </c>
      <c r="E175" s="226">
        <f>VLOOKUP($A171,$A$5:$I$25,8,FALSE)</f>
        <v>1</v>
      </c>
      <c r="F175" s="226" t="s">
        <v>458</v>
      </c>
      <c r="G175" s="403">
        <f>'0.시설공사비 산정근거'!$C$139</f>
        <v>71500000</v>
      </c>
      <c r="H175" s="403"/>
      <c r="I175" s="403">
        <f t="shared" si="25"/>
        <v>72</v>
      </c>
      <c r="J175" s="404"/>
    </row>
    <row r="176" spans="1:10" ht="15.95" customHeight="1" x14ac:dyDescent="0.2">
      <c r="A176" s="275"/>
      <c r="B176" s="276"/>
      <c r="C176" s="198" t="s">
        <v>187</v>
      </c>
      <c r="D176" s="226" t="s">
        <v>458</v>
      </c>
      <c r="E176" s="226">
        <f>VLOOKUP($A171,$A$5:$I$25,9,FALSE)</f>
        <v>180</v>
      </c>
      <c r="F176" s="226" t="s">
        <v>458</v>
      </c>
      <c r="G176" s="403">
        <f>'0.시설공사비 산정근거'!$C$125</f>
        <v>2800000</v>
      </c>
      <c r="H176" s="403"/>
      <c r="I176" s="403">
        <f t="shared" si="25"/>
        <v>504</v>
      </c>
      <c r="J176" s="404"/>
    </row>
    <row r="177" spans="1:10" ht="15.95" customHeight="1" x14ac:dyDescent="0.2">
      <c r="A177" s="265"/>
      <c r="B177" s="263" t="s">
        <v>487</v>
      </c>
      <c r="C177" s="263"/>
      <c r="D177" s="220"/>
      <c r="E177" s="220">
        <f>VLOOKUP($A171,$A$5:$I$25,4,FALSE)</f>
        <v>1197</v>
      </c>
      <c r="F177" s="220" t="s">
        <v>545</v>
      </c>
      <c r="G177" s="420">
        <v>26100</v>
      </c>
      <c r="H177" s="420"/>
      <c r="I177" s="420">
        <f t="shared" si="25"/>
        <v>31</v>
      </c>
      <c r="J177" s="421"/>
    </row>
    <row r="178" spans="1:10" ht="15.95" customHeight="1" x14ac:dyDescent="0.2">
      <c r="A178" s="57"/>
      <c r="B178" s="163"/>
      <c r="C178" s="163"/>
      <c r="D178" s="162"/>
      <c r="E178" s="162"/>
      <c r="F178" s="162"/>
      <c r="G178" s="162"/>
      <c r="H178" s="162"/>
      <c r="I178" s="162"/>
    </row>
    <row r="179" spans="1:10" ht="15.95" customHeight="1" x14ac:dyDescent="0.2">
      <c r="A179" s="5" t="s">
        <v>92</v>
      </c>
      <c r="B179" s="5"/>
      <c r="C179" s="4"/>
      <c r="D179" s="4"/>
      <c r="E179" s="4"/>
      <c r="F179" s="4"/>
    </row>
    <row r="180" spans="1:10" ht="14.45" customHeight="1" x14ac:dyDescent="0.2">
      <c r="A180" s="413" t="s">
        <v>189</v>
      </c>
      <c r="B180" s="414"/>
      <c r="C180" s="385" t="s">
        <v>71</v>
      </c>
      <c r="D180" s="385"/>
      <c r="E180" s="385"/>
      <c r="F180" s="385" t="s">
        <v>72</v>
      </c>
      <c r="G180" s="385"/>
      <c r="H180" s="385"/>
      <c r="I180" s="411" t="s">
        <v>73</v>
      </c>
      <c r="J180" s="361" t="s">
        <v>472</v>
      </c>
    </row>
    <row r="181" spans="1:10" ht="14.45" customHeight="1" thickBot="1" x14ac:dyDescent="0.25">
      <c r="A181" s="415"/>
      <c r="B181" s="416"/>
      <c r="C181" s="34" t="s">
        <v>74</v>
      </c>
      <c r="D181" s="34" t="s">
        <v>75</v>
      </c>
      <c r="E181" s="34" t="s">
        <v>76</v>
      </c>
      <c r="F181" s="34" t="s">
        <v>74</v>
      </c>
      <c r="G181" s="34" t="s">
        <v>75</v>
      </c>
      <c r="H181" s="34" t="s">
        <v>76</v>
      </c>
      <c r="I181" s="412"/>
      <c r="J181" s="362"/>
    </row>
    <row r="182" spans="1:10" s="22" customFormat="1" ht="14.45" customHeight="1" thickTop="1" x14ac:dyDescent="0.2">
      <c r="A182" s="18" t="s">
        <v>306</v>
      </c>
      <c r="B182" s="19" t="s">
        <v>190</v>
      </c>
      <c r="C182" s="20"/>
      <c r="D182" s="20"/>
      <c r="E182" s="20"/>
      <c r="F182" s="20"/>
      <c r="G182" s="20"/>
      <c r="H182" s="20"/>
      <c r="I182" s="193">
        <f>SUM(I183:I186)</f>
        <v>122</v>
      </c>
      <c r="J182" s="21"/>
    </row>
    <row r="183" spans="1:10" s="22" customFormat="1" ht="14.45" customHeight="1" x14ac:dyDescent="0.2">
      <c r="A183" s="23" t="str">
        <f>A182</f>
        <v>황소(증설)</v>
      </c>
      <c r="B183" s="26" t="s">
        <v>78</v>
      </c>
      <c r="C183" s="27">
        <f t="shared" ref="C183:C233" si="26">ROUNDDOWN(D183,-3)</f>
        <v>1000</v>
      </c>
      <c r="D183" s="27">
        <f>I29</f>
        <v>1835</v>
      </c>
      <c r="E183" s="27">
        <f t="shared" ref="E183:E228" si="27">ROUNDUP(D183,-3)</f>
        <v>2000</v>
      </c>
      <c r="F183" s="28">
        <f>VLOOKUP(C183,'0.시설공사비 산정근거'!$A$150:$F$166,2,FALSE)</f>
        <v>1.69</v>
      </c>
      <c r="G183" s="28">
        <f>ROUND(F183-(D183-C183)*(F183-H183)/(E183-C183),2)</f>
        <v>1.57</v>
      </c>
      <c r="H183" s="28">
        <f>VLOOKUP(E183,'0.시설공사비 산정근거'!$A$150:$F$166,2,FALSE)</f>
        <v>1.55</v>
      </c>
      <c r="I183" s="194">
        <f>ROUND(D183*G183/100,0)</f>
        <v>29</v>
      </c>
      <c r="J183" s="29"/>
    </row>
    <row r="184" spans="1:10" s="22" customFormat="1" ht="14.45" customHeight="1" x14ac:dyDescent="0.2">
      <c r="A184" s="24" t="str">
        <f t="shared" ref="A184:A186" si="28">A183</f>
        <v>황소(증설)</v>
      </c>
      <c r="B184" s="26" t="s">
        <v>79</v>
      </c>
      <c r="C184" s="27">
        <f t="shared" ref="C184:C185" si="29">C183</f>
        <v>1000</v>
      </c>
      <c r="D184" s="27">
        <f t="shared" ref="D184:E186" si="30">D183</f>
        <v>1835</v>
      </c>
      <c r="E184" s="27">
        <f t="shared" si="30"/>
        <v>2000</v>
      </c>
      <c r="F184" s="28">
        <f>VLOOKUP(C184,'0.시설공사비 산정근거'!$A$150:$F$166,3,FALSE)</f>
        <v>3.38</v>
      </c>
      <c r="G184" s="28">
        <f>ROUND(F184-(D184-C184)*(F184-H184)/(E184-C184),2)</f>
        <v>3.15</v>
      </c>
      <c r="H184" s="28">
        <f>VLOOKUP(E184,'0.시설공사비 산정근거'!$A$150:$F$166,3,FALSE)</f>
        <v>3.11</v>
      </c>
      <c r="I184" s="194">
        <f>ROUND(D184*G184/100,0)</f>
        <v>58</v>
      </c>
      <c r="J184" s="29"/>
    </row>
    <row r="185" spans="1:10" s="22" customFormat="1" ht="14.45" customHeight="1" x14ac:dyDescent="0.2">
      <c r="A185" s="24" t="str">
        <f t="shared" si="28"/>
        <v>황소(증설)</v>
      </c>
      <c r="B185" s="26" t="s">
        <v>80</v>
      </c>
      <c r="C185" s="27">
        <f t="shared" si="29"/>
        <v>1000</v>
      </c>
      <c r="D185" s="27">
        <f t="shared" si="30"/>
        <v>1835</v>
      </c>
      <c r="E185" s="27">
        <f t="shared" si="30"/>
        <v>2000</v>
      </c>
      <c r="F185" s="28">
        <f>VLOOKUP(C185,'0.시설공사비 산정근거'!$A$150:$F$166,4,FALSE)</f>
        <v>1.66</v>
      </c>
      <c r="G185" s="28">
        <f>ROUND(F185-(D185-C185)*(F185-H185)/(E185-C185),2)</f>
        <v>1.55</v>
      </c>
      <c r="H185" s="28">
        <f>VLOOKUP(E185,'0.시설공사비 산정근거'!$A$150:$F$166,4,FALSE)</f>
        <v>1.53</v>
      </c>
      <c r="I185" s="194">
        <f>ROUND(D185*G185/100,0)</f>
        <v>28</v>
      </c>
      <c r="J185" s="29"/>
    </row>
    <row r="186" spans="1:10" s="22" customFormat="1" ht="14.45" customHeight="1" x14ac:dyDescent="0.2">
      <c r="A186" s="25" t="str">
        <f t="shared" si="28"/>
        <v>황소(증설)</v>
      </c>
      <c r="B186" s="26" t="s">
        <v>81</v>
      </c>
      <c r="C186" s="27">
        <f t="shared" ref="C186" si="31">C184</f>
        <v>1000</v>
      </c>
      <c r="D186" s="27">
        <f t="shared" si="30"/>
        <v>1835</v>
      </c>
      <c r="E186" s="27">
        <f t="shared" si="30"/>
        <v>2000</v>
      </c>
      <c r="F186" s="28">
        <f>VLOOKUP(C186,'0.시설공사비 산정근거'!$A$150:$F$166,6,FALSE)</f>
        <v>0.63</v>
      </c>
      <c r="G186" s="28">
        <f>ROUND(F186-(D186-C186)*(F186-H186)/(E186-C186),2)</f>
        <v>0.4</v>
      </c>
      <c r="H186" s="28">
        <f>VLOOKUP(E186,'0.시설공사비 산정근거'!$A$150:$F$166,6,FALSE)</f>
        <v>0.36</v>
      </c>
      <c r="I186" s="194">
        <f>ROUND(D186*G186/100,0)</f>
        <v>7</v>
      </c>
      <c r="J186" s="29"/>
    </row>
    <row r="187" spans="1:10" s="22" customFormat="1" ht="14.45" customHeight="1" x14ac:dyDescent="0.2">
      <c r="A187" s="18" t="s">
        <v>307</v>
      </c>
      <c r="B187" s="19" t="s">
        <v>190</v>
      </c>
      <c r="C187" s="20"/>
      <c r="D187" s="20"/>
      <c r="E187" s="20"/>
      <c r="F187" s="20"/>
      <c r="G187" s="20"/>
      <c r="H187" s="20"/>
      <c r="I187" s="193">
        <f>SUM(I188:I191)</f>
        <v>304</v>
      </c>
      <c r="J187" s="21"/>
    </row>
    <row r="188" spans="1:10" s="22" customFormat="1" ht="14.45" customHeight="1" x14ac:dyDescent="0.2">
      <c r="A188" s="23" t="str">
        <f>A187</f>
        <v>봉곡</v>
      </c>
      <c r="B188" s="26" t="s">
        <v>78</v>
      </c>
      <c r="C188" s="27">
        <v>3000</v>
      </c>
      <c r="D188" s="27">
        <f>I36</f>
        <v>4958</v>
      </c>
      <c r="E188" s="27">
        <f t="shared" si="27"/>
        <v>5000</v>
      </c>
      <c r="F188" s="28">
        <f>VLOOKUP(C188,'0.시설공사비 산정근거'!$A$150:$F$166,2,FALSE)</f>
        <v>1.5</v>
      </c>
      <c r="G188" s="28">
        <f>ROUND(F188-(D188-C188)*(F188-H188)/(E188-C188),2)</f>
        <v>1.47</v>
      </c>
      <c r="H188" s="28">
        <f>VLOOKUP(E188,'0.시설공사비 산정근거'!$A$150:$F$166,2,FALSE)</f>
        <v>1.47</v>
      </c>
      <c r="I188" s="194">
        <f>ROUND(D188*G188/100,0)</f>
        <v>73</v>
      </c>
      <c r="J188" s="29"/>
    </row>
    <row r="189" spans="1:10" s="22" customFormat="1" ht="14.45" customHeight="1" x14ac:dyDescent="0.2">
      <c r="A189" s="24" t="str">
        <f t="shared" ref="A189:A191" si="32">A188</f>
        <v>봉곡</v>
      </c>
      <c r="B189" s="26" t="s">
        <v>79</v>
      </c>
      <c r="C189" s="27">
        <f t="shared" ref="C189:C190" si="33">C188</f>
        <v>3000</v>
      </c>
      <c r="D189" s="27">
        <f t="shared" ref="D189:D191" si="34">D188</f>
        <v>4958</v>
      </c>
      <c r="E189" s="27">
        <f t="shared" ref="E189:E191" si="35">E188</f>
        <v>5000</v>
      </c>
      <c r="F189" s="28">
        <f>VLOOKUP(C189,'0.시설공사비 산정근거'!$A$150:$F$166,3,FALSE)</f>
        <v>3</v>
      </c>
      <c r="G189" s="28">
        <f>ROUND(F189-(D189-C189)*(F189-H189)/(E189-C189),2)</f>
        <v>2.94</v>
      </c>
      <c r="H189" s="28">
        <f>VLOOKUP(E189,'0.시설공사비 산정근거'!$A$150:$F$166,3,FALSE)</f>
        <v>2.94</v>
      </c>
      <c r="I189" s="194">
        <f>ROUND(D189*G189/100,0)</f>
        <v>146</v>
      </c>
      <c r="J189" s="29"/>
    </row>
    <row r="190" spans="1:10" s="22" customFormat="1" ht="14.45" customHeight="1" x14ac:dyDescent="0.2">
      <c r="A190" s="24" t="str">
        <f t="shared" si="32"/>
        <v>봉곡</v>
      </c>
      <c r="B190" s="26" t="s">
        <v>80</v>
      </c>
      <c r="C190" s="27">
        <f t="shared" si="33"/>
        <v>3000</v>
      </c>
      <c r="D190" s="27">
        <f t="shared" si="34"/>
        <v>4958</v>
      </c>
      <c r="E190" s="27">
        <f t="shared" si="35"/>
        <v>5000</v>
      </c>
      <c r="F190" s="28">
        <f>VLOOKUP(C190,'0.시설공사비 산정근거'!$A$150:$F$166,4,FALSE)</f>
        <v>1.48</v>
      </c>
      <c r="G190" s="28">
        <f>ROUND(F190-(D190-C190)*(F190-H190)/(E190-C190),2)</f>
        <v>1.45</v>
      </c>
      <c r="H190" s="28">
        <f>VLOOKUP(E190,'0.시설공사비 산정근거'!$A$150:$F$166,4,FALSE)</f>
        <v>1.45</v>
      </c>
      <c r="I190" s="194">
        <f>ROUND(D190*G190/100,0)</f>
        <v>72</v>
      </c>
      <c r="J190" s="29"/>
    </row>
    <row r="191" spans="1:10" s="22" customFormat="1" ht="14.45" customHeight="1" x14ac:dyDescent="0.2">
      <c r="A191" s="25" t="str">
        <f t="shared" si="32"/>
        <v>봉곡</v>
      </c>
      <c r="B191" s="26" t="s">
        <v>81</v>
      </c>
      <c r="C191" s="27">
        <f t="shared" ref="C191" si="36">C189</f>
        <v>3000</v>
      </c>
      <c r="D191" s="27">
        <f t="shared" si="34"/>
        <v>4958</v>
      </c>
      <c r="E191" s="27">
        <f t="shared" si="35"/>
        <v>5000</v>
      </c>
      <c r="F191" s="28">
        <f>VLOOKUP(C191,'0.시설공사비 산정근거'!$A$150:$F$166,6,FALSE)</f>
        <v>0.36</v>
      </c>
      <c r="G191" s="28">
        <f>ROUND(F191-(D191-C191)*(F191-H191)/(E191-C191),2)</f>
        <v>0.27</v>
      </c>
      <c r="H191" s="28">
        <f>VLOOKUP(E191,'0.시설공사비 산정근거'!$A$150:$F$166,6,FALSE)</f>
        <v>0.27</v>
      </c>
      <c r="I191" s="194">
        <f>ROUND(D191*G191/100,0)</f>
        <v>13</v>
      </c>
      <c r="J191" s="29"/>
    </row>
    <row r="192" spans="1:10" s="22" customFormat="1" ht="14.45" customHeight="1" x14ac:dyDescent="0.2">
      <c r="A192" s="18" t="s">
        <v>308</v>
      </c>
      <c r="B192" s="19" t="s">
        <v>190</v>
      </c>
      <c r="C192" s="20"/>
      <c r="D192" s="20"/>
      <c r="E192" s="20"/>
      <c r="F192" s="20"/>
      <c r="G192" s="20"/>
      <c r="H192" s="20"/>
      <c r="I192" s="193">
        <f>SUM(I193:I196)</f>
        <v>125</v>
      </c>
      <c r="J192" s="21"/>
    </row>
    <row r="193" spans="1:10" s="22" customFormat="1" ht="14.45" customHeight="1" x14ac:dyDescent="0.2">
      <c r="A193" s="23" t="str">
        <f>A192</f>
        <v>운곡</v>
      </c>
      <c r="B193" s="26" t="s">
        <v>78</v>
      </c>
      <c r="C193" s="27">
        <f t="shared" si="26"/>
        <v>1000</v>
      </c>
      <c r="D193" s="27">
        <f>I43</f>
        <v>1884</v>
      </c>
      <c r="E193" s="27">
        <f t="shared" si="27"/>
        <v>2000</v>
      </c>
      <c r="F193" s="28">
        <f>VLOOKUP(C193,'0.시설공사비 산정근거'!$A$150:$F$166,2,FALSE)</f>
        <v>1.69</v>
      </c>
      <c r="G193" s="28">
        <f>ROUND(F193-(D193-C193)*(F193-H193)/(E193-C193),2)</f>
        <v>1.57</v>
      </c>
      <c r="H193" s="28">
        <f>VLOOKUP(E193,'0.시설공사비 산정근거'!$A$150:$F$166,2,FALSE)</f>
        <v>1.55</v>
      </c>
      <c r="I193" s="194">
        <f>ROUND(D193*G193/100,0)</f>
        <v>30</v>
      </c>
      <c r="J193" s="29"/>
    </row>
    <row r="194" spans="1:10" s="22" customFormat="1" ht="14.45" customHeight="1" x14ac:dyDescent="0.2">
      <c r="A194" s="24" t="str">
        <f t="shared" ref="A194:A196" si="37">A193</f>
        <v>운곡</v>
      </c>
      <c r="B194" s="26" t="s">
        <v>79</v>
      </c>
      <c r="C194" s="27">
        <f t="shared" ref="C194:C195" si="38">C193</f>
        <v>1000</v>
      </c>
      <c r="D194" s="27">
        <f t="shared" ref="D194:D196" si="39">D193</f>
        <v>1884</v>
      </c>
      <c r="E194" s="27">
        <f t="shared" ref="E194:E196" si="40">E193</f>
        <v>2000</v>
      </c>
      <c r="F194" s="28">
        <f>VLOOKUP(C194,'0.시설공사비 산정근거'!$A$150:$F$166,3,FALSE)</f>
        <v>3.38</v>
      </c>
      <c r="G194" s="28">
        <f>ROUND(F194-(D194-C194)*(F194-H194)/(E194-C194),2)</f>
        <v>3.14</v>
      </c>
      <c r="H194" s="28">
        <f>VLOOKUP(E194,'0.시설공사비 산정근거'!$A$150:$F$166,3,FALSE)</f>
        <v>3.11</v>
      </c>
      <c r="I194" s="194">
        <f>ROUND(D194*G194/100,0)</f>
        <v>59</v>
      </c>
      <c r="J194" s="29"/>
    </row>
    <row r="195" spans="1:10" s="22" customFormat="1" ht="14.45" customHeight="1" x14ac:dyDescent="0.2">
      <c r="A195" s="24" t="str">
        <f t="shared" si="37"/>
        <v>운곡</v>
      </c>
      <c r="B195" s="26" t="s">
        <v>80</v>
      </c>
      <c r="C195" s="27">
        <f t="shared" si="38"/>
        <v>1000</v>
      </c>
      <c r="D195" s="27">
        <f t="shared" si="39"/>
        <v>1884</v>
      </c>
      <c r="E195" s="27">
        <f t="shared" si="40"/>
        <v>2000</v>
      </c>
      <c r="F195" s="28">
        <f>VLOOKUP(C195,'0.시설공사비 산정근거'!$A$150:$F$166,4,FALSE)</f>
        <v>1.66</v>
      </c>
      <c r="G195" s="28">
        <f>ROUND(F195-(D195-C195)*(F195-H195)/(E195-C195),2)</f>
        <v>1.55</v>
      </c>
      <c r="H195" s="28">
        <f>VLOOKUP(E195,'0.시설공사비 산정근거'!$A$150:$F$166,4,FALSE)</f>
        <v>1.53</v>
      </c>
      <c r="I195" s="194">
        <f>ROUND(D195*G195/100,0)</f>
        <v>29</v>
      </c>
      <c r="J195" s="29"/>
    </row>
    <row r="196" spans="1:10" s="22" customFormat="1" ht="14.45" customHeight="1" x14ac:dyDescent="0.2">
      <c r="A196" s="25" t="str">
        <f t="shared" si="37"/>
        <v>운곡</v>
      </c>
      <c r="B196" s="26" t="s">
        <v>81</v>
      </c>
      <c r="C196" s="27">
        <f t="shared" ref="C196" si="41">C194</f>
        <v>1000</v>
      </c>
      <c r="D196" s="27">
        <f t="shared" si="39"/>
        <v>1884</v>
      </c>
      <c r="E196" s="27">
        <f t="shared" si="40"/>
        <v>2000</v>
      </c>
      <c r="F196" s="28">
        <f>VLOOKUP(C196,'0.시설공사비 산정근거'!$A$150:$F$166,6,FALSE)</f>
        <v>0.63</v>
      </c>
      <c r="G196" s="28">
        <f>ROUND(F196-(D196-C196)*(F196-H196)/(E196-C196),2)</f>
        <v>0.39</v>
      </c>
      <c r="H196" s="28">
        <f>VLOOKUP(E196,'0.시설공사비 산정근거'!$A$150:$F$166,6,FALSE)</f>
        <v>0.36</v>
      </c>
      <c r="I196" s="194">
        <f>ROUND(D196*G196/100,0)</f>
        <v>7</v>
      </c>
      <c r="J196" s="29"/>
    </row>
    <row r="197" spans="1:10" s="22" customFormat="1" ht="14.45" customHeight="1" x14ac:dyDescent="0.2">
      <c r="A197" s="18" t="s">
        <v>309</v>
      </c>
      <c r="B197" s="19" t="s">
        <v>190</v>
      </c>
      <c r="C197" s="20"/>
      <c r="D197" s="20"/>
      <c r="E197" s="20"/>
      <c r="F197" s="20"/>
      <c r="G197" s="20"/>
      <c r="H197" s="20"/>
      <c r="I197" s="193">
        <f>SUM(I198:I201)</f>
        <v>115</v>
      </c>
      <c r="J197" s="21"/>
    </row>
    <row r="198" spans="1:10" s="22" customFormat="1" ht="14.45" customHeight="1" x14ac:dyDescent="0.2">
      <c r="A198" s="23" t="str">
        <f>A197</f>
        <v>초곡</v>
      </c>
      <c r="B198" s="26" t="s">
        <v>78</v>
      </c>
      <c r="C198" s="27">
        <f t="shared" si="26"/>
        <v>1000</v>
      </c>
      <c r="D198" s="27">
        <f>I50</f>
        <v>1682</v>
      </c>
      <c r="E198" s="27">
        <f t="shared" si="27"/>
        <v>2000</v>
      </c>
      <c r="F198" s="28">
        <f>VLOOKUP(C198,'0.시설공사비 산정근거'!$A$150:$F$166,2,FALSE)</f>
        <v>1.69</v>
      </c>
      <c r="G198" s="28">
        <f>ROUND(F198-(D198-C198)*(F198-H198)/(E198-C198),2)</f>
        <v>1.59</v>
      </c>
      <c r="H198" s="28">
        <f>VLOOKUP(E198,'0.시설공사비 산정근거'!$A$150:$F$166,2,FALSE)</f>
        <v>1.55</v>
      </c>
      <c r="I198" s="194">
        <f>ROUND(D198*G198/100,0)</f>
        <v>27</v>
      </c>
      <c r="J198" s="29"/>
    </row>
    <row r="199" spans="1:10" s="22" customFormat="1" ht="14.45" customHeight="1" x14ac:dyDescent="0.2">
      <c r="A199" s="24" t="str">
        <f t="shared" ref="A199:A201" si="42">A198</f>
        <v>초곡</v>
      </c>
      <c r="B199" s="26" t="s">
        <v>79</v>
      </c>
      <c r="C199" s="27">
        <f t="shared" ref="C199:C200" si="43">C198</f>
        <v>1000</v>
      </c>
      <c r="D199" s="27">
        <f t="shared" ref="D199:D201" si="44">D198</f>
        <v>1682</v>
      </c>
      <c r="E199" s="27">
        <f t="shared" ref="E199:E201" si="45">E198</f>
        <v>2000</v>
      </c>
      <c r="F199" s="28">
        <f>VLOOKUP(C199,'0.시설공사비 산정근거'!$A$150:$F$166,3,FALSE)</f>
        <v>3.38</v>
      </c>
      <c r="G199" s="28">
        <f>ROUND(F199-(D199-C199)*(F199-H199)/(E199-C199),2)</f>
        <v>3.2</v>
      </c>
      <c r="H199" s="28">
        <f>VLOOKUP(E199,'0.시설공사비 산정근거'!$A$150:$F$166,3,FALSE)</f>
        <v>3.11</v>
      </c>
      <c r="I199" s="194">
        <f>ROUND(D199*G199/100,0)</f>
        <v>54</v>
      </c>
      <c r="J199" s="29"/>
    </row>
    <row r="200" spans="1:10" s="22" customFormat="1" ht="14.45" customHeight="1" x14ac:dyDescent="0.2">
      <c r="A200" s="24" t="str">
        <f t="shared" si="42"/>
        <v>초곡</v>
      </c>
      <c r="B200" s="26" t="s">
        <v>80</v>
      </c>
      <c r="C200" s="27">
        <f t="shared" si="43"/>
        <v>1000</v>
      </c>
      <c r="D200" s="27">
        <f t="shared" si="44"/>
        <v>1682</v>
      </c>
      <c r="E200" s="27">
        <f t="shared" si="45"/>
        <v>2000</v>
      </c>
      <c r="F200" s="28">
        <f>VLOOKUP(C200,'0.시설공사비 산정근거'!$A$150:$F$166,4,FALSE)</f>
        <v>1.66</v>
      </c>
      <c r="G200" s="28">
        <f>ROUND(F200-(D200-C200)*(F200-H200)/(E200-C200),2)</f>
        <v>1.57</v>
      </c>
      <c r="H200" s="28">
        <f>VLOOKUP(E200,'0.시설공사비 산정근거'!$A$150:$F$166,4,FALSE)</f>
        <v>1.53</v>
      </c>
      <c r="I200" s="194">
        <f>ROUND(D200*G200/100,0)</f>
        <v>26</v>
      </c>
      <c r="J200" s="29"/>
    </row>
    <row r="201" spans="1:10" s="22" customFormat="1" ht="14.45" customHeight="1" x14ac:dyDescent="0.2">
      <c r="A201" s="25" t="str">
        <f t="shared" si="42"/>
        <v>초곡</v>
      </c>
      <c r="B201" s="26" t="s">
        <v>81</v>
      </c>
      <c r="C201" s="27">
        <f t="shared" ref="C201" si="46">C199</f>
        <v>1000</v>
      </c>
      <c r="D201" s="27">
        <f t="shared" si="44"/>
        <v>1682</v>
      </c>
      <c r="E201" s="27">
        <f t="shared" si="45"/>
        <v>2000</v>
      </c>
      <c r="F201" s="28">
        <f>VLOOKUP(C201,'0.시설공사비 산정근거'!$A$150:$F$166,6,FALSE)</f>
        <v>0.63</v>
      </c>
      <c r="G201" s="28">
        <f>ROUND(F201-(D201-C201)*(F201-H201)/(E201-C201),2)</f>
        <v>0.45</v>
      </c>
      <c r="H201" s="28">
        <f>VLOOKUP(E201,'0.시설공사비 산정근거'!$A$150:$F$166,6,FALSE)</f>
        <v>0.36</v>
      </c>
      <c r="I201" s="194">
        <f>ROUND(D201*G201/100,0)</f>
        <v>8</v>
      </c>
      <c r="J201" s="29"/>
    </row>
    <row r="202" spans="1:10" s="22" customFormat="1" ht="14.45" customHeight="1" x14ac:dyDescent="0.2">
      <c r="A202" s="18" t="s">
        <v>310</v>
      </c>
      <c r="B202" s="19" t="s">
        <v>190</v>
      </c>
      <c r="C202" s="20"/>
      <c r="D202" s="20"/>
      <c r="E202" s="20"/>
      <c r="F202" s="20"/>
      <c r="G202" s="20"/>
      <c r="H202" s="20"/>
      <c r="I202" s="193">
        <f>SUM(I203:I206)</f>
        <v>242</v>
      </c>
      <c r="J202" s="21"/>
    </row>
    <row r="203" spans="1:10" s="22" customFormat="1" ht="14.45" customHeight="1" x14ac:dyDescent="0.2">
      <c r="A203" s="23" t="str">
        <f>A202</f>
        <v>구야</v>
      </c>
      <c r="B203" s="26" t="s">
        <v>78</v>
      </c>
      <c r="C203" s="27">
        <f t="shared" si="26"/>
        <v>3000</v>
      </c>
      <c r="D203" s="27">
        <f>I57</f>
        <v>3874</v>
      </c>
      <c r="E203" s="27">
        <v>5000</v>
      </c>
      <c r="F203" s="28">
        <f>VLOOKUP(C203,'0.시설공사비 산정근거'!$A$150:$F$166,2,FALSE)</f>
        <v>1.5</v>
      </c>
      <c r="G203" s="28">
        <f>ROUND(F203-(D203-C203)*(F203-H203)/(E203-C203),2)</f>
        <v>1.49</v>
      </c>
      <c r="H203" s="28">
        <f>VLOOKUP(E203,'0.시설공사비 산정근거'!$A$150:$F$166,2,FALSE)</f>
        <v>1.47</v>
      </c>
      <c r="I203" s="194">
        <f>ROUND(D203*G203/100,0)</f>
        <v>58</v>
      </c>
      <c r="J203" s="29"/>
    </row>
    <row r="204" spans="1:10" s="22" customFormat="1" ht="14.45" customHeight="1" x14ac:dyDescent="0.2">
      <c r="A204" s="24" t="str">
        <f t="shared" ref="A204:A206" si="47">A203</f>
        <v>구야</v>
      </c>
      <c r="B204" s="26" t="s">
        <v>79</v>
      </c>
      <c r="C204" s="27">
        <f t="shared" ref="C204:C205" si="48">C203</f>
        <v>3000</v>
      </c>
      <c r="D204" s="27">
        <f t="shared" ref="D204:D206" si="49">D203</f>
        <v>3874</v>
      </c>
      <c r="E204" s="27">
        <f t="shared" ref="E204:E206" si="50">E203</f>
        <v>5000</v>
      </c>
      <c r="F204" s="28">
        <f>VLOOKUP(C204,'0.시설공사비 산정근거'!$A$150:$F$166,3,FALSE)</f>
        <v>3</v>
      </c>
      <c r="G204" s="28">
        <f>ROUND(F204-(D204-C204)*(F204-H204)/(E204-C204),2)</f>
        <v>2.97</v>
      </c>
      <c r="H204" s="28">
        <f>VLOOKUP(E204,'0.시설공사비 산정근거'!$A$150:$F$166,3,FALSE)</f>
        <v>2.94</v>
      </c>
      <c r="I204" s="194">
        <f>ROUND(D204*G204/100,0)</f>
        <v>115</v>
      </c>
      <c r="J204" s="29"/>
    </row>
    <row r="205" spans="1:10" s="22" customFormat="1" ht="14.45" customHeight="1" x14ac:dyDescent="0.2">
      <c r="A205" s="24" t="str">
        <f t="shared" si="47"/>
        <v>구야</v>
      </c>
      <c r="B205" s="26" t="s">
        <v>80</v>
      </c>
      <c r="C205" s="27">
        <f t="shared" si="48"/>
        <v>3000</v>
      </c>
      <c r="D205" s="27">
        <f t="shared" si="49"/>
        <v>3874</v>
      </c>
      <c r="E205" s="27">
        <f t="shared" si="50"/>
        <v>5000</v>
      </c>
      <c r="F205" s="28">
        <f>VLOOKUP(C205,'0.시설공사비 산정근거'!$A$150:$F$166,4,FALSE)</f>
        <v>1.48</v>
      </c>
      <c r="G205" s="28">
        <f>ROUND(F205-(D205-C205)*(F205-H205)/(E205-C205),2)</f>
        <v>1.47</v>
      </c>
      <c r="H205" s="28">
        <f>VLOOKUP(E205,'0.시설공사비 산정근거'!$A$150:$F$166,4,FALSE)</f>
        <v>1.45</v>
      </c>
      <c r="I205" s="194">
        <f>ROUND(D205*G205/100,0)</f>
        <v>57</v>
      </c>
      <c r="J205" s="29"/>
    </row>
    <row r="206" spans="1:10" s="22" customFormat="1" ht="14.45" customHeight="1" x14ac:dyDescent="0.2">
      <c r="A206" s="25" t="str">
        <f t="shared" si="47"/>
        <v>구야</v>
      </c>
      <c r="B206" s="26" t="s">
        <v>81</v>
      </c>
      <c r="C206" s="27">
        <f t="shared" ref="C206" si="51">C204</f>
        <v>3000</v>
      </c>
      <c r="D206" s="27">
        <f t="shared" si="49"/>
        <v>3874</v>
      </c>
      <c r="E206" s="27">
        <f t="shared" si="50"/>
        <v>5000</v>
      </c>
      <c r="F206" s="28">
        <f>VLOOKUP(C206,'0.시설공사비 산정근거'!$A$150:$F$166,6,FALSE)</f>
        <v>0.36</v>
      </c>
      <c r="G206" s="28">
        <f>ROUND(F206-(D206-C206)*(F206-H206)/(E206-C206),2)</f>
        <v>0.32</v>
      </c>
      <c r="H206" s="28">
        <f>VLOOKUP(E206,'0.시설공사비 산정근거'!$A$150:$F$166,6,FALSE)</f>
        <v>0.27</v>
      </c>
      <c r="I206" s="194">
        <f>ROUND(D206*G206/100,0)</f>
        <v>12</v>
      </c>
      <c r="J206" s="29"/>
    </row>
    <row r="207" spans="1:10" s="22" customFormat="1" ht="14.45" customHeight="1" x14ac:dyDescent="0.2">
      <c r="A207" s="18" t="s">
        <v>311</v>
      </c>
      <c r="B207" s="19" t="s">
        <v>190</v>
      </c>
      <c r="C207" s="20"/>
      <c r="D207" s="20"/>
      <c r="E207" s="20"/>
      <c r="F207" s="20"/>
      <c r="G207" s="20"/>
      <c r="H207" s="20"/>
      <c r="I207" s="193">
        <f>SUM(I208:I211)</f>
        <v>123</v>
      </c>
      <c r="J207" s="21"/>
    </row>
    <row r="208" spans="1:10" s="22" customFormat="1" ht="14.45" customHeight="1" x14ac:dyDescent="0.2">
      <c r="A208" s="23" t="str">
        <f>A207</f>
        <v>문무</v>
      </c>
      <c r="B208" s="26" t="s">
        <v>78</v>
      </c>
      <c r="C208" s="27">
        <f t="shared" si="26"/>
        <v>1000</v>
      </c>
      <c r="D208" s="27">
        <f>I64</f>
        <v>1843</v>
      </c>
      <c r="E208" s="27">
        <f t="shared" si="27"/>
        <v>2000</v>
      </c>
      <c r="F208" s="28">
        <f>VLOOKUP(C208,'0.시설공사비 산정근거'!$A$150:$F$166,2,FALSE)</f>
        <v>1.69</v>
      </c>
      <c r="G208" s="28">
        <f>ROUND(F208-(D208-C208)*(F208-H208)/(E208-C208),2)</f>
        <v>1.57</v>
      </c>
      <c r="H208" s="28">
        <f>VLOOKUP(E208,'0.시설공사비 산정근거'!$A$150:$F$166,2,FALSE)</f>
        <v>1.55</v>
      </c>
      <c r="I208" s="194">
        <f>ROUND(D208*G208/100,0)</f>
        <v>29</v>
      </c>
      <c r="J208" s="29"/>
    </row>
    <row r="209" spans="1:10" s="22" customFormat="1" ht="14.45" customHeight="1" x14ac:dyDescent="0.2">
      <c r="A209" s="24" t="str">
        <f t="shared" ref="A209:A211" si="52">A208</f>
        <v>문무</v>
      </c>
      <c r="B209" s="26" t="s">
        <v>79</v>
      </c>
      <c r="C209" s="27">
        <f t="shared" ref="C209:C210" si="53">C208</f>
        <v>1000</v>
      </c>
      <c r="D209" s="27">
        <f t="shared" ref="D209:D211" si="54">D208</f>
        <v>1843</v>
      </c>
      <c r="E209" s="27">
        <f t="shared" ref="E209:E211" si="55">E208</f>
        <v>2000</v>
      </c>
      <c r="F209" s="28">
        <f>VLOOKUP(C209,'0.시설공사비 산정근거'!$A$150:$F$166,3,FALSE)</f>
        <v>3.38</v>
      </c>
      <c r="G209" s="28">
        <f>ROUND(F209-(D209-C209)*(F209-H209)/(E209-C209),2)</f>
        <v>3.15</v>
      </c>
      <c r="H209" s="28">
        <f>VLOOKUP(E209,'0.시설공사비 산정근거'!$A$150:$F$166,3,FALSE)</f>
        <v>3.11</v>
      </c>
      <c r="I209" s="194">
        <f>ROUND(D209*G209/100,0)</f>
        <v>58</v>
      </c>
      <c r="J209" s="29"/>
    </row>
    <row r="210" spans="1:10" s="22" customFormat="1" ht="14.45" customHeight="1" x14ac:dyDescent="0.2">
      <c r="A210" s="24" t="str">
        <f t="shared" si="52"/>
        <v>문무</v>
      </c>
      <c r="B210" s="26" t="s">
        <v>80</v>
      </c>
      <c r="C210" s="27">
        <f t="shared" si="53"/>
        <v>1000</v>
      </c>
      <c r="D210" s="27">
        <f t="shared" si="54"/>
        <v>1843</v>
      </c>
      <c r="E210" s="27">
        <f t="shared" si="55"/>
        <v>2000</v>
      </c>
      <c r="F210" s="28">
        <f>VLOOKUP(C210,'0.시설공사비 산정근거'!$A$150:$F$166,4,FALSE)</f>
        <v>1.66</v>
      </c>
      <c r="G210" s="28">
        <f>ROUND(F210-(D210-C210)*(F210-H210)/(E210-C210),2)</f>
        <v>1.55</v>
      </c>
      <c r="H210" s="28">
        <f>VLOOKUP(E210,'0.시설공사비 산정근거'!$A$150:$F$166,4,FALSE)</f>
        <v>1.53</v>
      </c>
      <c r="I210" s="194">
        <f>ROUND(D210*G210/100,0)</f>
        <v>29</v>
      </c>
      <c r="J210" s="29"/>
    </row>
    <row r="211" spans="1:10" s="22" customFormat="1" ht="14.45" customHeight="1" x14ac:dyDescent="0.2">
      <c r="A211" s="25" t="str">
        <f t="shared" si="52"/>
        <v>문무</v>
      </c>
      <c r="B211" s="26" t="s">
        <v>81</v>
      </c>
      <c r="C211" s="27">
        <f t="shared" ref="C211" si="56">C209</f>
        <v>1000</v>
      </c>
      <c r="D211" s="27">
        <f t="shared" si="54"/>
        <v>1843</v>
      </c>
      <c r="E211" s="27">
        <f t="shared" si="55"/>
        <v>2000</v>
      </c>
      <c r="F211" s="28">
        <f>VLOOKUP(C211,'0.시설공사비 산정근거'!$A$150:$F$166,6,FALSE)</f>
        <v>0.63</v>
      </c>
      <c r="G211" s="28">
        <f>ROUND(F211-(D211-C211)*(F211-H211)/(E211-C211),2)</f>
        <v>0.4</v>
      </c>
      <c r="H211" s="28">
        <f>VLOOKUP(E211,'0.시설공사비 산정근거'!$A$150:$F$166,6,FALSE)</f>
        <v>0.36</v>
      </c>
      <c r="I211" s="194">
        <f>ROUND(D211*G211/100,0)</f>
        <v>7</v>
      </c>
      <c r="J211" s="29"/>
    </row>
    <row r="212" spans="1:10" s="22" customFormat="1" ht="14.45" customHeight="1" x14ac:dyDescent="0.2">
      <c r="A212" s="18" t="s">
        <v>312</v>
      </c>
      <c r="B212" s="19" t="s">
        <v>190</v>
      </c>
      <c r="C212" s="20"/>
      <c r="D212" s="20"/>
      <c r="E212" s="20"/>
      <c r="F212" s="20"/>
      <c r="G212" s="20"/>
      <c r="H212" s="20"/>
      <c r="I212" s="193">
        <f>SUM(I213:I216)</f>
        <v>103</v>
      </c>
      <c r="J212" s="21"/>
    </row>
    <row r="213" spans="1:10" s="22" customFormat="1" ht="14.45" customHeight="1" x14ac:dyDescent="0.2">
      <c r="A213" s="23" t="str">
        <f>A212</f>
        <v>남곡</v>
      </c>
      <c r="B213" s="26" t="s">
        <v>78</v>
      </c>
      <c r="C213" s="27">
        <f t="shared" si="26"/>
        <v>1000</v>
      </c>
      <c r="D213" s="27">
        <f>I71</f>
        <v>1469</v>
      </c>
      <c r="E213" s="27">
        <f t="shared" si="27"/>
        <v>2000</v>
      </c>
      <c r="F213" s="28">
        <f>VLOOKUP(C213,'0.시설공사비 산정근거'!$A$150:$F$166,2,FALSE)</f>
        <v>1.69</v>
      </c>
      <c r="G213" s="28">
        <f>ROUND(F213-(D213-C213)*(F213-H213)/(E213-C213),2)</f>
        <v>1.62</v>
      </c>
      <c r="H213" s="28">
        <f>VLOOKUP(E213,'0.시설공사비 산정근거'!$A$150:$F$166,2,FALSE)</f>
        <v>1.55</v>
      </c>
      <c r="I213" s="194">
        <f>ROUND(D213*G213/100,0)</f>
        <v>24</v>
      </c>
      <c r="J213" s="29"/>
    </row>
    <row r="214" spans="1:10" s="22" customFormat="1" ht="14.45" customHeight="1" x14ac:dyDescent="0.2">
      <c r="A214" s="24" t="str">
        <f t="shared" ref="A214:A216" si="57">A213</f>
        <v>남곡</v>
      </c>
      <c r="B214" s="26" t="s">
        <v>79</v>
      </c>
      <c r="C214" s="27">
        <f t="shared" ref="C214:C215" si="58">C213</f>
        <v>1000</v>
      </c>
      <c r="D214" s="27">
        <f t="shared" ref="D214:D216" si="59">D213</f>
        <v>1469</v>
      </c>
      <c r="E214" s="27">
        <f t="shared" ref="E214:E216" si="60">E213</f>
        <v>2000</v>
      </c>
      <c r="F214" s="28">
        <f>VLOOKUP(C214,'0.시설공사비 산정근거'!$A$150:$F$166,3,FALSE)</f>
        <v>3.38</v>
      </c>
      <c r="G214" s="28">
        <f>ROUND(F214-(D214-C214)*(F214-H214)/(E214-C214),2)</f>
        <v>3.25</v>
      </c>
      <c r="H214" s="28">
        <f>VLOOKUP(E214,'0.시설공사비 산정근거'!$A$150:$F$166,3,FALSE)</f>
        <v>3.11</v>
      </c>
      <c r="I214" s="194">
        <f>ROUND(D214*G214/100,0)</f>
        <v>48</v>
      </c>
      <c r="J214" s="29"/>
    </row>
    <row r="215" spans="1:10" s="22" customFormat="1" ht="14.45" customHeight="1" x14ac:dyDescent="0.2">
      <c r="A215" s="24" t="str">
        <f t="shared" si="57"/>
        <v>남곡</v>
      </c>
      <c r="B215" s="26" t="s">
        <v>80</v>
      </c>
      <c r="C215" s="27">
        <f t="shared" si="58"/>
        <v>1000</v>
      </c>
      <c r="D215" s="27">
        <f t="shared" si="59"/>
        <v>1469</v>
      </c>
      <c r="E215" s="27">
        <f t="shared" si="60"/>
        <v>2000</v>
      </c>
      <c r="F215" s="28">
        <f>VLOOKUP(C215,'0.시설공사비 산정근거'!$A$150:$F$166,4,FALSE)</f>
        <v>1.66</v>
      </c>
      <c r="G215" s="28">
        <f>ROUND(F215-(D215-C215)*(F215-H215)/(E215-C215),2)</f>
        <v>1.6</v>
      </c>
      <c r="H215" s="28">
        <f>VLOOKUP(E215,'0.시설공사비 산정근거'!$A$150:$F$166,4,FALSE)</f>
        <v>1.53</v>
      </c>
      <c r="I215" s="194">
        <f>ROUND(D215*G215/100,0)</f>
        <v>24</v>
      </c>
      <c r="J215" s="29"/>
    </row>
    <row r="216" spans="1:10" s="22" customFormat="1" ht="14.45" customHeight="1" x14ac:dyDescent="0.2">
      <c r="A216" s="25" t="str">
        <f t="shared" si="57"/>
        <v>남곡</v>
      </c>
      <c r="B216" s="26" t="s">
        <v>81</v>
      </c>
      <c r="C216" s="27">
        <f t="shared" ref="C216" si="61">C214</f>
        <v>1000</v>
      </c>
      <c r="D216" s="27">
        <f t="shared" si="59"/>
        <v>1469</v>
      </c>
      <c r="E216" s="27">
        <f t="shared" si="60"/>
        <v>2000</v>
      </c>
      <c r="F216" s="28">
        <f>VLOOKUP(C216,'0.시설공사비 산정근거'!$A$150:$F$166,6,FALSE)</f>
        <v>0.63</v>
      </c>
      <c r="G216" s="28">
        <f>ROUND(F216-(D216-C216)*(F216-H216)/(E216-C216),2)</f>
        <v>0.5</v>
      </c>
      <c r="H216" s="28">
        <f>VLOOKUP(E216,'0.시설공사비 산정근거'!$A$150:$F$166,6,FALSE)</f>
        <v>0.36</v>
      </c>
      <c r="I216" s="194">
        <f>ROUND(D216*G216/100,0)</f>
        <v>7</v>
      </c>
      <c r="J216" s="29"/>
    </row>
    <row r="217" spans="1:10" s="22" customFormat="1" ht="14.45" customHeight="1" x14ac:dyDescent="0.2">
      <c r="A217" s="18" t="s">
        <v>313</v>
      </c>
      <c r="B217" s="19" t="s">
        <v>190</v>
      </c>
      <c r="C217" s="20"/>
      <c r="D217" s="20"/>
      <c r="E217" s="20"/>
      <c r="F217" s="20"/>
      <c r="G217" s="20"/>
      <c r="H217" s="20"/>
      <c r="I217" s="193">
        <f>SUM(I218:I221)</f>
        <v>172</v>
      </c>
      <c r="J217" s="21"/>
    </row>
    <row r="218" spans="1:10" s="22" customFormat="1" ht="14.45" customHeight="1" x14ac:dyDescent="0.2">
      <c r="A218" s="23" t="str">
        <f>A217</f>
        <v>던돌마</v>
      </c>
      <c r="B218" s="26" t="s">
        <v>78</v>
      </c>
      <c r="C218" s="27">
        <f t="shared" si="26"/>
        <v>2000</v>
      </c>
      <c r="D218" s="27">
        <f>I79</f>
        <v>2684</v>
      </c>
      <c r="E218" s="27">
        <f t="shared" si="27"/>
        <v>3000</v>
      </c>
      <c r="F218" s="28">
        <f>VLOOKUP(C218,'0.시설공사비 산정근거'!$A$150:$F$166,2,FALSE)</f>
        <v>1.55</v>
      </c>
      <c r="G218" s="28">
        <f>ROUND(F218-(D218-C218)*(F218-H218)/(E218-C218),2)</f>
        <v>1.52</v>
      </c>
      <c r="H218" s="28">
        <f>VLOOKUP(E218,'0.시설공사비 산정근거'!$A$150:$F$166,2,FALSE)</f>
        <v>1.5</v>
      </c>
      <c r="I218" s="194">
        <f>ROUND(D218*G218/100,0)</f>
        <v>41</v>
      </c>
      <c r="J218" s="29"/>
    </row>
    <row r="219" spans="1:10" s="22" customFormat="1" ht="14.45" customHeight="1" x14ac:dyDescent="0.2">
      <c r="A219" s="24" t="str">
        <f t="shared" ref="A219:A221" si="62">A218</f>
        <v>던돌마</v>
      </c>
      <c r="B219" s="26" t="s">
        <v>79</v>
      </c>
      <c r="C219" s="27">
        <f t="shared" ref="C219:C220" si="63">C218</f>
        <v>2000</v>
      </c>
      <c r="D219" s="27">
        <f t="shared" ref="D219:D221" si="64">D218</f>
        <v>2684</v>
      </c>
      <c r="E219" s="27">
        <f t="shared" ref="E219:E221" si="65">E218</f>
        <v>3000</v>
      </c>
      <c r="F219" s="28">
        <f>VLOOKUP(C219,'0.시설공사비 산정근거'!$A$150:$F$166,3,FALSE)</f>
        <v>3.11</v>
      </c>
      <c r="G219" s="28">
        <f>ROUND(F219-(D219-C219)*(F219-H219)/(E219-C219),2)</f>
        <v>3.03</v>
      </c>
      <c r="H219" s="28">
        <f>VLOOKUP(E219,'0.시설공사비 산정근거'!$A$150:$F$166,3,FALSE)</f>
        <v>3</v>
      </c>
      <c r="I219" s="194">
        <f>ROUND(D219*G219/100,0)</f>
        <v>81</v>
      </c>
      <c r="J219" s="29"/>
    </row>
    <row r="220" spans="1:10" s="22" customFormat="1" ht="14.45" customHeight="1" x14ac:dyDescent="0.2">
      <c r="A220" s="24" t="str">
        <f t="shared" si="62"/>
        <v>던돌마</v>
      </c>
      <c r="B220" s="26" t="s">
        <v>80</v>
      </c>
      <c r="C220" s="27">
        <f t="shared" si="63"/>
        <v>2000</v>
      </c>
      <c r="D220" s="27">
        <f t="shared" si="64"/>
        <v>2684</v>
      </c>
      <c r="E220" s="27">
        <f t="shared" si="65"/>
        <v>3000</v>
      </c>
      <c r="F220" s="28">
        <f>VLOOKUP(C220,'0.시설공사비 산정근거'!$A$150:$F$166,4,FALSE)</f>
        <v>1.53</v>
      </c>
      <c r="G220" s="28">
        <f>ROUND(F220-(D220-C220)*(F220-H220)/(E220-C220),2)</f>
        <v>1.5</v>
      </c>
      <c r="H220" s="28">
        <f>VLOOKUP(E220,'0.시설공사비 산정근거'!$A$150:$F$166,4,FALSE)</f>
        <v>1.48</v>
      </c>
      <c r="I220" s="194">
        <f>ROUND(D220*G220/100,0)</f>
        <v>40</v>
      </c>
      <c r="J220" s="29"/>
    </row>
    <row r="221" spans="1:10" s="22" customFormat="1" ht="14.45" customHeight="1" x14ac:dyDescent="0.2">
      <c r="A221" s="24" t="str">
        <f t="shared" si="62"/>
        <v>던돌마</v>
      </c>
      <c r="B221" s="90" t="s">
        <v>81</v>
      </c>
      <c r="C221" s="27">
        <f t="shared" ref="C221" si="66">C219</f>
        <v>2000</v>
      </c>
      <c r="D221" s="91">
        <f t="shared" si="64"/>
        <v>2684</v>
      </c>
      <c r="E221" s="91">
        <f t="shared" si="65"/>
        <v>3000</v>
      </c>
      <c r="F221" s="92">
        <f>VLOOKUP(C221,'0.시설공사비 산정근거'!$A$150:$F$166,6,FALSE)</f>
        <v>0.36</v>
      </c>
      <c r="G221" s="92">
        <f>ROUND(F221-(D221-C221)*(F221-H221)/(E221-C221),2)</f>
        <v>0.36</v>
      </c>
      <c r="H221" s="92">
        <f>VLOOKUP(E221,'0.시설공사비 산정근거'!$A$150:$F$166,6,FALSE)</f>
        <v>0.36</v>
      </c>
      <c r="I221" s="195">
        <f>ROUND(D221*G221/100,0)</f>
        <v>10</v>
      </c>
      <c r="J221" s="93"/>
    </row>
    <row r="222" spans="1:10" s="22" customFormat="1" ht="14.45" customHeight="1" x14ac:dyDescent="0.2">
      <c r="A222" s="18" t="s">
        <v>314</v>
      </c>
      <c r="B222" s="19" t="s">
        <v>190</v>
      </c>
      <c r="C222" s="20"/>
      <c r="D222" s="20"/>
      <c r="E222" s="20"/>
      <c r="F222" s="20"/>
      <c r="G222" s="20"/>
      <c r="H222" s="20"/>
      <c r="I222" s="193">
        <f>SUM(I223:I226)</f>
        <v>420</v>
      </c>
      <c r="J222" s="21"/>
    </row>
    <row r="223" spans="1:10" s="22" customFormat="1" ht="14.45" customHeight="1" x14ac:dyDescent="0.2">
      <c r="A223" s="23" t="str">
        <f>A222</f>
        <v>덕남</v>
      </c>
      <c r="B223" s="26" t="s">
        <v>78</v>
      </c>
      <c r="C223" s="27">
        <v>5000</v>
      </c>
      <c r="D223" s="27">
        <f>I86</f>
        <v>6938</v>
      </c>
      <c r="E223" s="27">
        <v>10000</v>
      </c>
      <c r="F223" s="28">
        <f>VLOOKUP(C223,'0.시설공사비 산정근거'!$A$150:$F$166,2,FALSE)</f>
        <v>1.47</v>
      </c>
      <c r="G223" s="28">
        <f>ROUND(F223-(D223-C223)*(F223-H223)/(E223-C223),2)</f>
        <v>1.46</v>
      </c>
      <c r="H223" s="28">
        <f>VLOOKUP(E223,'0.시설공사비 산정근거'!$A$150:$F$166,2,FALSE)</f>
        <v>1.44</v>
      </c>
      <c r="I223" s="194">
        <f>ROUND(D223*G223/100,0)</f>
        <v>101</v>
      </c>
      <c r="J223" s="29"/>
    </row>
    <row r="224" spans="1:10" s="22" customFormat="1" ht="14.45" customHeight="1" x14ac:dyDescent="0.2">
      <c r="A224" s="24" t="str">
        <f t="shared" ref="A224:A226" si="67">A223</f>
        <v>덕남</v>
      </c>
      <c r="B224" s="26" t="s">
        <v>79</v>
      </c>
      <c r="C224" s="27">
        <f t="shared" ref="C224:C225" si="68">C223</f>
        <v>5000</v>
      </c>
      <c r="D224" s="27">
        <f t="shared" ref="D224:D226" si="69">D223</f>
        <v>6938</v>
      </c>
      <c r="E224" s="27">
        <f t="shared" ref="E224:E226" si="70">E223</f>
        <v>10000</v>
      </c>
      <c r="F224" s="28">
        <f>VLOOKUP(C224,'0.시설공사비 산정근거'!$A$150:$F$166,3,FALSE)</f>
        <v>2.94</v>
      </c>
      <c r="G224" s="28">
        <f>ROUND(F224-(D224-C224)*(F224-H224)/(E224-C224),2)</f>
        <v>2.91</v>
      </c>
      <c r="H224" s="28">
        <f>VLOOKUP(E224,'0.시설공사비 산정근거'!$A$150:$F$166,3,FALSE)</f>
        <v>2.87</v>
      </c>
      <c r="I224" s="194">
        <f>ROUND(D224*G224/100,0)</f>
        <v>202</v>
      </c>
      <c r="J224" s="29"/>
    </row>
    <row r="225" spans="1:10" s="22" customFormat="1" ht="14.45" customHeight="1" x14ac:dyDescent="0.2">
      <c r="A225" s="24" t="str">
        <f t="shared" si="67"/>
        <v>덕남</v>
      </c>
      <c r="B225" s="26" t="s">
        <v>80</v>
      </c>
      <c r="C225" s="27">
        <f t="shared" si="68"/>
        <v>5000</v>
      </c>
      <c r="D225" s="27">
        <f t="shared" si="69"/>
        <v>6938</v>
      </c>
      <c r="E225" s="27">
        <f t="shared" si="70"/>
        <v>10000</v>
      </c>
      <c r="F225" s="28">
        <f>VLOOKUP(C225,'0.시설공사비 산정근거'!$A$150:$F$166,4,FALSE)</f>
        <v>1.45</v>
      </c>
      <c r="G225" s="28">
        <f>ROUND(F225-(D225-C225)*(F225-H225)/(E225-C225),2)</f>
        <v>1.43</v>
      </c>
      <c r="H225" s="28">
        <f>VLOOKUP(E225,'0.시설공사비 산정근거'!$A$150:$F$166,4,FALSE)</f>
        <v>1.41</v>
      </c>
      <c r="I225" s="194">
        <f>ROUND(D225*G225/100,0)</f>
        <v>99</v>
      </c>
      <c r="J225" s="29"/>
    </row>
    <row r="226" spans="1:10" s="22" customFormat="1" ht="14.45" customHeight="1" x14ac:dyDescent="0.2">
      <c r="A226" s="24" t="str">
        <f t="shared" si="67"/>
        <v>덕남</v>
      </c>
      <c r="B226" s="90" t="s">
        <v>81</v>
      </c>
      <c r="C226" s="91">
        <f t="shared" ref="C226" si="71">C224</f>
        <v>5000</v>
      </c>
      <c r="D226" s="91">
        <f t="shared" si="69"/>
        <v>6938</v>
      </c>
      <c r="E226" s="91">
        <f t="shared" si="70"/>
        <v>10000</v>
      </c>
      <c r="F226" s="92">
        <f>VLOOKUP(C226,'0.시설공사비 산정근거'!$A$150:$F$166,6,FALSE)</f>
        <v>0.27</v>
      </c>
      <c r="G226" s="92">
        <f>ROUND(F226-(D226-C226)*(F226-H226)/(E226-C226),2)</f>
        <v>0.26</v>
      </c>
      <c r="H226" s="92">
        <f>VLOOKUP(E226,'0.시설공사비 산정근거'!$A$150:$F$166,6,FALSE)</f>
        <v>0.25</v>
      </c>
      <c r="I226" s="195">
        <f>ROUND(D226*G226/100,0)</f>
        <v>18</v>
      </c>
      <c r="J226" s="93"/>
    </row>
    <row r="227" spans="1:10" s="22" customFormat="1" ht="14.45" customHeight="1" x14ac:dyDescent="0.2">
      <c r="A227" s="18" t="s">
        <v>315</v>
      </c>
      <c r="B227" s="19" t="s">
        <v>190</v>
      </c>
      <c r="C227" s="20"/>
      <c r="D227" s="20"/>
      <c r="E227" s="20"/>
      <c r="F227" s="20"/>
      <c r="G227" s="20"/>
      <c r="H227" s="20"/>
      <c r="I227" s="20">
        <f>SUM(I228:I231)</f>
        <v>108</v>
      </c>
      <c r="J227" s="21"/>
    </row>
    <row r="228" spans="1:10" s="22" customFormat="1" ht="14.45" customHeight="1" x14ac:dyDescent="0.2">
      <c r="A228" s="23" t="str">
        <f>A227</f>
        <v>옥율</v>
      </c>
      <c r="B228" s="26" t="s">
        <v>78</v>
      </c>
      <c r="C228" s="27">
        <f t="shared" si="26"/>
        <v>1000</v>
      </c>
      <c r="D228" s="27">
        <f>I93</f>
        <v>1581</v>
      </c>
      <c r="E228" s="27">
        <f t="shared" si="27"/>
        <v>2000</v>
      </c>
      <c r="F228" s="28">
        <f>VLOOKUP(C228,'0.시설공사비 산정근거'!$A$150:$F$166,2,FALSE)</f>
        <v>1.69</v>
      </c>
      <c r="G228" s="28">
        <f>ROUND(F228-(D228-C228)*(F228-H228)/(E228-C228),2)</f>
        <v>1.61</v>
      </c>
      <c r="H228" s="28">
        <f>VLOOKUP(E228,'0.시설공사비 산정근거'!$A$150:$F$166,2,FALSE)</f>
        <v>1.55</v>
      </c>
      <c r="I228" s="27">
        <f>ROUND(D228*G228/100,0)</f>
        <v>25</v>
      </c>
      <c r="J228" s="29"/>
    </row>
    <row r="229" spans="1:10" s="22" customFormat="1" ht="14.45" customHeight="1" x14ac:dyDescent="0.2">
      <c r="A229" s="24" t="str">
        <f t="shared" ref="A229:A231" si="72">A228</f>
        <v>옥율</v>
      </c>
      <c r="B229" s="26" t="s">
        <v>79</v>
      </c>
      <c r="C229" s="27">
        <f t="shared" ref="C229:C230" si="73">C228</f>
        <v>1000</v>
      </c>
      <c r="D229" s="27">
        <f t="shared" ref="D229:D231" si="74">D228</f>
        <v>1581</v>
      </c>
      <c r="E229" s="27">
        <f t="shared" ref="E229:E231" si="75">E228</f>
        <v>2000</v>
      </c>
      <c r="F229" s="28">
        <f>VLOOKUP(C229,'0.시설공사비 산정근거'!$A$150:$F$166,3,FALSE)</f>
        <v>3.38</v>
      </c>
      <c r="G229" s="28">
        <f>ROUND(F229-(D229-C229)*(F229-H229)/(E229-C229),2)</f>
        <v>3.22</v>
      </c>
      <c r="H229" s="28">
        <f>VLOOKUP(E229,'0.시설공사비 산정근거'!$A$150:$F$166,3,FALSE)</f>
        <v>3.11</v>
      </c>
      <c r="I229" s="27">
        <f>ROUND(D229*G229/100,0)</f>
        <v>51</v>
      </c>
      <c r="J229" s="29"/>
    </row>
    <row r="230" spans="1:10" s="22" customFormat="1" ht="14.45" customHeight="1" x14ac:dyDescent="0.2">
      <c r="A230" s="24" t="str">
        <f t="shared" si="72"/>
        <v>옥율</v>
      </c>
      <c r="B230" s="26" t="s">
        <v>80</v>
      </c>
      <c r="C230" s="27">
        <f t="shared" si="73"/>
        <v>1000</v>
      </c>
      <c r="D230" s="27">
        <f t="shared" si="74"/>
        <v>1581</v>
      </c>
      <c r="E230" s="27">
        <f t="shared" si="75"/>
        <v>2000</v>
      </c>
      <c r="F230" s="28">
        <f>VLOOKUP(C230,'0.시설공사비 산정근거'!$A$150:$F$166,4,FALSE)</f>
        <v>1.66</v>
      </c>
      <c r="G230" s="28">
        <f>ROUND(F230-(D230-C230)*(F230-H230)/(E230-C230),2)</f>
        <v>1.58</v>
      </c>
      <c r="H230" s="28">
        <f>VLOOKUP(E230,'0.시설공사비 산정근거'!$A$150:$F$166,4,FALSE)</f>
        <v>1.53</v>
      </c>
      <c r="I230" s="27">
        <f>ROUND(D230*G230/100,0)</f>
        <v>25</v>
      </c>
      <c r="J230" s="29"/>
    </row>
    <row r="231" spans="1:10" s="22" customFormat="1" ht="14.45" customHeight="1" x14ac:dyDescent="0.2">
      <c r="A231" s="25" t="str">
        <f t="shared" si="72"/>
        <v>옥율</v>
      </c>
      <c r="B231" s="26" t="s">
        <v>81</v>
      </c>
      <c r="C231" s="27">
        <f t="shared" ref="C231" si="76">C229</f>
        <v>1000</v>
      </c>
      <c r="D231" s="27">
        <f t="shared" si="74"/>
        <v>1581</v>
      </c>
      <c r="E231" s="27">
        <f t="shared" si="75"/>
        <v>2000</v>
      </c>
      <c r="F231" s="28">
        <f>VLOOKUP(C231,'0.시설공사비 산정근거'!$A$150:$F$166,6,FALSE)</f>
        <v>0.63</v>
      </c>
      <c r="G231" s="28">
        <f>ROUND(F231-(D231-C231)*(F231-H231)/(E231-C231),2)</f>
        <v>0.47</v>
      </c>
      <c r="H231" s="28">
        <f>VLOOKUP(E231,'0.시설공사비 산정근거'!$A$150:$F$166,6,FALSE)</f>
        <v>0.36</v>
      </c>
      <c r="I231" s="27">
        <f>ROUND(D231*G231/100,0)</f>
        <v>7</v>
      </c>
      <c r="J231" s="29"/>
    </row>
    <row r="232" spans="1:10" s="22" customFormat="1" ht="14.45" customHeight="1" x14ac:dyDescent="0.2">
      <c r="A232" s="18" t="s">
        <v>316</v>
      </c>
      <c r="B232" s="19" t="s">
        <v>190</v>
      </c>
      <c r="C232" s="20"/>
      <c r="D232" s="20"/>
      <c r="E232" s="20"/>
      <c r="F232" s="20"/>
      <c r="G232" s="20"/>
      <c r="H232" s="20"/>
      <c r="I232" s="20">
        <f>SUM(I233:I236)</f>
        <v>356</v>
      </c>
      <c r="J232" s="21"/>
    </row>
    <row r="233" spans="1:10" s="22" customFormat="1" ht="14.45" customHeight="1" x14ac:dyDescent="0.2">
      <c r="A233" s="23" t="str">
        <f>A232</f>
        <v>능치</v>
      </c>
      <c r="B233" s="26" t="s">
        <v>78</v>
      </c>
      <c r="C233" s="27">
        <f t="shared" si="26"/>
        <v>5000</v>
      </c>
      <c r="D233" s="27">
        <f>I100</f>
        <v>5849</v>
      </c>
      <c r="E233" s="27">
        <v>10000</v>
      </c>
      <c r="F233" s="28">
        <f>VLOOKUP(C233,'0.시설공사비 산정근거'!$A$150:$F$166,2,FALSE)</f>
        <v>1.47</v>
      </c>
      <c r="G233" s="28">
        <f>ROUND(F233-(D233-C233)*(F233-H233)/(E233-C233),2)</f>
        <v>1.46</v>
      </c>
      <c r="H233" s="28">
        <f>VLOOKUP(E233,'0.시설공사비 산정근거'!$A$150:$F$166,2,FALSE)</f>
        <v>1.44</v>
      </c>
      <c r="I233" s="27">
        <f>ROUND(D233*G233/100,0)</f>
        <v>85</v>
      </c>
      <c r="J233" s="29"/>
    </row>
    <row r="234" spans="1:10" s="22" customFormat="1" ht="14.45" customHeight="1" x14ac:dyDescent="0.2">
      <c r="A234" s="24" t="str">
        <f t="shared" ref="A234:A236" si="77">A233</f>
        <v>능치</v>
      </c>
      <c r="B234" s="26" t="s">
        <v>79</v>
      </c>
      <c r="C234" s="27">
        <f t="shared" ref="C234:C235" si="78">C233</f>
        <v>5000</v>
      </c>
      <c r="D234" s="27">
        <f t="shared" ref="D234:D236" si="79">D233</f>
        <v>5849</v>
      </c>
      <c r="E234" s="27">
        <f t="shared" ref="E234:E236" si="80">E233</f>
        <v>10000</v>
      </c>
      <c r="F234" s="28">
        <f>VLOOKUP(C234,'0.시설공사비 산정근거'!$A$150:$F$166,3,FALSE)</f>
        <v>2.94</v>
      </c>
      <c r="G234" s="28">
        <f>ROUND(F234-(D234-C234)*(F234-H234)/(E234-C234),2)</f>
        <v>2.93</v>
      </c>
      <c r="H234" s="28">
        <f>VLOOKUP(E234,'0.시설공사비 산정근거'!$A$150:$F$166,3,FALSE)</f>
        <v>2.87</v>
      </c>
      <c r="I234" s="27">
        <f>ROUND(D234*G234/100,0)</f>
        <v>171</v>
      </c>
      <c r="J234" s="29"/>
    </row>
    <row r="235" spans="1:10" s="22" customFormat="1" ht="14.45" customHeight="1" x14ac:dyDescent="0.2">
      <c r="A235" s="24" t="str">
        <f t="shared" si="77"/>
        <v>능치</v>
      </c>
      <c r="B235" s="26" t="s">
        <v>80</v>
      </c>
      <c r="C235" s="27">
        <f t="shared" si="78"/>
        <v>5000</v>
      </c>
      <c r="D235" s="27">
        <f t="shared" si="79"/>
        <v>5849</v>
      </c>
      <c r="E235" s="27">
        <f t="shared" si="80"/>
        <v>10000</v>
      </c>
      <c r="F235" s="28">
        <f>VLOOKUP(C235,'0.시설공사비 산정근거'!$A$150:$F$166,4,FALSE)</f>
        <v>1.45</v>
      </c>
      <c r="G235" s="28">
        <f>ROUND(F235-(D235-C235)*(F235-H235)/(E235-C235),2)</f>
        <v>1.44</v>
      </c>
      <c r="H235" s="28">
        <f>VLOOKUP(E235,'0.시설공사비 산정근거'!$A$150:$F$166,4,FALSE)</f>
        <v>1.41</v>
      </c>
      <c r="I235" s="27">
        <f>ROUND(D235*G235/100,0)</f>
        <v>84</v>
      </c>
      <c r="J235" s="29"/>
    </row>
    <row r="236" spans="1:10" s="22" customFormat="1" ht="14.45" customHeight="1" x14ac:dyDescent="0.2">
      <c r="A236" s="86" t="str">
        <f t="shared" si="77"/>
        <v>능치</v>
      </c>
      <c r="B236" s="211" t="s">
        <v>81</v>
      </c>
      <c r="C236" s="40">
        <f t="shared" ref="C236" si="81">C234</f>
        <v>5000</v>
      </c>
      <c r="D236" s="40">
        <f t="shared" si="79"/>
        <v>5849</v>
      </c>
      <c r="E236" s="40">
        <f t="shared" si="80"/>
        <v>10000</v>
      </c>
      <c r="F236" s="41">
        <f>VLOOKUP(C236,'0.시설공사비 산정근거'!$A$150:$F$166,6,FALSE)</f>
        <v>0.27</v>
      </c>
      <c r="G236" s="41">
        <f>ROUND(F236-(D236-C236)*(F236-H236)/(E236-C236),2)</f>
        <v>0.27</v>
      </c>
      <c r="H236" s="41">
        <f>VLOOKUP(E236,'0.시설공사비 산정근거'!$A$150:$F$166,6,FALSE)</f>
        <v>0.25</v>
      </c>
      <c r="I236" s="40">
        <f>ROUND(D236*G236/100,0)</f>
        <v>16</v>
      </c>
      <c r="J236" s="42"/>
    </row>
    <row r="237" spans="1:10" ht="14.45" customHeight="1" x14ac:dyDescent="0.2">
      <c r="A237" s="413" t="s">
        <v>189</v>
      </c>
      <c r="B237" s="414"/>
      <c r="C237" s="385" t="s">
        <v>71</v>
      </c>
      <c r="D237" s="385"/>
      <c r="E237" s="385"/>
      <c r="F237" s="385" t="s">
        <v>72</v>
      </c>
      <c r="G237" s="385"/>
      <c r="H237" s="385"/>
      <c r="I237" s="386" t="s">
        <v>73</v>
      </c>
      <c r="J237" s="361" t="s">
        <v>472</v>
      </c>
    </row>
    <row r="238" spans="1:10" ht="14.45" customHeight="1" thickBot="1" x14ac:dyDescent="0.25">
      <c r="A238" s="415"/>
      <c r="B238" s="416"/>
      <c r="C238" s="34" t="s">
        <v>74</v>
      </c>
      <c r="D238" s="34" t="s">
        <v>75</v>
      </c>
      <c r="E238" s="34" t="s">
        <v>76</v>
      </c>
      <c r="F238" s="34" t="s">
        <v>74</v>
      </c>
      <c r="G238" s="34" t="s">
        <v>75</v>
      </c>
      <c r="H238" s="34" t="s">
        <v>76</v>
      </c>
      <c r="I238" s="387"/>
      <c r="J238" s="362"/>
    </row>
    <row r="239" spans="1:10" s="22" customFormat="1" ht="14.45" customHeight="1" thickTop="1" x14ac:dyDescent="0.2">
      <c r="A239" s="154" t="s">
        <v>317</v>
      </c>
      <c r="B239" s="155" t="s">
        <v>190</v>
      </c>
      <c r="C239" s="156"/>
      <c r="D239" s="156"/>
      <c r="E239" s="156"/>
      <c r="F239" s="156"/>
      <c r="G239" s="156"/>
      <c r="H239" s="156"/>
      <c r="I239" s="156">
        <f>SUM(I240:I243)</f>
        <v>312</v>
      </c>
      <c r="J239" s="157"/>
    </row>
    <row r="240" spans="1:10" s="22" customFormat="1" ht="14.45" customHeight="1" x14ac:dyDescent="0.2">
      <c r="A240" s="23" t="str">
        <f>A239</f>
        <v>도암</v>
      </c>
      <c r="B240" s="210" t="s">
        <v>78</v>
      </c>
      <c r="C240" s="27">
        <f t="shared" ref="C240:C275" si="82">ROUNDDOWN(D240,-3)</f>
        <v>5000</v>
      </c>
      <c r="D240" s="27">
        <f>I107</f>
        <v>5076</v>
      </c>
      <c r="E240" s="27">
        <v>10000</v>
      </c>
      <c r="F240" s="28">
        <f>VLOOKUP(C240,'0.시설공사비 산정근거'!$A$150:$F$166,2,FALSE)</f>
        <v>1.47</v>
      </c>
      <c r="G240" s="28">
        <f>ROUND(F240-(D240-C240)*(F240-H240)/(E240-C240),2)</f>
        <v>1.47</v>
      </c>
      <c r="H240" s="28">
        <f>VLOOKUP(E240,'0.시설공사비 산정근거'!$A$150:$F$166,2,FALSE)</f>
        <v>1.44</v>
      </c>
      <c r="I240" s="27">
        <f>ROUND(D240*G240/100,0)</f>
        <v>75</v>
      </c>
      <c r="J240" s="29"/>
    </row>
    <row r="241" spans="1:10" s="22" customFormat="1" ht="14.45" customHeight="1" x14ac:dyDescent="0.2">
      <c r="A241" s="24" t="str">
        <f t="shared" ref="A241:A243" si="83">A240</f>
        <v>도암</v>
      </c>
      <c r="B241" s="210" t="s">
        <v>79</v>
      </c>
      <c r="C241" s="27">
        <f t="shared" ref="C241:C242" si="84">C240</f>
        <v>5000</v>
      </c>
      <c r="D241" s="27">
        <f t="shared" ref="D241:D243" si="85">D240</f>
        <v>5076</v>
      </c>
      <c r="E241" s="27">
        <f t="shared" ref="E241:E243" si="86">E240</f>
        <v>10000</v>
      </c>
      <c r="F241" s="28">
        <f>VLOOKUP(C241,'0.시설공사비 산정근거'!$A$150:$F$166,3,FALSE)</f>
        <v>2.94</v>
      </c>
      <c r="G241" s="28">
        <f>ROUND(F241-(D241-C241)*(F241-H241)/(E241-C241),2)</f>
        <v>2.94</v>
      </c>
      <c r="H241" s="28">
        <f>VLOOKUP(E241,'0.시설공사비 산정근거'!$A$150:$F$166,3,FALSE)</f>
        <v>2.87</v>
      </c>
      <c r="I241" s="27">
        <f>ROUND(D241*G241/100,0)</f>
        <v>149</v>
      </c>
      <c r="J241" s="29"/>
    </row>
    <row r="242" spans="1:10" s="22" customFormat="1" ht="14.45" customHeight="1" x14ac:dyDescent="0.2">
      <c r="A242" s="24" t="str">
        <f t="shared" si="83"/>
        <v>도암</v>
      </c>
      <c r="B242" s="210" t="s">
        <v>80</v>
      </c>
      <c r="C242" s="27">
        <f t="shared" si="84"/>
        <v>5000</v>
      </c>
      <c r="D242" s="27">
        <f t="shared" si="85"/>
        <v>5076</v>
      </c>
      <c r="E242" s="27">
        <f t="shared" si="86"/>
        <v>10000</v>
      </c>
      <c r="F242" s="28">
        <f>VLOOKUP(C242,'0.시설공사비 산정근거'!$A$150:$F$166,4,FALSE)</f>
        <v>1.45</v>
      </c>
      <c r="G242" s="28">
        <f>ROUND(F242-(D242-C242)*(F242-H242)/(E242-C242),2)</f>
        <v>1.45</v>
      </c>
      <c r="H242" s="28">
        <f>VLOOKUP(E242,'0.시설공사비 산정근거'!$A$150:$F$166,4,FALSE)</f>
        <v>1.41</v>
      </c>
      <c r="I242" s="27">
        <f>ROUND(D242*G242/100,0)</f>
        <v>74</v>
      </c>
      <c r="J242" s="29"/>
    </row>
    <row r="243" spans="1:10" s="22" customFormat="1" ht="14.45" customHeight="1" x14ac:dyDescent="0.2">
      <c r="A243" s="25" t="str">
        <f t="shared" si="83"/>
        <v>도암</v>
      </c>
      <c r="B243" s="210" t="s">
        <v>81</v>
      </c>
      <c r="C243" s="27">
        <f t="shared" ref="C243" si="87">C241</f>
        <v>5000</v>
      </c>
      <c r="D243" s="27">
        <f t="shared" si="85"/>
        <v>5076</v>
      </c>
      <c r="E243" s="27">
        <f t="shared" si="86"/>
        <v>10000</v>
      </c>
      <c r="F243" s="28">
        <f>VLOOKUP(C243,'0.시설공사비 산정근거'!$A$150:$F$166,6,FALSE)</f>
        <v>0.27</v>
      </c>
      <c r="G243" s="28">
        <f>ROUND(F243-(D243-C243)*(F243-H243)/(E243-C243),2)</f>
        <v>0.27</v>
      </c>
      <c r="H243" s="28">
        <f>VLOOKUP(E243,'0.시설공사비 산정근거'!$A$150:$F$166,6,FALSE)</f>
        <v>0.25</v>
      </c>
      <c r="I243" s="27">
        <f>ROUND(D243*G243/100,0)</f>
        <v>14</v>
      </c>
      <c r="J243" s="29"/>
    </row>
    <row r="244" spans="1:10" s="22" customFormat="1" ht="14.45" customHeight="1" x14ac:dyDescent="0.2">
      <c r="A244" s="18" t="s">
        <v>318</v>
      </c>
      <c r="B244" s="222" t="s">
        <v>190</v>
      </c>
      <c r="C244" s="20"/>
      <c r="D244" s="20"/>
      <c r="E244" s="20"/>
      <c r="F244" s="20"/>
      <c r="G244" s="20"/>
      <c r="H244" s="20"/>
      <c r="I244" s="20">
        <f>SUM(I245:I248)</f>
        <v>205</v>
      </c>
      <c r="J244" s="21"/>
    </row>
    <row r="245" spans="1:10" s="22" customFormat="1" ht="14.45" customHeight="1" x14ac:dyDescent="0.2">
      <c r="A245" s="23" t="str">
        <f>A244</f>
        <v>태화</v>
      </c>
      <c r="B245" s="210" t="s">
        <v>78</v>
      </c>
      <c r="C245" s="27">
        <f t="shared" si="82"/>
        <v>3000</v>
      </c>
      <c r="D245" s="27">
        <f>I114</f>
        <v>3250</v>
      </c>
      <c r="E245" s="27">
        <v>5000</v>
      </c>
      <c r="F245" s="28">
        <f>VLOOKUP(C245,'0.시설공사비 산정근거'!$A$150:$F$166,2,FALSE)</f>
        <v>1.5</v>
      </c>
      <c r="G245" s="28">
        <f>ROUND(F245-(D245-C245)*(F245-H245)/(E245-C245),2)</f>
        <v>1.5</v>
      </c>
      <c r="H245" s="28">
        <f>VLOOKUP(E245,'0.시설공사비 산정근거'!$A$150:$F$166,2,FALSE)</f>
        <v>1.47</v>
      </c>
      <c r="I245" s="27">
        <f>ROUND(D245*G245/100,0)</f>
        <v>49</v>
      </c>
      <c r="J245" s="29"/>
    </row>
    <row r="246" spans="1:10" s="22" customFormat="1" ht="14.45" customHeight="1" x14ac:dyDescent="0.2">
      <c r="A246" s="24" t="str">
        <f t="shared" ref="A246:A248" si="88">A245</f>
        <v>태화</v>
      </c>
      <c r="B246" s="210" t="s">
        <v>79</v>
      </c>
      <c r="C246" s="27">
        <f t="shared" ref="C246:C247" si="89">C245</f>
        <v>3000</v>
      </c>
      <c r="D246" s="27">
        <f t="shared" ref="D246:D248" si="90">D245</f>
        <v>3250</v>
      </c>
      <c r="E246" s="27">
        <f t="shared" ref="E246:E248" si="91">E245</f>
        <v>5000</v>
      </c>
      <c r="F246" s="28">
        <f>VLOOKUP(C246,'0.시설공사비 산정근거'!$A$150:$F$166,3,FALSE)</f>
        <v>3</v>
      </c>
      <c r="G246" s="28">
        <f>ROUND(F246-(D246-C246)*(F246-H246)/(E246-C246),2)</f>
        <v>2.99</v>
      </c>
      <c r="H246" s="28">
        <f>VLOOKUP(E246,'0.시설공사비 산정근거'!$A$150:$F$166,3,FALSE)</f>
        <v>2.94</v>
      </c>
      <c r="I246" s="27">
        <f>ROUND(D246*G246/100,0)</f>
        <v>97</v>
      </c>
      <c r="J246" s="29"/>
    </row>
    <row r="247" spans="1:10" s="22" customFormat="1" ht="14.45" customHeight="1" x14ac:dyDescent="0.2">
      <c r="A247" s="24" t="str">
        <f t="shared" si="88"/>
        <v>태화</v>
      </c>
      <c r="B247" s="210" t="s">
        <v>80</v>
      </c>
      <c r="C247" s="27">
        <f t="shared" si="89"/>
        <v>3000</v>
      </c>
      <c r="D247" s="27">
        <f t="shared" si="90"/>
        <v>3250</v>
      </c>
      <c r="E247" s="27">
        <f t="shared" si="91"/>
        <v>5000</v>
      </c>
      <c r="F247" s="28">
        <f>VLOOKUP(C247,'0.시설공사비 산정근거'!$A$150:$F$166,4,FALSE)</f>
        <v>1.48</v>
      </c>
      <c r="G247" s="28">
        <f>ROUND(F247-(D247-C247)*(F247-H247)/(E247-C247),2)</f>
        <v>1.48</v>
      </c>
      <c r="H247" s="28">
        <f>VLOOKUP(E247,'0.시설공사비 산정근거'!$A$150:$F$166,4,FALSE)</f>
        <v>1.45</v>
      </c>
      <c r="I247" s="27">
        <f>ROUND(D247*G247/100,0)</f>
        <v>48</v>
      </c>
      <c r="J247" s="29"/>
    </row>
    <row r="248" spans="1:10" s="22" customFormat="1" ht="14.45" customHeight="1" x14ac:dyDescent="0.2">
      <c r="A248" s="25" t="str">
        <f t="shared" si="88"/>
        <v>태화</v>
      </c>
      <c r="B248" s="210" t="s">
        <v>81</v>
      </c>
      <c r="C248" s="27">
        <f t="shared" ref="C248" si="92">C246</f>
        <v>3000</v>
      </c>
      <c r="D248" s="27">
        <f t="shared" si="90"/>
        <v>3250</v>
      </c>
      <c r="E248" s="27">
        <f t="shared" si="91"/>
        <v>5000</v>
      </c>
      <c r="F248" s="28">
        <f>VLOOKUP(C248,'0.시설공사비 산정근거'!$A$150:$F$166,6,FALSE)</f>
        <v>0.36</v>
      </c>
      <c r="G248" s="28">
        <f>ROUND(F248-(D248-C248)*(F248-H248)/(E248-C248),2)</f>
        <v>0.35</v>
      </c>
      <c r="H248" s="28">
        <f>VLOOKUP(E248,'0.시설공사비 산정근거'!$A$150:$F$166,6,FALSE)</f>
        <v>0.27</v>
      </c>
      <c r="I248" s="27">
        <f>ROUND(D248*G248/100,0)</f>
        <v>11</v>
      </c>
      <c r="J248" s="29"/>
    </row>
    <row r="249" spans="1:10" s="22" customFormat="1" ht="14.45" customHeight="1" x14ac:dyDescent="0.2">
      <c r="A249" s="18" t="s">
        <v>319</v>
      </c>
      <c r="B249" s="222" t="s">
        <v>190</v>
      </c>
      <c r="C249" s="20"/>
      <c r="D249" s="20"/>
      <c r="E249" s="20"/>
      <c r="F249" s="20"/>
      <c r="G249" s="20"/>
      <c r="H249" s="20"/>
      <c r="I249" s="20">
        <f>SUM(I250:I253)</f>
        <v>223</v>
      </c>
      <c r="J249" s="21"/>
    </row>
    <row r="250" spans="1:10" s="22" customFormat="1" ht="14.45" customHeight="1" x14ac:dyDescent="0.2">
      <c r="A250" s="23" t="str">
        <f>A249</f>
        <v>신암</v>
      </c>
      <c r="B250" s="210" t="s">
        <v>78</v>
      </c>
      <c r="C250" s="27">
        <f t="shared" si="82"/>
        <v>3000</v>
      </c>
      <c r="D250" s="27">
        <f>I121</f>
        <v>3545</v>
      </c>
      <c r="E250" s="27">
        <v>5000</v>
      </c>
      <c r="F250" s="28">
        <f>VLOOKUP(C250,'0.시설공사비 산정근거'!$A$150:$F$166,2,FALSE)</f>
        <v>1.5</v>
      </c>
      <c r="G250" s="28">
        <f>ROUND(F250-(D250-C250)*(F250-H250)/(E250-C250),2)</f>
        <v>1.49</v>
      </c>
      <c r="H250" s="28">
        <f>VLOOKUP(E250,'0.시설공사비 산정근거'!$A$150:$F$166,2,FALSE)</f>
        <v>1.47</v>
      </c>
      <c r="I250" s="27">
        <f>ROUND(D250*G250/100,0)</f>
        <v>53</v>
      </c>
      <c r="J250" s="29"/>
    </row>
    <row r="251" spans="1:10" s="22" customFormat="1" ht="14.45" customHeight="1" x14ac:dyDescent="0.2">
      <c r="A251" s="24" t="str">
        <f t="shared" ref="A251:A253" si="93">A250</f>
        <v>신암</v>
      </c>
      <c r="B251" s="210" t="s">
        <v>79</v>
      </c>
      <c r="C251" s="27">
        <f t="shared" ref="C251:C252" si="94">C250</f>
        <v>3000</v>
      </c>
      <c r="D251" s="27">
        <f t="shared" ref="D251:D253" si="95">D250</f>
        <v>3545</v>
      </c>
      <c r="E251" s="27">
        <f t="shared" ref="E251:E253" si="96">E250</f>
        <v>5000</v>
      </c>
      <c r="F251" s="28">
        <f>VLOOKUP(C251,'0.시설공사비 산정근거'!$A$150:$F$166,3,FALSE)</f>
        <v>3</v>
      </c>
      <c r="G251" s="28">
        <f>ROUND(F251-(D251-C251)*(F251-H251)/(E251-C251),2)</f>
        <v>2.98</v>
      </c>
      <c r="H251" s="28">
        <f>VLOOKUP(E251,'0.시설공사비 산정근거'!$A$150:$F$166,3,FALSE)</f>
        <v>2.94</v>
      </c>
      <c r="I251" s="27">
        <f>ROUND(D251*G251/100,0)</f>
        <v>106</v>
      </c>
      <c r="J251" s="29"/>
    </row>
    <row r="252" spans="1:10" s="22" customFormat="1" ht="14.45" customHeight="1" x14ac:dyDescent="0.2">
      <c r="A252" s="24" t="str">
        <f t="shared" si="93"/>
        <v>신암</v>
      </c>
      <c r="B252" s="210" t="s">
        <v>80</v>
      </c>
      <c r="C252" s="27">
        <f t="shared" si="94"/>
        <v>3000</v>
      </c>
      <c r="D252" s="27">
        <f t="shared" si="95"/>
        <v>3545</v>
      </c>
      <c r="E252" s="27">
        <f t="shared" si="96"/>
        <v>5000</v>
      </c>
      <c r="F252" s="28">
        <f>VLOOKUP(C252,'0.시설공사비 산정근거'!$A$150:$F$166,4,FALSE)</f>
        <v>1.48</v>
      </c>
      <c r="G252" s="28">
        <f>ROUND(F252-(D252-C252)*(F252-H252)/(E252-C252),2)</f>
        <v>1.47</v>
      </c>
      <c r="H252" s="28">
        <f>VLOOKUP(E252,'0.시설공사비 산정근거'!$A$150:$F$166,4,FALSE)</f>
        <v>1.45</v>
      </c>
      <c r="I252" s="27">
        <f>ROUND(D252*G252/100,0)</f>
        <v>52</v>
      </c>
      <c r="J252" s="29"/>
    </row>
    <row r="253" spans="1:10" s="22" customFormat="1" ht="14.45" customHeight="1" x14ac:dyDescent="0.2">
      <c r="A253" s="25" t="str">
        <f t="shared" si="93"/>
        <v>신암</v>
      </c>
      <c r="B253" s="210" t="s">
        <v>81</v>
      </c>
      <c r="C253" s="27">
        <f t="shared" ref="C253" si="97">C251</f>
        <v>3000</v>
      </c>
      <c r="D253" s="27">
        <f t="shared" si="95"/>
        <v>3545</v>
      </c>
      <c r="E253" s="27">
        <f t="shared" si="96"/>
        <v>5000</v>
      </c>
      <c r="F253" s="28">
        <f>VLOOKUP(C253,'0.시설공사비 산정근거'!$A$150:$F$166,6,FALSE)</f>
        <v>0.36</v>
      </c>
      <c r="G253" s="28">
        <f>ROUND(F253-(D253-C253)*(F253-H253)/(E253-C253),2)</f>
        <v>0.34</v>
      </c>
      <c r="H253" s="28">
        <f>VLOOKUP(E253,'0.시설공사비 산정근거'!$A$150:$F$166,6,FALSE)</f>
        <v>0.27</v>
      </c>
      <c r="I253" s="27">
        <f>ROUND(D253*G253/100,0)</f>
        <v>12</v>
      </c>
      <c r="J253" s="29"/>
    </row>
    <row r="254" spans="1:10" s="22" customFormat="1" ht="14.45" customHeight="1" x14ac:dyDescent="0.2">
      <c r="A254" s="18" t="s">
        <v>320</v>
      </c>
      <c r="B254" s="222" t="s">
        <v>190</v>
      </c>
      <c r="C254" s="20"/>
      <c r="D254" s="20"/>
      <c r="E254" s="20"/>
      <c r="F254" s="20"/>
      <c r="G254" s="20"/>
      <c r="H254" s="20"/>
      <c r="I254" s="20">
        <f>SUM(I255:I258)</f>
        <v>230</v>
      </c>
      <c r="J254" s="21"/>
    </row>
    <row r="255" spans="1:10" s="22" customFormat="1" ht="14.45" customHeight="1" x14ac:dyDescent="0.2">
      <c r="A255" s="23" t="str">
        <f>A254</f>
        <v>광기</v>
      </c>
      <c r="B255" s="210" t="s">
        <v>78</v>
      </c>
      <c r="C255" s="27">
        <f t="shared" si="82"/>
        <v>3000</v>
      </c>
      <c r="D255" s="27">
        <f>I129</f>
        <v>3668</v>
      </c>
      <c r="E255" s="27">
        <v>5000</v>
      </c>
      <c r="F255" s="28">
        <f>VLOOKUP(C255,'0.시설공사비 산정근거'!$A$150:$F$166,2,FALSE)</f>
        <v>1.5</v>
      </c>
      <c r="G255" s="28">
        <f>ROUND(F255-(D255-C255)*(F255-H255)/(E255-C255),2)</f>
        <v>1.49</v>
      </c>
      <c r="H255" s="28">
        <f>VLOOKUP(E255,'0.시설공사비 산정근거'!$A$150:$F$166,2,FALSE)</f>
        <v>1.47</v>
      </c>
      <c r="I255" s="27">
        <f>ROUND(D255*G255/100,0)</f>
        <v>55</v>
      </c>
      <c r="J255" s="29"/>
    </row>
    <row r="256" spans="1:10" s="22" customFormat="1" ht="14.45" customHeight="1" x14ac:dyDescent="0.2">
      <c r="A256" s="24" t="str">
        <f t="shared" ref="A256:A258" si="98">A255</f>
        <v>광기</v>
      </c>
      <c r="B256" s="210" t="s">
        <v>79</v>
      </c>
      <c r="C256" s="27">
        <f t="shared" ref="C256:C257" si="99">C255</f>
        <v>3000</v>
      </c>
      <c r="D256" s="27">
        <f t="shared" ref="D256:D258" si="100">D255</f>
        <v>3668</v>
      </c>
      <c r="E256" s="27">
        <f t="shared" ref="E256:E258" si="101">E255</f>
        <v>5000</v>
      </c>
      <c r="F256" s="28">
        <f>VLOOKUP(C256,'0.시설공사비 산정근거'!$A$150:$F$166,3,FALSE)</f>
        <v>3</v>
      </c>
      <c r="G256" s="28">
        <f>ROUND(F256-(D256-C256)*(F256-H256)/(E256-C256),2)</f>
        <v>2.98</v>
      </c>
      <c r="H256" s="28">
        <f>VLOOKUP(E256,'0.시설공사비 산정근거'!$A$150:$F$166,3,FALSE)</f>
        <v>2.94</v>
      </c>
      <c r="I256" s="27">
        <f>ROUND(D256*G256/100,0)</f>
        <v>109</v>
      </c>
      <c r="J256" s="29"/>
    </row>
    <row r="257" spans="1:10" s="22" customFormat="1" ht="14.45" customHeight="1" x14ac:dyDescent="0.2">
      <c r="A257" s="24" t="str">
        <f t="shared" si="98"/>
        <v>광기</v>
      </c>
      <c r="B257" s="210" t="s">
        <v>80</v>
      </c>
      <c r="C257" s="27">
        <f t="shared" si="99"/>
        <v>3000</v>
      </c>
      <c r="D257" s="27">
        <f t="shared" si="100"/>
        <v>3668</v>
      </c>
      <c r="E257" s="27">
        <f t="shared" si="101"/>
        <v>5000</v>
      </c>
      <c r="F257" s="28">
        <f>VLOOKUP(C257,'0.시설공사비 산정근거'!$A$150:$F$166,4,FALSE)</f>
        <v>1.48</v>
      </c>
      <c r="G257" s="28">
        <f>ROUND(F257-(D257-C257)*(F257-H257)/(E257-C257),2)</f>
        <v>1.47</v>
      </c>
      <c r="H257" s="28">
        <f>VLOOKUP(E257,'0.시설공사비 산정근거'!$A$150:$F$166,4,FALSE)</f>
        <v>1.45</v>
      </c>
      <c r="I257" s="27">
        <f>ROUND(D257*G257/100,0)</f>
        <v>54</v>
      </c>
      <c r="J257" s="29"/>
    </row>
    <row r="258" spans="1:10" s="22" customFormat="1" ht="14.45" customHeight="1" x14ac:dyDescent="0.2">
      <c r="A258" s="25" t="str">
        <f t="shared" si="98"/>
        <v>광기</v>
      </c>
      <c r="B258" s="210" t="s">
        <v>81</v>
      </c>
      <c r="C258" s="27">
        <f t="shared" ref="C258" si="102">C256</f>
        <v>3000</v>
      </c>
      <c r="D258" s="27">
        <f t="shared" si="100"/>
        <v>3668</v>
      </c>
      <c r="E258" s="27">
        <f t="shared" si="101"/>
        <v>5000</v>
      </c>
      <c r="F258" s="28">
        <f>VLOOKUP(C258,'0.시설공사비 산정근거'!$A$150:$F$166,6,FALSE)</f>
        <v>0.36</v>
      </c>
      <c r="G258" s="28">
        <f>ROUND(F258-(D258-C258)*(F258-H258)/(E258-C258),2)</f>
        <v>0.33</v>
      </c>
      <c r="H258" s="28">
        <f>VLOOKUP(E258,'0.시설공사비 산정근거'!$A$150:$F$166,6,FALSE)</f>
        <v>0.27</v>
      </c>
      <c r="I258" s="27">
        <f>ROUND(D258*G258/100,0)</f>
        <v>12</v>
      </c>
      <c r="J258" s="29"/>
    </row>
    <row r="259" spans="1:10" s="22" customFormat="1" ht="14.45" customHeight="1" x14ac:dyDescent="0.2">
      <c r="A259" s="18" t="s">
        <v>321</v>
      </c>
      <c r="B259" s="222" t="s">
        <v>190</v>
      </c>
      <c r="C259" s="20"/>
      <c r="D259" s="20"/>
      <c r="E259" s="20"/>
      <c r="F259" s="20"/>
      <c r="G259" s="20"/>
      <c r="H259" s="20"/>
      <c r="I259" s="20">
        <f>SUM(I260:I263)</f>
        <v>251</v>
      </c>
      <c r="J259" s="21"/>
    </row>
    <row r="260" spans="1:10" s="22" customFormat="1" ht="14.45" customHeight="1" x14ac:dyDescent="0.2">
      <c r="A260" s="23" t="str">
        <f>A259</f>
        <v>신안</v>
      </c>
      <c r="B260" s="210" t="s">
        <v>78</v>
      </c>
      <c r="C260" s="27">
        <f t="shared" si="82"/>
        <v>3000</v>
      </c>
      <c r="D260" s="27">
        <f>I136</f>
        <v>3997</v>
      </c>
      <c r="E260" s="27">
        <v>5000</v>
      </c>
      <c r="F260" s="28">
        <f>VLOOKUP(C260,'0.시설공사비 산정근거'!$A$150:$F$166,2,FALSE)</f>
        <v>1.5</v>
      </c>
      <c r="G260" s="28">
        <f>ROUND(F260-(D260-C260)*(F260-H260)/(E260-C260),2)</f>
        <v>1.49</v>
      </c>
      <c r="H260" s="28">
        <f>VLOOKUP(E260,'0.시설공사비 산정근거'!$A$150:$F$166,2,FALSE)</f>
        <v>1.47</v>
      </c>
      <c r="I260" s="27">
        <f>ROUND(D260*G260/100,0)</f>
        <v>60</v>
      </c>
      <c r="J260" s="29"/>
    </row>
    <row r="261" spans="1:10" s="22" customFormat="1" ht="14.45" customHeight="1" x14ac:dyDescent="0.2">
      <c r="A261" s="24" t="str">
        <f t="shared" ref="A261:A263" si="103">A260</f>
        <v>신안</v>
      </c>
      <c r="B261" s="210" t="s">
        <v>79</v>
      </c>
      <c r="C261" s="27">
        <f t="shared" ref="C261:C262" si="104">C260</f>
        <v>3000</v>
      </c>
      <c r="D261" s="27">
        <f t="shared" ref="D261:D263" si="105">D260</f>
        <v>3997</v>
      </c>
      <c r="E261" s="27">
        <f t="shared" ref="E261:E263" si="106">E260</f>
        <v>5000</v>
      </c>
      <c r="F261" s="28">
        <f>VLOOKUP(C261,'0.시설공사비 산정근거'!$A$150:$F$166,3,FALSE)</f>
        <v>3</v>
      </c>
      <c r="G261" s="28">
        <f>ROUND(F261-(D261-C261)*(F261-H261)/(E261-C261),2)</f>
        <v>2.97</v>
      </c>
      <c r="H261" s="28">
        <f>VLOOKUP(E261,'0.시설공사비 산정근거'!$A$150:$F$166,3,FALSE)</f>
        <v>2.94</v>
      </c>
      <c r="I261" s="27">
        <f>ROUND(D261*G261/100,0)</f>
        <v>119</v>
      </c>
      <c r="J261" s="29"/>
    </row>
    <row r="262" spans="1:10" s="22" customFormat="1" ht="14.45" customHeight="1" x14ac:dyDescent="0.2">
      <c r="A262" s="24" t="str">
        <f t="shared" si="103"/>
        <v>신안</v>
      </c>
      <c r="B262" s="210" t="s">
        <v>80</v>
      </c>
      <c r="C262" s="27">
        <f t="shared" si="104"/>
        <v>3000</v>
      </c>
      <c r="D262" s="27">
        <f t="shared" si="105"/>
        <v>3997</v>
      </c>
      <c r="E262" s="27">
        <f t="shared" si="106"/>
        <v>5000</v>
      </c>
      <c r="F262" s="28">
        <f>VLOOKUP(C262,'0.시설공사비 산정근거'!$A$150:$F$166,4,FALSE)</f>
        <v>1.48</v>
      </c>
      <c r="G262" s="28">
        <f>ROUND(F262-(D262-C262)*(F262-H262)/(E262-C262),2)</f>
        <v>1.47</v>
      </c>
      <c r="H262" s="28">
        <f>VLOOKUP(E262,'0.시설공사비 산정근거'!$A$150:$F$166,4,FALSE)</f>
        <v>1.45</v>
      </c>
      <c r="I262" s="27">
        <f>ROUND(D262*G262/100,0)</f>
        <v>59</v>
      </c>
      <c r="J262" s="29"/>
    </row>
    <row r="263" spans="1:10" s="22" customFormat="1" ht="14.45" customHeight="1" x14ac:dyDescent="0.2">
      <c r="A263" s="25" t="str">
        <f t="shared" si="103"/>
        <v>신안</v>
      </c>
      <c r="B263" s="210" t="s">
        <v>81</v>
      </c>
      <c r="C263" s="27">
        <f t="shared" ref="C263" si="107">C261</f>
        <v>3000</v>
      </c>
      <c r="D263" s="27">
        <f t="shared" si="105"/>
        <v>3997</v>
      </c>
      <c r="E263" s="27">
        <f t="shared" si="106"/>
        <v>5000</v>
      </c>
      <c r="F263" s="28">
        <f>VLOOKUP(C263,'0.시설공사비 산정근거'!$A$150:$F$166,6,FALSE)</f>
        <v>0.36</v>
      </c>
      <c r="G263" s="28">
        <f>ROUND(F263-(D263-C263)*(F263-H263)/(E263-C263),2)</f>
        <v>0.32</v>
      </c>
      <c r="H263" s="28">
        <f>VLOOKUP(E263,'0.시설공사비 산정근거'!$A$150:$F$166,6,FALSE)</f>
        <v>0.27</v>
      </c>
      <c r="I263" s="27">
        <f>ROUND(D263*G263/100,0)</f>
        <v>13</v>
      </c>
      <c r="J263" s="29"/>
    </row>
    <row r="264" spans="1:10" s="22" customFormat="1" ht="14.45" customHeight="1" x14ac:dyDescent="0.2">
      <c r="A264" s="18" t="s">
        <v>322</v>
      </c>
      <c r="B264" s="222" t="s">
        <v>190</v>
      </c>
      <c r="C264" s="20"/>
      <c r="D264" s="20"/>
      <c r="E264" s="20"/>
      <c r="F264" s="20"/>
      <c r="G264" s="20"/>
      <c r="H264" s="20"/>
      <c r="I264" s="20">
        <f>SUM(I265:I268)</f>
        <v>149</v>
      </c>
      <c r="J264" s="21"/>
    </row>
    <row r="265" spans="1:10" s="22" customFormat="1" ht="14.45" customHeight="1" x14ac:dyDescent="0.2">
      <c r="A265" s="23" t="str">
        <f>A264</f>
        <v>대평</v>
      </c>
      <c r="B265" s="210" t="s">
        <v>78</v>
      </c>
      <c r="C265" s="27">
        <f t="shared" si="82"/>
        <v>2000</v>
      </c>
      <c r="D265" s="27">
        <f>I143</f>
        <v>2314</v>
      </c>
      <c r="E265" s="27">
        <f t="shared" ref="E265:E280" si="108">ROUNDUP(D265,-3)</f>
        <v>3000</v>
      </c>
      <c r="F265" s="28">
        <f>VLOOKUP(C265,'0.시설공사비 산정근거'!$A$150:$F$166,2,FALSE)</f>
        <v>1.55</v>
      </c>
      <c r="G265" s="28">
        <f>ROUND(F265-(D265-C265)*(F265-H265)/(E265-C265),2)</f>
        <v>1.53</v>
      </c>
      <c r="H265" s="28">
        <f>VLOOKUP(E265,'0.시설공사비 산정근거'!$A$150:$F$166,2,FALSE)</f>
        <v>1.5</v>
      </c>
      <c r="I265" s="27">
        <f>ROUND(D265*G265/100,0)</f>
        <v>35</v>
      </c>
      <c r="J265" s="29"/>
    </row>
    <row r="266" spans="1:10" s="22" customFormat="1" ht="14.45" customHeight="1" x14ac:dyDescent="0.2">
      <c r="A266" s="24" t="str">
        <f t="shared" ref="A266:A268" si="109">A265</f>
        <v>대평</v>
      </c>
      <c r="B266" s="210" t="s">
        <v>79</v>
      </c>
      <c r="C266" s="27">
        <f t="shared" ref="C266:C267" si="110">C265</f>
        <v>2000</v>
      </c>
      <c r="D266" s="27">
        <f t="shared" ref="D266:D268" si="111">D265</f>
        <v>2314</v>
      </c>
      <c r="E266" s="27">
        <f t="shared" ref="E266:E268" si="112">E265</f>
        <v>3000</v>
      </c>
      <c r="F266" s="28">
        <f>VLOOKUP(C266,'0.시설공사비 산정근거'!$A$150:$F$166,3,FALSE)</f>
        <v>3.11</v>
      </c>
      <c r="G266" s="28">
        <f>ROUND(F266-(D266-C266)*(F266-H266)/(E266-C266),2)</f>
        <v>3.08</v>
      </c>
      <c r="H266" s="28">
        <f>VLOOKUP(E266,'0.시설공사비 산정근거'!$A$150:$F$166,3,FALSE)</f>
        <v>3</v>
      </c>
      <c r="I266" s="27">
        <f>ROUND(D266*G266/100,0)</f>
        <v>71</v>
      </c>
      <c r="J266" s="29"/>
    </row>
    <row r="267" spans="1:10" s="22" customFormat="1" ht="14.45" customHeight="1" x14ac:dyDescent="0.2">
      <c r="A267" s="24" t="str">
        <f t="shared" si="109"/>
        <v>대평</v>
      </c>
      <c r="B267" s="210" t="s">
        <v>80</v>
      </c>
      <c r="C267" s="27">
        <f t="shared" si="110"/>
        <v>2000</v>
      </c>
      <c r="D267" s="27">
        <f t="shared" si="111"/>
        <v>2314</v>
      </c>
      <c r="E267" s="27">
        <f t="shared" si="112"/>
        <v>3000</v>
      </c>
      <c r="F267" s="28">
        <f>VLOOKUP(C267,'0.시설공사비 산정근거'!$A$150:$F$166,4,FALSE)</f>
        <v>1.53</v>
      </c>
      <c r="G267" s="28">
        <f>ROUND(F267-(D267-C267)*(F267-H267)/(E267-C267),2)</f>
        <v>1.51</v>
      </c>
      <c r="H267" s="28">
        <f>VLOOKUP(E267,'0.시설공사비 산정근거'!$A$150:$F$166,4,FALSE)</f>
        <v>1.48</v>
      </c>
      <c r="I267" s="27">
        <f>ROUND(D267*G267/100,0)</f>
        <v>35</v>
      </c>
      <c r="J267" s="29"/>
    </row>
    <row r="268" spans="1:10" s="22" customFormat="1" ht="14.45" customHeight="1" x14ac:dyDescent="0.2">
      <c r="A268" s="25" t="str">
        <f t="shared" si="109"/>
        <v>대평</v>
      </c>
      <c r="B268" s="210" t="s">
        <v>81</v>
      </c>
      <c r="C268" s="27">
        <f t="shared" ref="C268" si="113">C266</f>
        <v>2000</v>
      </c>
      <c r="D268" s="27">
        <f t="shared" si="111"/>
        <v>2314</v>
      </c>
      <c r="E268" s="27">
        <f t="shared" si="112"/>
        <v>3000</v>
      </c>
      <c r="F268" s="28">
        <f>VLOOKUP(C268,'0.시설공사비 산정근거'!$A$150:$F$166,6,FALSE)</f>
        <v>0.36</v>
      </c>
      <c r="G268" s="28">
        <f>ROUND(F268-(D268-C268)*(F268-H268)/(E268-C268),2)</f>
        <v>0.36</v>
      </c>
      <c r="H268" s="28">
        <f>VLOOKUP(E268,'0.시설공사비 산정근거'!$A$150:$F$166,6,FALSE)</f>
        <v>0.36</v>
      </c>
      <c r="I268" s="27">
        <f>ROUND(D268*G268/100,0)</f>
        <v>8</v>
      </c>
      <c r="J268" s="29"/>
    </row>
    <row r="269" spans="1:10" s="22" customFormat="1" ht="14.45" customHeight="1" x14ac:dyDescent="0.2">
      <c r="A269" s="18" t="s">
        <v>323</v>
      </c>
      <c r="B269" s="222" t="s">
        <v>190</v>
      </c>
      <c r="C269" s="20"/>
      <c r="D269" s="20"/>
      <c r="E269" s="20"/>
      <c r="F269" s="20"/>
      <c r="G269" s="20"/>
      <c r="H269" s="20"/>
      <c r="I269" s="20">
        <f>SUM(I270:I273)</f>
        <v>303</v>
      </c>
      <c r="J269" s="21"/>
    </row>
    <row r="270" spans="1:10" s="22" customFormat="1" ht="14.45" customHeight="1" x14ac:dyDescent="0.2">
      <c r="A270" s="23" t="str">
        <f>A269</f>
        <v>하강</v>
      </c>
      <c r="B270" s="210" t="s">
        <v>78</v>
      </c>
      <c r="C270" s="27">
        <v>3000</v>
      </c>
      <c r="D270" s="27">
        <f>I150</f>
        <v>4948</v>
      </c>
      <c r="E270" s="27">
        <f t="shared" si="108"/>
        <v>5000</v>
      </c>
      <c r="F270" s="28">
        <f>VLOOKUP(C270,'0.시설공사비 산정근거'!$A$150:$F$166,2,FALSE)</f>
        <v>1.5</v>
      </c>
      <c r="G270" s="28">
        <f>ROUND(F270-(D270-C270)*(F270-H270)/(E270-C270),2)</f>
        <v>1.47</v>
      </c>
      <c r="H270" s="28">
        <f>VLOOKUP(E270,'0.시설공사비 산정근거'!$A$150:$F$166,2,FALSE)</f>
        <v>1.47</v>
      </c>
      <c r="I270" s="27">
        <f>ROUND(D270*G270/100,0)</f>
        <v>73</v>
      </c>
      <c r="J270" s="29"/>
    </row>
    <row r="271" spans="1:10" s="22" customFormat="1" ht="14.45" customHeight="1" x14ac:dyDescent="0.2">
      <c r="A271" s="24" t="str">
        <f t="shared" ref="A271:A273" si="114">A270</f>
        <v>하강</v>
      </c>
      <c r="B271" s="210" t="s">
        <v>79</v>
      </c>
      <c r="C271" s="27">
        <f t="shared" ref="C271:C272" si="115">C270</f>
        <v>3000</v>
      </c>
      <c r="D271" s="27">
        <f t="shared" ref="D271:D273" si="116">D270</f>
        <v>4948</v>
      </c>
      <c r="E271" s="27">
        <f t="shared" ref="E271:E273" si="117">E270</f>
        <v>5000</v>
      </c>
      <c r="F271" s="28">
        <f>VLOOKUP(C271,'0.시설공사비 산정근거'!$A$150:$F$166,3,FALSE)</f>
        <v>3</v>
      </c>
      <c r="G271" s="28">
        <f>ROUND(F271-(D271-C271)*(F271-H271)/(E271-C271),2)</f>
        <v>2.94</v>
      </c>
      <c r="H271" s="28">
        <f>VLOOKUP(E271,'0.시설공사비 산정근거'!$A$150:$F$166,3,FALSE)</f>
        <v>2.94</v>
      </c>
      <c r="I271" s="27">
        <f>ROUND(D271*G271/100,0)</f>
        <v>145</v>
      </c>
      <c r="J271" s="29"/>
    </row>
    <row r="272" spans="1:10" s="22" customFormat="1" ht="14.45" customHeight="1" x14ac:dyDescent="0.2">
      <c r="A272" s="24" t="str">
        <f t="shared" si="114"/>
        <v>하강</v>
      </c>
      <c r="B272" s="210" t="s">
        <v>80</v>
      </c>
      <c r="C272" s="27">
        <f t="shared" si="115"/>
        <v>3000</v>
      </c>
      <c r="D272" s="27">
        <f t="shared" si="116"/>
        <v>4948</v>
      </c>
      <c r="E272" s="27">
        <f t="shared" si="117"/>
        <v>5000</v>
      </c>
      <c r="F272" s="28">
        <f>VLOOKUP(C272,'0.시설공사비 산정근거'!$A$150:$F$166,4,FALSE)</f>
        <v>1.48</v>
      </c>
      <c r="G272" s="28">
        <f>ROUND(F272-(D272-C272)*(F272-H272)/(E272-C272),2)</f>
        <v>1.45</v>
      </c>
      <c r="H272" s="28">
        <f>VLOOKUP(E272,'0.시설공사비 산정근거'!$A$150:$F$166,4,FALSE)</f>
        <v>1.45</v>
      </c>
      <c r="I272" s="27">
        <f>ROUND(D272*G272/100,0)</f>
        <v>72</v>
      </c>
      <c r="J272" s="29"/>
    </row>
    <row r="273" spans="1:10" s="22" customFormat="1" ht="14.45" customHeight="1" x14ac:dyDescent="0.2">
      <c r="A273" s="25" t="str">
        <f t="shared" si="114"/>
        <v>하강</v>
      </c>
      <c r="B273" s="210" t="s">
        <v>81</v>
      </c>
      <c r="C273" s="27">
        <f t="shared" ref="C273" si="118">C271</f>
        <v>3000</v>
      </c>
      <c r="D273" s="27">
        <f t="shared" si="116"/>
        <v>4948</v>
      </c>
      <c r="E273" s="27">
        <f t="shared" si="117"/>
        <v>5000</v>
      </c>
      <c r="F273" s="28">
        <f>VLOOKUP(C273,'0.시설공사비 산정근거'!$A$150:$F$166,6,FALSE)</f>
        <v>0.36</v>
      </c>
      <c r="G273" s="28">
        <f>ROUND(F273-(D273-C273)*(F273-H273)/(E273-C273),2)</f>
        <v>0.27</v>
      </c>
      <c r="H273" s="28">
        <f>VLOOKUP(E273,'0.시설공사비 산정근거'!$A$150:$F$166,6,FALSE)</f>
        <v>0.27</v>
      </c>
      <c r="I273" s="27">
        <f>ROUND(D273*G273/100,0)</f>
        <v>13</v>
      </c>
      <c r="J273" s="29"/>
    </row>
    <row r="274" spans="1:10" s="22" customFormat="1" ht="14.45" customHeight="1" x14ac:dyDescent="0.2">
      <c r="A274" s="18" t="s">
        <v>324</v>
      </c>
      <c r="B274" s="222" t="s">
        <v>190</v>
      </c>
      <c r="C274" s="20"/>
      <c r="D274" s="20"/>
      <c r="E274" s="20"/>
      <c r="F274" s="20"/>
      <c r="G274" s="20"/>
      <c r="H274" s="20"/>
      <c r="I274" s="20">
        <f>SUM(I275:I278)</f>
        <v>91</v>
      </c>
      <c r="J274" s="21"/>
    </row>
    <row r="275" spans="1:10" s="22" customFormat="1" ht="14.45" customHeight="1" x14ac:dyDescent="0.2">
      <c r="A275" s="23" t="str">
        <f>A274</f>
        <v>월곡</v>
      </c>
      <c r="B275" s="210" t="s">
        <v>78</v>
      </c>
      <c r="C275" s="27">
        <f t="shared" si="82"/>
        <v>1000</v>
      </c>
      <c r="D275" s="27">
        <f>I157</f>
        <v>1269</v>
      </c>
      <c r="E275" s="27">
        <f t="shared" si="108"/>
        <v>2000</v>
      </c>
      <c r="F275" s="28">
        <f>VLOOKUP(C275,'0.시설공사비 산정근거'!$A$150:$F$166,2,FALSE)</f>
        <v>1.69</v>
      </c>
      <c r="G275" s="28">
        <f>ROUND(F275-(D275-C275)*(F275-H275)/(E275-C275),2)</f>
        <v>1.65</v>
      </c>
      <c r="H275" s="28">
        <f>VLOOKUP(E275,'0.시설공사비 산정근거'!$A$150:$F$166,2,FALSE)</f>
        <v>1.55</v>
      </c>
      <c r="I275" s="27">
        <f>ROUND(D275*G275/100,0)</f>
        <v>21</v>
      </c>
      <c r="J275" s="29"/>
    </row>
    <row r="276" spans="1:10" s="22" customFormat="1" ht="14.45" customHeight="1" x14ac:dyDescent="0.2">
      <c r="A276" s="24" t="str">
        <f t="shared" ref="A276:A278" si="119">A275</f>
        <v>월곡</v>
      </c>
      <c r="B276" s="210" t="s">
        <v>79</v>
      </c>
      <c r="C276" s="27">
        <f t="shared" ref="C276:C277" si="120">C275</f>
        <v>1000</v>
      </c>
      <c r="D276" s="27">
        <f t="shared" ref="D276:D278" si="121">D275</f>
        <v>1269</v>
      </c>
      <c r="E276" s="27">
        <f t="shared" ref="E276:E278" si="122">E275</f>
        <v>2000</v>
      </c>
      <c r="F276" s="28">
        <f>VLOOKUP(C276,'0.시설공사비 산정근거'!$A$150:$F$166,3,FALSE)</f>
        <v>3.38</v>
      </c>
      <c r="G276" s="28">
        <f>ROUND(F276-(D276-C276)*(F276-H276)/(E276-C276),2)</f>
        <v>3.31</v>
      </c>
      <c r="H276" s="28">
        <f>VLOOKUP(E276,'0.시설공사비 산정근거'!$A$150:$F$166,3,FALSE)</f>
        <v>3.11</v>
      </c>
      <c r="I276" s="27">
        <f>ROUND(D276*G276/100,0)</f>
        <v>42</v>
      </c>
      <c r="J276" s="29"/>
    </row>
    <row r="277" spans="1:10" s="22" customFormat="1" ht="14.45" customHeight="1" x14ac:dyDescent="0.2">
      <c r="A277" s="24" t="str">
        <f t="shared" si="119"/>
        <v>월곡</v>
      </c>
      <c r="B277" s="210" t="s">
        <v>80</v>
      </c>
      <c r="C277" s="27">
        <f t="shared" si="120"/>
        <v>1000</v>
      </c>
      <c r="D277" s="27">
        <f t="shared" si="121"/>
        <v>1269</v>
      </c>
      <c r="E277" s="27">
        <f t="shared" si="122"/>
        <v>2000</v>
      </c>
      <c r="F277" s="28">
        <f>VLOOKUP(C277,'0.시설공사비 산정근거'!$A$150:$F$166,4,FALSE)</f>
        <v>1.66</v>
      </c>
      <c r="G277" s="28">
        <f>ROUND(F277-(D277-C277)*(F277-H277)/(E277-C277),2)</f>
        <v>1.63</v>
      </c>
      <c r="H277" s="28">
        <f>VLOOKUP(E277,'0.시설공사비 산정근거'!$A$150:$F$166,4,FALSE)</f>
        <v>1.53</v>
      </c>
      <c r="I277" s="27">
        <f>ROUND(D277*G277/100,0)</f>
        <v>21</v>
      </c>
      <c r="J277" s="29"/>
    </row>
    <row r="278" spans="1:10" s="22" customFormat="1" ht="14.45" customHeight="1" x14ac:dyDescent="0.2">
      <c r="A278" s="25" t="str">
        <f t="shared" si="119"/>
        <v>월곡</v>
      </c>
      <c r="B278" s="210" t="s">
        <v>81</v>
      </c>
      <c r="C278" s="27">
        <f t="shared" ref="C278" si="123">C276</f>
        <v>1000</v>
      </c>
      <c r="D278" s="27">
        <f t="shared" si="121"/>
        <v>1269</v>
      </c>
      <c r="E278" s="27">
        <f t="shared" si="122"/>
        <v>2000</v>
      </c>
      <c r="F278" s="28">
        <f>VLOOKUP(C278,'0.시설공사비 산정근거'!$A$150:$F$166,6,FALSE)</f>
        <v>0.63</v>
      </c>
      <c r="G278" s="28">
        <f>ROUND(F278-(D278-C278)*(F278-H278)/(E278-C278),2)</f>
        <v>0.56000000000000005</v>
      </c>
      <c r="H278" s="28">
        <f>VLOOKUP(E278,'0.시설공사비 산정근거'!$A$150:$F$166,6,FALSE)</f>
        <v>0.36</v>
      </c>
      <c r="I278" s="27">
        <f>ROUND(D278*G278/100,0)</f>
        <v>7</v>
      </c>
      <c r="J278" s="29"/>
    </row>
    <row r="279" spans="1:10" s="22" customFormat="1" ht="14.45" customHeight="1" x14ac:dyDescent="0.2">
      <c r="A279" s="18" t="s">
        <v>586</v>
      </c>
      <c r="B279" s="222" t="s">
        <v>190</v>
      </c>
      <c r="C279" s="20"/>
      <c r="D279" s="20"/>
      <c r="E279" s="20"/>
      <c r="F279" s="20"/>
      <c r="G279" s="20"/>
      <c r="H279" s="20"/>
      <c r="I279" s="20">
        <f>SUM(I280:I283)</f>
        <v>57</v>
      </c>
      <c r="J279" s="21"/>
    </row>
    <row r="280" spans="1:10" s="22" customFormat="1" ht="14.45" customHeight="1" x14ac:dyDescent="0.2">
      <c r="A280" s="23" t="str">
        <f>A279</f>
        <v>장곡(증설)</v>
      </c>
      <c r="B280" s="210" t="s">
        <v>78</v>
      </c>
      <c r="C280" s="27">
        <v>500</v>
      </c>
      <c r="D280" s="27">
        <f>I164</f>
        <v>729</v>
      </c>
      <c r="E280" s="27">
        <f t="shared" si="108"/>
        <v>1000</v>
      </c>
      <c r="F280" s="28">
        <f>VLOOKUP(C280,'0.시설공사비 산정근거'!$A$150:$F$166,2,FALSE)</f>
        <v>1.91</v>
      </c>
      <c r="G280" s="28">
        <f>ROUND(F280-(D280-C280)*(F280-H280)/(E280-C280),2)</f>
        <v>1.81</v>
      </c>
      <c r="H280" s="28">
        <f>VLOOKUP(E280,'0.시설공사비 산정근거'!$A$150:$F$166,2,FALSE)</f>
        <v>1.69</v>
      </c>
      <c r="I280" s="27">
        <f>ROUND(D280*G280/100,0)</f>
        <v>13</v>
      </c>
      <c r="J280" s="29"/>
    </row>
    <row r="281" spans="1:10" s="22" customFormat="1" ht="14.45" customHeight="1" x14ac:dyDescent="0.2">
      <c r="A281" s="24" t="str">
        <f t="shared" ref="A281:A283" si="124">A280</f>
        <v>장곡(증설)</v>
      </c>
      <c r="B281" s="210" t="s">
        <v>79</v>
      </c>
      <c r="C281" s="27">
        <f t="shared" ref="C281:C282" si="125">C280</f>
        <v>500</v>
      </c>
      <c r="D281" s="27">
        <f t="shared" ref="D281:D283" si="126">D280</f>
        <v>729</v>
      </c>
      <c r="E281" s="27">
        <f t="shared" ref="E281:E283" si="127">E280</f>
        <v>1000</v>
      </c>
      <c r="F281" s="28">
        <f>VLOOKUP(C281,'0.시설공사비 산정근거'!$A$150:$F$166,3,FALSE)</f>
        <v>3.84</v>
      </c>
      <c r="G281" s="28">
        <f>ROUND(F281-(D281-C281)*(F281-H281)/(E281-C281),2)</f>
        <v>3.63</v>
      </c>
      <c r="H281" s="28">
        <f>VLOOKUP(E281,'0.시설공사비 산정근거'!$A$150:$F$166,3,FALSE)</f>
        <v>3.38</v>
      </c>
      <c r="I281" s="27">
        <f>ROUND(D281*G281/100,0)</f>
        <v>26</v>
      </c>
      <c r="J281" s="29"/>
    </row>
    <row r="282" spans="1:10" s="22" customFormat="1" ht="14.45" customHeight="1" x14ac:dyDescent="0.2">
      <c r="A282" s="24" t="str">
        <f t="shared" si="124"/>
        <v>장곡(증설)</v>
      </c>
      <c r="B282" s="210" t="s">
        <v>80</v>
      </c>
      <c r="C282" s="27">
        <f t="shared" si="125"/>
        <v>500</v>
      </c>
      <c r="D282" s="27">
        <f t="shared" si="126"/>
        <v>729</v>
      </c>
      <c r="E282" s="27">
        <f t="shared" si="127"/>
        <v>1000</v>
      </c>
      <c r="F282" s="28">
        <f>VLOOKUP(C282,'0.시설공사비 산정근거'!$A$150:$F$166,4,FALSE)</f>
        <v>1.89</v>
      </c>
      <c r="G282" s="28">
        <f>ROUND(F282-(D282-C282)*(F282-H282)/(E282-C282),2)</f>
        <v>1.78</v>
      </c>
      <c r="H282" s="28">
        <f>VLOOKUP(E282,'0.시설공사비 산정근거'!$A$150:$F$166,4,FALSE)</f>
        <v>1.66</v>
      </c>
      <c r="I282" s="27">
        <f>ROUND(D282*G282/100,0)</f>
        <v>13</v>
      </c>
      <c r="J282" s="29"/>
    </row>
    <row r="283" spans="1:10" s="22" customFormat="1" ht="14.45" customHeight="1" x14ac:dyDescent="0.2">
      <c r="A283" s="25" t="str">
        <f t="shared" si="124"/>
        <v>장곡(증설)</v>
      </c>
      <c r="B283" s="210" t="s">
        <v>81</v>
      </c>
      <c r="C283" s="27">
        <f t="shared" ref="C283" si="128">C281</f>
        <v>500</v>
      </c>
      <c r="D283" s="27">
        <f t="shared" si="126"/>
        <v>729</v>
      </c>
      <c r="E283" s="27">
        <f t="shared" si="127"/>
        <v>1000</v>
      </c>
      <c r="F283" s="28">
        <f>VLOOKUP(C283,'0.시설공사비 산정근거'!$A$150:$F$166,6,FALSE)</f>
        <v>0.72</v>
      </c>
      <c r="G283" s="28">
        <f>ROUND(F283-(D283-C283)*(F283-H283)/(E283-C283),2)</f>
        <v>0.68</v>
      </c>
      <c r="H283" s="28">
        <f>VLOOKUP(E283,'0.시설공사비 산정근거'!$A$150:$F$166,6,FALSE)</f>
        <v>0.63</v>
      </c>
      <c r="I283" s="27">
        <f>ROUND(D283*G283/100,0)</f>
        <v>5</v>
      </c>
      <c r="J283" s="29"/>
    </row>
    <row r="284" spans="1:10" s="22" customFormat="1" ht="14.45" customHeight="1" x14ac:dyDescent="0.2">
      <c r="A284" s="18" t="s">
        <v>325</v>
      </c>
      <c r="B284" s="222" t="s">
        <v>190</v>
      </c>
      <c r="C284" s="20"/>
      <c r="D284" s="20"/>
      <c r="E284" s="20"/>
      <c r="F284" s="20"/>
      <c r="G284" s="20"/>
      <c r="H284" s="20"/>
      <c r="I284" s="20">
        <f>SUM(I285:I288)</f>
        <v>221</v>
      </c>
      <c r="J284" s="21"/>
    </row>
    <row r="285" spans="1:10" s="22" customFormat="1" ht="14.45" customHeight="1" x14ac:dyDescent="0.2">
      <c r="A285" s="23" t="str">
        <f>A284</f>
        <v>옥동</v>
      </c>
      <c r="B285" s="210" t="s">
        <v>78</v>
      </c>
      <c r="C285" s="27">
        <f t="shared" ref="C285" si="129">ROUNDDOWN(D285,-3)</f>
        <v>3000</v>
      </c>
      <c r="D285" s="27">
        <f>I171</f>
        <v>3513</v>
      </c>
      <c r="E285" s="27">
        <v>5000</v>
      </c>
      <c r="F285" s="28">
        <f>VLOOKUP(C285,'0.시설공사비 산정근거'!$A$150:$F$166,2,FALSE)</f>
        <v>1.5</v>
      </c>
      <c r="G285" s="28">
        <f>ROUND(F285-(D285-C285)*(F285-H285)/(E285-C285),2)</f>
        <v>1.49</v>
      </c>
      <c r="H285" s="28">
        <f>VLOOKUP(E285,'0.시설공사비 산정근거'!$A$150:$F$166,2,FALSE)</f>
        <v>1.47</v>
      </c>
      <c r="I285" s="27">
        <f>ROUND(D285*G285/100,0)</f>
        <v>52</v>
      </c>
      <c r="J285" s="29"/>
    </row>
    <row r="286" spans="1:10" s="22" customFormat="1" ht="14.45" customHeight="1" x14ac:dyDescent="0.2">
      <c r="A286" s="24" t="str">
        <f t="shared" ref="A286:A288" si="130">A285</f>
        <v>옥동</v>
      </c>
      <c r="B286" s="210" t="s">
        <v>79</v>
      </c>
      <c r="C286" s="27">
        <f>C285</f>
        <v>3000</v>
      </c>
      <c r="D286" s="27">
        <f t="shared" ref="D286:D288" si="131">D285</f>
        <v>3513</v>
      </c>
      <c r="E286" s="27">
        <f t="shared" ref="E286:E288" si="132">E285</f>
        <v>5000</v>
      </c>
      <c r="F286" s="28">
        <f>VLOOKUP(C286,'0.시설공사비 산정근거'!$A$150:$F$166,3,FALSE)</f>
        <v>3</v>
      </c>
      <c r="G286" s="28">
        <f>ROUND(F286-(D286-C286)*(F286-H286)/(E286-C286),2)</f>
        <v>2.98</v>
      </c>
      <c r="H286" s="28">
        <f>VLOOKUP(E286,'0.시설공사비 산정근거'!$A$150:$F$166,3,FALSE)</f>
        <v>2.94</v>
      </c>
      <c r="I286" s="27">
        <f>ROUND(D286*G286/100,0)</f>
        <v>105</v>
      </c>
      <c r="J286" s="29"/>
    </row>
    <row r="287" spans="1:10" s="22" customFormat="1" ht="14.45" customHeight="1" x14ac:dyDescent="0.2">
      <c r="A287" s="24" t="str">
        <f t="shared" si="130"/>
        <v>옥동</v>
      </c>
      <c r="B287" s="210" t="s">
        <v>80</v>
      </c>
      <c r="C287" s="27">
        <f>C286</f>
        <v>3000</v>
      </c>
      <c r="D287" s="27">
        <f t="shared" si="131"/>
        <v>3513</v>
      </c>
      <c r="E287" s="27">
        <f t="shared" si="132"/>
        <v>5000</v>
      </c>
      <c r="F287" s="28">
        <f>VLOOKUP(C287,'0.시설공사비 산정근거'!$A$150:$F$166,4,FALSE)</f>
        <v>1.48</v>
      </c>
      <c r="G287" s="28">
        <f>ROUND(F287-(D287-C287)*(F287-H287)/(E287-C287),2)</f>
        <v>1.47</v>
      </c>
      <c r="H287" s="28">
        <f>VLOOKUP(E287,'0.시설공사비 산정근거'!$A$150:$F$166,4,FALSE)</f>
        <v>1.45</v>
      </c>
      <c r="I287" s="27">
        <f>ROUND(D287*G287/100,0)</f>
        <v>52</v>
      </c>
      <c r="J287" s="29"/>
    </row>
    <row r="288" spans="1:10" s="22" customFormat="1" ht="14.45" customHeight="1" x14ac:dyDescent="0.2">
      <c r="A288" s="86" t="str">
        <f t="shared" si="130"/>
        <v>옥동</v>
      </c>
      <c r="B288" s="211" t="s">
        <v>81</v>
      </c>
      <c r="C288" s="40">
        <f>C286</f>
        <v>3000</v>
      </c>
      <c r="D288" s="40">
        <f t="shared" si="131"/>
        <v>3513</v>
      </c>
      <c r="E288" s="40">
        <f t="shared" si="132"/>
        <v>5000</v>
      </c>
      <c r="F288" s="41">
        <f>VLOOKUP(C288,'0.시설공사비 산정근거'!$A$150:$F$166,6,FALSE)</f>
        <v>0.36</v>
      </c>
      <c r="G288" s="41">
        <f>ROUND(F288-(D288-C288)*(F288-H288)/(E288-C288),2)</f>
        <v>0.34</v>
      </c>
      <c r="H288" s="41">
        <f>VLOOKUP(E288,'0.시설공사비 산정근거'!$A$150:$F$166,6,FALSE)</f>
        <v>0.27</v>
      </c>
      <c r="I288" s="40">
        <f>ROUND(D288*G288/100,0)</f>
        <v>12</v>
      </c>
      <c r="J288" s="42"/>
    </row>
    <row r="290" spans="1:10" ht="15.95" customHeight="1" x14ac:dyDescent="0.2">
      <c r="A290" s="5" t="s">
        <v>211</v>
      </c>
      <c r="B290" s="5"/>
    </row>
    <row r="291" spans="1:10" ht="23.25" thickBot="1" x14ac:dyDescent="0.25">
      <c r="A291" s="255" t="s">
        <v>132</v>
      </c>
      <c r="B291" s="256"/>
      <c r="C291" s="256"/>
      <c r="D291" s="256"/>
      <c r="E291" s="51" t="s">
        <v>160</v>
      </c>
      <c r="F291" s="51" t="s">
        <v>200</v>
      </c>
      <c r="G291" s="51" t="s">
        <v>201</v>
      </c>
      <c r="H291" s="51" t="s">
        <v>202</v>
      </c>
      <c r="I291" s="51" t="s">
        <v>203</v>
      </c>
      <c r="J291" s="169" t="s">
        <v>137</v>
      </c>
    </row>
    <row r="292" spans="1:10" ht="15.95" customHeight="1" thickTop="1" x14ac:dyDescent="0.2">
      <c r="A292" s="333" t="s">
        <v>186</v>
      </c>
      <c r="B292" s="342" t="s">
        <v>186</v>
      </c>
      <c r="C292" s="342"/>
      <c r="D292" s="342"/>
      <c r="E292" s="101">
        <f t="shared" ref="E292:E299" si="133">SUM(F292:I292)</f>
        <v>71895</v>
      </c>
      <c r="F292" s="101">
        <f>F293+F294+F295</f>
        <v>41546</v>
      </c>
      <c r="G292" s="101">
        <f t="shared" ref="G292:I292" si="134">G293+G294+G295</f>
        <v>30349</v>
      </c>
      <c r="H292" s="101">
        <f t="shared" si="134"/>
        <v>0</v>
      </c>
      <c r="I292" s="101">
        <f t="shared" si="134"/>
        <v>0</v>
      </c>
      <c r="J292" s="102"/>
    </row>
    <row r="293" spans="1:10" ht="15.95" customHeight="1" x14ac:dyDescent="0.2">
      <c r="A293" s="334"/>
      <c r="B293" s="335" t="s">
        <v>196</v>
      </c>
      <c r="C293" s="335"/>
      <c r="D293" s="335"/>
      <c r="E293" s="174">
        <f t="shared" si="133"/>
        <v>66906</v>
      </c>
      <c r="F293" s="174">
        <f>F301+F309+F317+F325+F333+F342+F350+F358+F366+F374+F382+F391+F399+F407+F415+F423+F431+F440+F448+F456+F464</f>
        <v>38819</v>
      </c>
      <c r="G293" s="224">
        <f t="shared" ref="G293:I293" si="135">G301+G309+G317+G325+G333+G342+G350+G358+G366+G374+G382+G391+G399+G407+G415+G423+G431+G440+G448+G456+G464</f>
        <v>28087</v>
      </c>
      <c r="H293" s="224">
        <f t="shared" si="135"/>
        <v>0</v>
      </c>
      <c r="I293" s="224">
        <f t="shared" si="135"/>
        <v>0</v>
      </c>
      <c r="J293" s="98"/>
    </row>
    <row r="294" spans="1:10" ht="15.95" customHeight="1" x14ac:dyDescent="0.2">
      <c r="A294" s="334"/>
      <c r="B294" s="335" t="s">
        <v>487</v>
      </c>
      <c r="C294" s="335"/>
      <c r="D294" s="335"/>
      <c r="E294" s="174">
        <f t="shared" ref="E294" si="136">SUM(F294:I294)</f>
        <v>757</v>
      </c>
      <c r="F294" s="224">
        <f t="shared" ref="F294:I294" si="137">F302+F310+F318+F326+F334+F343+F351+F359+F367+F375+F383+F392+F400+F408+F416+F424+F432+F441+F449+F457+F465</f>
        <v>308</v>
      </c>
      <c r="G294" s="224">
        <f t="shared" si="137"/>
        <v>449</v>
      </c>
      <c r="H294" s="224">
        <f t="shared" si="137"/>
        <v>0</v>
      </c>
      <c r="I294" s="224">
        <f t="shared" si="137"/>
        <v>0</v>
      </c>
      <c r="J294" s="98"/>
    </row>
    <row r="295" spans="1:10" ht="15.95" customHeight="1" x14ac:dyDescent="0.2">
      <c r="A295" s="334"/>
      <c r="B295" s="335" t="s">
        <v>197</v>
      </c>
      <c r="C295" s="330" t="s">
        <v>236</v>
      </c>
      <c r="D295" s="330"/>
      <c r="E295" s="174">
        <f t="shared" si="133"/>
        <v>4232</v>
      </c>
      <c r="F295" s="174">
        <f>SUM(F296:F299)</f>
        <v>2419</v>
      </c>
      <c r="G295" s="174">
        <f>SUM(G296:G299)</f>
        <v>1813</v>
      </c>
      <c r="H295" s="224">
        <f t="shared" ref="H295:I295" si="138">SUM(H296:H299)</f>
        <v>0</v>
      </c>
      <c r="I295" s="224">
        <f t="shared" si="138"/>
        <v>0</v>
      </c>
      <c r="J295" s="98"/>
    </row>
    <row r="296" spans="1:10" ht="15.95" customHeight="1" x14ac:dyDescent="0.2">
      <c r="A296" s="334"/>
      <c r="B296" s="335"/>
      <c r="C296" s="364" t="s">
        <v>78</v>
      </c>
      <c r="D296" s="364"/>
      <c r="E296" s="174">
        <f t="shared" si="133"/>
        <v>1008</v>
      </c>
      <c r="F296" s="224">
        <f t="shared" ref="F296:I296" si="139">F304+F312+F320+F328+F336+F345+F353+F361+F369+F377+F385+F394+F402+F410+F418+F426+F434+F443+F451+F459+F467</f>
        <v>578</v>
      </c>
      <c r="G296" s="224">
        <f t="shared" si="139"/>
        <v>430</v>
      </c>
      <c r="H296" s="224">
        <f t="shared" si="139"/>
        <v>0</v>
      </c>
      <c r="I296" s="224">
        <f t="shared" si="139"/>
        <v>0</v>
      </c>
      <c r="J296" s="98"/>
    </row>
    <row r="297" spans="1:10" ht="15.95" customHeight="1" x14ac:dyDescent="0.2">
      <c r="A297" s="334"/>
      <c r="B297" s="335"/>
      <c r="C297" s="364" t="s">
        <v>79</v>
      </c>
      <c r="D297" s="364"/>
      <c r="E297" s="174">
        <f t="shared" si="133"/>
        <v>2012</v>
      </c>
      <c r="F297" s="224">
        <f t="shared" ref="F297:I297" si="140">F305+F313+F321+F329+F337+F346+F354+F362+F370+F378+F386+F395+F403+F411+F419+F427+F435+F444+F452+F460+F468</f>
        <v>1153</v>
      </c>
      <c r="G297" s="224">
        <f t="shared" si="140"/>
        <v>859</v>
      </c>
      <c r="H297" s="224">
        <f t="shared" si="140"/>
        <v>0</v>
      </c>
      <c r="I297" s="224">
        <f t="shared" si="140"/>
        <v>0</v>
      </c>
      <c r="J297" s="98"/>
    </row>
    <row r="298" spans="1:10" ht="15.95" customHeight="1" x14ac:dyDescent="0.2">
      <c r="A298" s="334"/>
      <c r="B298" s="335"/>
      <c r="C298" s="364" t="s">
        <v>80</v>
      </c>
      <c r="D298" s="364"/>
      <c r="E298" s="174">
        <f t="shared" si="133"/>
        <v>993</v>
      </c>
      <c r="F298" s="224">
        <f t="shared" ref="F298:I298" si="141">F306+F314+F322+F330+F338+F347+F355+F363+F371+F379+F387+F396+F404+F412+F420+F428+F436+F445+F453+F461+F469</f>
        <v>569</v>
      </c>
      <c r="G298" s="224">
        <f t="shared" si="141"/>
        <v>424</v>
      </c>
      <c r="H298" s="224">
        <f t="shared" si="141"/>
        <v>0</v>
      </c>
      <c r="I298" s="224">
        <f t="shared" si="141"/>
        <v>0</v>
      </c>
      <c r="J298" s="98"/>
    </row>
    <row r="299" spans="1:10" ht="15.95" customHeight="1" x14ac:dyDescent="0.2">
      <c r="A299" s="334"/>
      <c r="B299" s="335"/>
      <c r="C299" s="364" t="s">
        <v>81</v>
      </c>
      <c r="D299" s="364"/>
      <c r="E299" s="174">
        <f t="shared" si="133"/>
        <v>219</v>
      </c>
      <c r="F299" s="224">
        <f t="shared" ref="F299:I299" si="142">F307+F315+F323+F331+F339+F348+F356+F364+F372+F380+F388+F397+F405+F413+F421+F429+F437+F446+F454+F462+F470</f>
        <v>119</v>
      </c>
      <c r="G299" s="224">
        <f t="shared" si="142"/>
        <v>100</v>
      </c>
      <c r="H299" s="224">
        <f t="shared" si="142"/>
        <v>0</v>
      </c>
      <c r="I299" s="224">
        <f t="shared" si="142"/>
        <v>0</v>
      </c>
      <c r="J299" s="98"/>
    </row>
    <row r="300" spans="1:10" ht="15.95" customHeight="1" x14ac:dyDescent="0.2">
      <c r="A300" s="334" t="s">
        <v>306</v>
      </c>
      <c r="B300" s="335" t="s">
        <v>85</v>
      </c>
      <c r="C300" s="335"/>
      <c r="D300" s="335"/>
      <c r="E300" s="174">
        <f>SUM(F300:I300)</f>
        <v>1978</v>
      </c>
      <c r="F300" s="174">
        <f>F301+F302+F303</f>
        <v>1978</v>
      </c>
      <c r="G300" s="174">
        <f t="shared" ref="G300:I300" si="143">G301+G302+G303</f>
        <v>0</v>
      </c>
      <c r="H300" s="174">
        <f t="shared" si="143"/>
        <v>0</v>
      </c>
      <c r="I300" s="174">
        <f t="shared" si="143"/>
        <v>0</v>
      </c>
      <c r="J300" s="98"/>
    </row>
    <row r="301" spans="1:10" ht="15.95" customHeight="1" x14ac:dyDescent="0.2">
      <c r="A301" s="334"/>
      <c r="B301" s="335" t="s">
        <v>86</v>
      </c>
      <c r="C301" s="335"/>
      <c r="D301" s="335"/>
      <c r="E301" s="174">
        <f t="shared" ref="E301:E339" si="144">SUM(F301:I301)</f>
        <v>1835</v>
      </c>
      <c r="F301" s="174">
        <f>I29</f>
        <v>1835</v>
      </c>
      <c r="G301" s="174">
        <v>0</v>
      </c>
      <c r="H301" s="174">
        <v>0</v>
      </c>
      <c r="I301" s="174">
        <v>0</v>
      </c>
      <c r="J301" s="98"/>
    </row>
    <row r="302" spans="1:10" ht="15.95" customHeight="1" x14ac:dyDescent="0.2">
      <c r="A302" s="334"/>
      <c r="B302" s="335" t="s">
        <v>487</v>
      </c>
      <c r="C302" s="335"/>
      <c r="D302" s="335"/>
      <c r="E302" s="174">
        <f t="shared" si="144"/>
        <v>21</v>
      </c>
      <c r="F302" s="224">
        <f>I35</f>
        <v>21</v>
      </c>
      <c r="G302" s="174">
        <v>0</v>
      </c>
      <c r="H302" s="174">
        <v>0</v>
      </c>
      <c r="I302" s="174">
        <v>0</v>
      </c>
      <c r="J302" s="98"/>
    </row>
    <row r="303" spans="1:10" ht="15.95" customHeight="1" x14ac:dyDescent="0.2">
      <c r="A303" s="334"/>
      <c r="B303" s="335" t="s">
        <v>87</v>
      </c>
      <c r="C303" s="330" t="s">
        <v>236</v>
      </c>
      <c r="D303" s="330"/>
      <c r="E303" s="174">
        <f t="shared" si="144"/>
        <v>122</v>
      </c>
      <c r="F303" s="174">
        <f>SUM(F304:F307)</f>
        <v>122</v>
      </c>
      <c r="G303" s="174">
        <f t="shared" ref="G303:I303" si="145">SUM(G304:G307)</f>
        <v>0</v>
      </c>
      <c r="H303" s="174">
        <f t="shared" si="145"/>
        <v>0</v>
      </c>
      <c r="I303" s="174">
        <f t="shared" si="145"/>
        <v>0</v>
      </c>
      <c r="J303" s="98"/>
    </row>
    <row r="304" spans="1:10" ht="15.95" customHeight="1" x14ac:dyDescent="0.2">
      <c r="A304" s="334"/>
      <c r="B304" s="335"/>
      <c r="C304" s="364" t="s">
        <v>78</v>
      </c>
      <c r="D304" s="364"/>
      <c r="E304" s="174">
        <f t="shared" si="144"/>
        <v>29</v>
      </c>
      <c r="F304" s="174">
        <f>I183</f>
        <v>29</v>
      </c>
      <c r="G304" s="174">
        <v>0</v>
      </c>
      <c r="H304" s="174">
        <v>0</v>
      </c>
      <c r="I304" s="174">
        <v>0</v>
      </c>
      <c r="J304" s="98"/>
    </row>
    <row r="305" spans="1:10" ht="15.95" customHeight="1" x14ac:dyDescent="0.2">
      <c r="A305" s="334"/>
      <c r="B305" s="335"/>
      <c r="C305" s="364" t="s">
        <v>79</v>
      </c>
      <c r="D305" s="364"/>
      <c r="E305" s="174">
        <f t="shared" si="144"/>
        <v>58</v>
      </c>
      <c r="F305" s="174">
        <f>I184</f>
        <v>58</v>
      </c>
      <c r="G305" s="174">
        <v>0</v>
      </c>
      <c r="H305" s="174">
        <v>0</v>
      </c>
      <c r="I305" s="174">
        <v>0</v>
      </c>
      <c r="J305" s="98"/>
    </row>
    <row r="306" spans="1:10" ht="15.95" customHeight="1" x14ac:dyDescent="0.2">
      <c r="A306" s="334"/>
      <c r="B306" s="335"/>
      <c r="C306" s="364" t="s">
        <v>62</v>
      </c>
      <c r="D306" s="364"/>
      <c r="E306" s="174">
        <f t="shared" si="144"/>
        <v>28</v>
      </c>
      <c r="F306" s="174">
        <f>I185</f>
        <v>28</v>
      </c>
      <c r="G306" s="174">
        <v>0</v>
      </c>
      <c r="H306" s="174">
        <v>0</v>
      </c>
      <c r="I306" s="174">
        <v>0</v>
      </c>
      <c r="J306" s="98"/>
    </row>
    <row r="307" spans="1:10" ht="15.95" customHeight="1" x14ac:dyDescent="0.2">
      <c r="A307" s="334"/>
      <c r="B307" s="335"/>
      <c r="C307" s="364" t="s">
        <v>81</v>
      </c>
      <c r="D307" s="364"/>
      <c r="E307" s="174">
        <f t="shared" si="144"/>
        <v>7</v>
      </c>
      <c r="F307" s="174">
        <f>I186</f>
        <v>7</v>
      </c>
      <c r="G307" s="174">
        <v>0</v>
      </c>
      <c r="H307" s="174">
        <v>0</v>
      </c>
      <c r="I307" s="174">
        <v>0</v>
      </c>
      <c r="J307" s="98"/>
    </row>
    <row r="308" spans="1:10" ht="15.95" customHeight="1" x14ac:dyDescent="0.2">
      <c r="A308" s="334" t="s">
        <v>567</v>
      </c>
      <c r="B308" s="335" t="s">
        <v>85</v>
      </c>
      <c r="C308" s="335"/>
      <c r="D308" s="335"/>
      <c r="E308" s="174">
        <f t="shared" si="144"/>
        <v>5397</v>
      </c>
      <c r="F308" s="224">
        <f t="shared" ref="F308:H308" si="146">F309+F310+F311</f>
        <v>0</v>
      </c>
      <c r="G308" s="224">
        <f t="shared" si="146"/>
        <v>5397</v>
      </c>
      <c r="H308" s="174">
        <f t="shared" si="146"/>
        <v>0</v>
      </c>
      <c r="I308" s="174">
        <f t="shared" ref="I308" si="147">I309+I310+I311</f>
        <v>0</v>
      </c>
      <c r="J308" s="98"/>
    </row>
    <row r="309" spans="1:10" ht="15.95" customHeight="1" x14ac:dyDescent="0.2">
      <c r="A309" s="334"/>
      <c r="B309" s="335" t="s">
        <v>86</v>
      </c>
      <c r="C309" s="335"/>
      <c r="D309" s="335"/>
      <c r="E309" s="174">
        <f t="shared" si="144"/>
        <v>4958</v>
      </c>
      <c r="F309" s="224">
        <v>0</v>
      </c>
      <c r="G309" s="174">
        <f>I36</f>
        <v>4958</v>
      </c>
      <c r="H309" s="174">
        <v>0</v>
      </c>
      <c r="I309" s="174">
        <v>0</v>
      </c>
      <c r="J309" s="98"/>
    </row>
    <row r="310" spans="1:10" ht="15.95" customHeight="1" x14ac:dyDescent="0.2">
      <c r="A310" s="334"/>
      <c r="B310" s="335" t="s">
        <v>487</v>
      </c>
      <c r="C310" s="335"/>
      <c r="D310" s="335"/>
      <c r="E310" s="174">
        <f t="shared" si="144"/>
        <v>135</v>
      </c>
      <c r="F310" s="224">
        <v>0</v>
      </c>
      <c r="G310" s="224">
        <f>I42</f>
        <v>135</v>
      </c>
      <c r="H310" s="174">
        <v>0</v>
      </c>
      <c r="I310" s="174">
        <v>0</v>
      </c>
      <c r="J310" s="98"/>
    </row>
    <row r="311" spans="1:10" ht="15.95" customHeight="1" x14ac:dyDescent="0.2">
      <c r="A311" s="334"/>
      <c r="B311" s="335" t="s">
        <v>87</v>
      </c>
      <c r="C311" s="330" t="s">
        <v>236</v>
      </c>
      <c r="D311" s="330"/>
      <c r="E311" s="174">
        <f t="shared" si="144"/>
        <v>304</v>
      </c>
      <c r="F311" s="224">
        <f t="shared" ref="F311" si="148">SUM(F312:F315)</f>
        <v>0</v>
      </c>
      <c r="G311" s="174">
        <f>SUM(G312:G315)</f>
        <v>304</v>
      </c>
      <c r="H311" s="174">
        <f t="shared" ref="H311" si="149">SUM(H312:H315)</f>
        <v>0</v>
      </c>
      <c r="I311" s="174">
        <f t="shared" ref="I311" si="150">SUM(I312:I315)</f>
        <v>0</v>
      </c>
      <c r="J311" s="98"/>
    </row>
    <row r="312" spans="1:10" ht="15.95" customHeight="1" x14ac:dyDescent="0.2">
      <c r="A312" s="334"/>
      <c r="B312" s="335"/>
      <c r="C312" s="364" t="s">
        <v>78</v>
      </c>
      <c r="D312" s="364"/>
      <c r="E312" s="174">
        <f t="shared" si="144"/>
        <v>73</v>
      </c>
      <c r="F312" s="224">
        <v>0</v>
      </c>
      <c r="G312" s="174">
        <f>I188</f>
        <v>73</v>
      </c>
      <c r="H312" s="174">
        <v>0</v>
      </c>
      <c r="I312" s="174">
        <v>0</v>
      </c>
      <c r="J312" s="98"/>
    </row>
    <row r="313" spans="1:10" ht="15.95" customHeight="1" x14ac:dyDescent="0.2">
      <c r="A313" s="334"/>
      <c r="B313" s="335"/>
      <c r="C313" s="364" t="s">
        <v>79</v>
      </c>
      <c r="D313" s="364"/>
      <c r="E313" s="174">
        <f t="shared" si="144"/>
        <v>146</v>
      </c>
      <c r="F313" s="224">
        <v>0</v>
      </c>
      <c r="G313" s="174">
        <f>I189</f>
        <v>146</v>
      </c>
      <c r="H313" s="174">
        <v>0</v>
      </c>
      <c r="I313" s="174">
        <v>0</v>
      </c>
      <c r="J313" s="98"/>
    </row>
    <row r="314" spans="1:10" ht="15.95" customHeight="1" x14ac:dyDescent="0.2">
      <c r="A314" s="334"/>
      <c r="B314" s="335"/>
      <c r="C314" s="364" t="s">
        <v>62</v>
      </c>
      <c r="D314" s="364"/>
      <c r="E314" s="174">
        <f t="shared" si="144"/>
        <v>72</v>
      </c>
      <c r="F314" s="224">
        <v>0</v>
      </c>
      <c r="G314" s="174">
        <f>I190</f>
        <v>72</v>
      </c>
      <c r="H314" s="174">
        <v>0</v>
      </c>
      <c r="I314" s="174">
        <v>0</v>
      </c>
      <c r="J314" s="98"/>
    </row>
    <row r="315" spans="1:10" ht="15.95" customHeight="1" x14ac:dyDescent="0.2">
      <c r="A315" s="334"/>
      <c r="B315" s="335"/>
      <c r="C315" s="364" t="s">
        <v>81</v>
      </c>
      <c r="D315" s="364"/>
      <c r="E315" s="174">
        <f t="shared" si="144"/>
        <v>13</v>
      </c>
      <c r="F315" s="224">
        <v>0</v>
      </c>
      <c r="G315" s="174">
        <f>I191</f>
        <v>13</v>
      </c>
      <c r="H315" s="174">
        <v>0</v>
      </c>
      <c r="I315" s="174">
        <v>0</v>
      </c>
      <c r="J315" s="98"/>
    </row>
    <row r="316" spans="1:10" ht="15.95" customHeight="1" x14ac:dyDescent="0.2">
      <c r="A316" s="334" t="s">
        <v>568</v>
      </c>
      <c r="B316" s="335" t="s">
        <v>85</v>
      </c>
      <c r="C316" s="335"/>
      <c r="D316" s="335"/>
      <c r="E316" s="174">
        <f t="shared" si="144"/>
        <v>2041</v>
      </c>
      <c r="F316" s="174">
        <f>F317+F318+F319</f>
        <v>0</v>
      </c>
      <c r="G316" s="174">
        <f t="shared" ref="G316" si="151">G317+G318+G319</f>
        <v>2041</v>
      </c>
      <c r="H316" s="174">
        <f t="shared" ref="H316" si="152">H317+H318+H319</f>
        <v>0</v>
      </c>
      <c r="I316" s="174">
        <f t="shared" ref="I316" si="153">I317+I318+I319</f>
        <v>0</v>
      </c>
      <c r="J316" s="98"/>
    </row>
    <row r="317" spans="1:10" ht="15.95" customHeight="1" x14ac:dyDescent="0.2">
      <c r="A317" s="334"/>
      <c r="B317" s="335" t="s">
        <v>86</v>
      </c>
      <c r="C317" s="335"/>
      <c r="D317" s="335"/>
      <c r="E317" s="174">
        <f t="shared" si="144"/>
        <v>1884</v>
      </c>
      <c r="F317" s="174">
        <v>0</v>
      </c>
      <c r="G317" s="224">
        <f>I43</f>
        <v>1884</v>
      </c>
      <c r="H317" s="174">
        <v>0</v>
      </c>
      <c r="I317" s="174">
        <v>0</v>
      </c>
      <c r="J317" s="98"/>
    </row>
    <row r="318" spans="1:10" ht="15.95" customHeight="1" x14ac:dyDescent="0.2">
      <c r="A318" s="334"/>
      <c r="B318" s="335" t="s">
        <v>487</v>
      </c>
      <c r="C318" s="335"/>
      <c r="D318" s="335"/>
      <c r="E318" s="174">
        <f t="shared" si="144"/>
        <v>32</v>
      </c>
      <c r="F318" s="174">
        <v>0</v>
      </c>
      <c r="G318" s="224">
        <f>I49</f>
        <v>32</v>
      </c>
      <c r="H318" s="174">
        <v>0</v>
      </c>
      <c r="I318" s="174">
        <v>0</v>
      </c>
      <c r="J318" s="98"/>
    </row>
    <row r="319" spans="1:10" ht="15.95" customHeight="1" x14ac:dyDescent="0.2">
      <c r="A319" s="334"/>
      <c r="B319" s="335" t="s">
        <v>87</v>
      </c>
      <c r="C319" s="330" t="s">
        <v>236</v>
      </c>
      <c r="D319" s="330"/>
      <c r="E319" s="174">
        <f t="shared" si="144"/>
        <v>125</v>
      </c>
      <c r="F319" s="174">
        <v>0</v>
      </c>
      <c r="G319" s="174">
        <f t="shared" ref="G319:H319" si="154">SUM(G320:G323)</f>
        <v>125</v>
      </c>
      <c r="H319" s="174">
        <f t="shared" si="154"/>
        <v>0</v>
      </c>
      <c r="I319" s="174">
        <f t="shared" ref="I319" si="155">SUM(I320:I323)</f>
        <v>0</v>
      </c>
      <c r="J319" s="98"/>
    </row>
    <row r="320" spans="1:10" ht="15.95" customHeight="1" x14ac:dyDescent="0.2">
      <c r="A320" s="334"/>
      <c r="B320" s="335"/>
      <c r="C320" s="364" t="s">
        <v>78</v>
      </c>
      <c r="D320" s="364"/>
      <c r="E320" s="174">
        <f t="shared" si="144"/>
        <v>30</v>
      </c>
      <c r="F320" s="174">
        <v>0</v>
      </c>
      <c r="G320" s="174">
        <f>I193</f>
        <v>30</v>
      </c>
      <c r="H320" s="174">
        <v>0</v>
      </c>
      <c r="I320" s="174">
        <v>0</v>
      </c>
      <c r="J320" s="98"/>
    </row>
    <row r="321" spans="1:10" ht="15.95" customHeight="1" x14ac:dyDescent="0.2">
      <c r="A321" s="334"/>
      <c r="B321" s="335"/>
      <c r="C321" s="364" t="s">
        <v>79</v>
      </c>
      <c r="D321" s="364"/>
      <c r="E321" s="174">
        <f t="shared" si="144"/>
        <v>59</v>
      </c>
      <c r="F321" s="174">
        <v>0</v>
      </c>
      <c r="G321" s="174">
        <f>I194</f>
        <v>59</v>
      </c>
      <c r="H321" s="174">
        <v>0</v>
      </c>
      <c r="I321" s="174">
        <v>0</v>
      </c>
      <c r="J321" s="98"/>
    </row>
    <row r="322" spans="1:10" ht="15.95" customHeight="1" x14ac:dyDescent="0.2">
      <c r="A322" s="334"/>
      <c r="B322" s="335"/>
      <c r="C322" s="364" t="s">
        <v>62</v>
      </c>
      <c r="D322" s="364"/>
      <c r="E322" s="174">
        <f t="shared" si="144"/>
        <v>29</v>
      </c>
      <c r="F322" s="174">
        <v>0</v>
      </c>
      <c r="G322" s="174">
        <f>I195</f>
        <v>29</v>
      </c>
      <c r="H322" s="174">
        <v>0</v>
      </c>
      <c r="I322" s="174">
        <v>0</v>
      </c>
      <c r="J322" s="98"/>
    </row>
    <row r="323" spans="1:10" ht="15.95" customHeight="1" x14ac:dyDescent="0.2">
      <c r="A323" s="334"/>
      <c r="B323" s="335"/>
      <c r="C323" s="364" t="s">
        <v>81</v>
      </c>
      <c r="D323" s="364"/>
      <c r="E323" s="174">
        <f t="shared" si="144"/>
        <v>7</v>
      </c>
      <c r="F323" s="174">
        <v>0</v>
      </c>
      <c r="G323" s="174">
        <f>I196</f>
        <v>7</v>
      </c>
      <c r="H323" s="174">
        <v>0</v>
      </c>
      <c r="I323" s="174">
        <v>0</v>
      </c>
      <c r="J323" s="98"/>
    </row>
    <row r="324" spans="1:10" ht="15.95" customHeight="1" x14ac:dyDescent="0.2">
      <c r="A324" s="334" t="s">
        <v>569</v>
      </c>
      <c r="B324" s="335" t="s">
        <v>85</v>
      </c>
      <c r="C324" s="335"/>
      <c r="D324" s="335"/>
      <c r="E324" s="174">
        <f t="shared" si="144"/>
        <v>1861</v>
      </c>
      <c r="F324" s="174">
        <f>F325+F326+F327</f>
        <v>0</v>
      </c>
      <c r="G324" s="174">
        <f t="shared" ref="G324" si="156">G325+G326+G327</f>
        <v>1861</v>
      </c>
      <c r="H324" s="174">
        <f t="shared" ref="H324" si="157">H325+H326+H327</f>
        <v>0</v>
      </c>
      <c r="I324" s="174">
        <f t="shared" ref="I324" si="158">I325+I326+I327</f>
        <v>0</v>
      </c>
      <c r="J324" s="98"/>
    </row>
    <row r="325" spans="1:10" ht="15.95" customHeight="1" x14ac:dyDescent="0.2">
      <c r="A325" s="334"/>
      <c r="B325" s="335" t="s">
        <v>86</v>
      </c>
      <c r="C325" s="335"/>
      <c r="D325" s="335"/>
      <c r="E325" s="174">
        <f t="shared" si="144"/>
        <v>1682</v>
      </c>
      <c r="F325" s="174">
        <v>0</v>
      </c>
      <c r="G325" s="174">
        <f>I50</f>
        <v>1682</v>
      </c>
      <c r="H325" s="174">
        <v>0</v>
      </c>
      <c r="I325" s="174">
        <v>0</v>
      </c>
      <c r="J325" s="98"/>
    </row>
    <row r="326" spans="1:10" ht="15.95" customHeight="1" x14ac:dyDescent="0.2">
      <c r="A326" s="334"/>
      <c r="B326" s="335" t="s">
        <v>487</v>
      </c>
      <c r="C326" s="335"/>
      <c r="D326" s="335"/>
      <c r="E326" s="174">
        <f t="shared" si="144"/>
        <v>64</v>
      </c>
      <c r="F326" s="174">
        <v>0</v>
      </c>
      <c r="G326" s="224">
        <f>I56</f>
        <v>64</v>
      </c>
      <c r="H326" s="174">
        <v>0</v>
      </c>
      <c r="I326" s="174">
        <v>0</v>
      </c>
      <c r="J326" s="98"/>
    </row>
    <row r="327" spans="1:10" ht="15.95" customHeight="1" x14ac:dyDescent="0.2">
      <c r="A327" s="334"/>
      <c r="B327" s="335" t="s">
        <v>87</v>
      </c>
      <c r="C327" s="330" t="s">
        <v>236</v>
      </c>
      <c r="D327" s="330"/>
      <c r="E327" s="174">
        <f t="shared" si="144"/>
        <v>115</v>
      </c>
      <c r="F327" s="174">
        <v>0</v>
      </c>
      <c r="G327" s="174">
        <f t="shared" ref="G327" si="159">SUM(G328:G331)</f>
        <v>115</v>
      </c>
      <c r="H327" s="174">
        <f t="shared" ref="H327" si="160">SUM(H328:H331)</f>
        <v>0</v>
      </c>
      <c r="I327" s="174">
        <f t="shared" ref="I327" si="161">SUM(I328:I331)</f>
        <v>0</v>
      </c>
      <c r="J327" s="98"/>
    </row>
    <row r="328" spans="1:10" ht="15.95" customHeight="1" x14ac:dyDescent="0.2">
      <c r="A328" s="334"/>
      <c r="B328" s="335"/>
      <c r="C328" s="364" t="s">
        <v>78</v>
      </c>
      <c r="D328" s="364"/>
      <c r="E328" s="174">
        <f t="shared" si="144"/>
        <v>27</v>
      </c>
      <c r="F328" s="174">
        <v>0</v>
      </c>
      <c r="G328" s="174">
        <f>I198</f>
        <v>27</v>
      </c>
      <c r="H328" s="174">
        <v>0</v>
      </c>
      <c r="I328" s="174">
        <v>0</v>
      </c>
      <c r="J328" s="98"/>
    </row>
    <row r="329" spans="1:10" ht="15.95" customHeight="1" x14ac:dyDescent="0.2">
      <c r="A329" s="334"/>
      <c r="B329" s="335"/>
      <c r="C329" s="364" t="s">
        <v>79</v>
      </c>
      <c r="D329" s="364"/>
      <c r="E329" s="174">
        <f t="shared" si="144"/>
        <v>54</v>
      </c>
      <c r="F329" s="174">
        <v>0</v>
      </c>
      <c r="G329" s="174">
        <f>I199</f>
        <v>54</v>
      </c>
      <c r="H329" s="174">
        <v>0</v>
      </c>
      <c r="I329" s="174">
        <v>0</v>
      </c>
      <c r="J329" s="98"/>
    </row>
    <row r="330" spans="1:10" ht="15.95" customHeight="1" x14ac:dyDescent="0.2">
      <c r="A330" s="334"/>
      <c r="B330" s="335"/>
      <c r="C330" s="364" t="s">
        <v>62</v>
      </c>
      <c r="D330" s="364"/>
      <c r="E330" s="174">
        <f t="shared" si="144"/>
        <v>26</v>
      </c>
      <c r="F330" s="174">
        <v>0</v>
      </c>
      <c r="G330" s="174">
        <f>I200</f>
        <v>26</v>
      </c>
      <c r="H330" s="174">
        <v>0</v>
      </c>
      <c r="I330" s="174">
        <v>0</v>
      </c>
      <c r="J330" s="98"/>
    </row>
    <row r="331" spans="1:10" ht="15.95" customHeight="1" x14ac:dyDescent="0.2">
      <c r="A331" s="334"/>
      <c r="B331" s="335"/>
      <c r="C331" s="364" t="s">
        <v>81</v>
      </c>
      <c r="D331" s="364"/>
      <c r="E331" s="174">
        <f t="shared" si="144"/>
        <v>8</v>
      </c>
      <c r="F331" s="174">
        <v>0</v>
      </c>
      <c r="G331" s="174">
        <f>I201</f>
        <v>8</v>
      </c>
      <c r="H331" s="174">
        <v>0</v>
      </c>
      <c r="I331" s="174">
        <v>0</v>
      </c>
      <c r="J331" s="98"/>
    </row>
    <row r="332" spans="1:10" ht="15.95" customHeight="1" x14ac:dyDescent="0.2">
      <c r="A332" s="334" t="s">
        <v>570</v>
      </c>
      <c r="B332" s="335" t="s">
        <v>85</v>
      </c>
      <c r="C332" s="335"/>
      <c r="D332" s="335"/>
      <c r="E332" s="174">
        <f t="shared" si="144"/>
        <v>4141</v>
      </c>
      <c r="F332" s="174">
        <f>F333+F334+F335</f>
        <v>0</v>
      </c>
      <c r="G332" s="174">
        <f t="shared" ref="G332" si="162">G333+G334+G335</f>
        <v>4141</v>
      </c>
      <c r="H332" s="174">
        <f t="shared" ref="H332" si="163">H333+H334+H335</f>
        <v>0</v>
      </c>
      <c r="I332" s="174">
        <f t="shared" ref="I332" si="164">I333+I334+I335</f>
        <v>0</v>
      </c>
      <c r="J332" s="98"/>
    </row>
    <row r="333" spans="1:10" ht="15.95" customHeight="1" x14ac:dyDescent="0.2">
      <c r="A333" s="334"/>
      <c r="B333" s="335" t="s">
        <v>86</v>
      </c>
      <c r="C333" s="335"/>
      <c r="D333" s="335"/>
      <c r="E333" s="174">
        <f t="shared" si="144"/>
        <v>3874</v>
      </c>
      <c r="F333" s="174">
        <v>0</v>
      </c>
      <c r="G333" s="224">
        <f>I57</f>
        <v>3874</v>
      </c>
      <c r="H333" s="174">
        <v>0</v>
      </c>
      <c r="I333" s="174">
        <v>0</v>
      </c>
      <c r="J333" s="98"/>
    </row>
    <row r="334" spans="1:10" ht="15.95" customHeight="1" x14ac:dyDescent="0.2">
      <c r="A334" s="334"/>
      <c r="B334" s="335" t="s">
        <v>487</v>
      </c>
      <c r="C334" s="335"/>
      <c r="D334" s="335"/>
      <c r="E334" s="174">
        <f t="shared" si="144"/>
        <v>25</v>
      </c>
      <c r="F334" s="174">
        <v>0</v>
      </c>
      <c r="G334" s="224">
        <f>I63</f>
        <v>25</v>
      </c>
      <c r="H334" s="174">
        <v>0</v>
      </c>
      <c r="I334" s="174">
        <v>0</v>
      </c>
      <c r="J334" s="98"/>
    </row>
    <row r="335" spans="1:10" ht="15.95" customHeight="1" x14ac:dyDescent="0.2">
      <c r="A335" s="334"/>
      <c r="B335" s="335" t="s">
        <v>87</v>
      </c>
      <c r="C335" s="330" t="s">
        <v>236</v>
      </c>
      <c r="D335" s="330"/>
      <c r="E335" s="174">
        <f t="shared" si="144"/>
        <v>242</v>
      </c>
      <c r="F335" s="174">
        <v>0</v>
      </c>
      <c r="G335" s="174">
        <f t="shared" ref="G335" si="165">SUM(G336:G339)</f>
        <v>242</v>
      </c>
      <c r="H335" s="174">
        <f t="shared" ref="H335" si="166">SUM(H336:H339)</f>
        <v>0</v>
      </c>
      <c r="I335" s="174">
        <f t="shared" ref="I335" si="167">SUM(I336:I339)</f>
        <v>0</v>
      </c>
      <c r="J335" s="98"/>
    </row>
    <row r="336" spans="1:10" ht="15.95" customHeight="1" x14ac:dyDescent="0.2">
      <c r="A336" s="334"/>
      <c r="B336" s="335"/>
      <c r="C336" s="364" t="s">
        <v>78</v>
      </c>
      <c r="D336" s="364"/>
      <c r="E336" s="174">
        <f t="shared" si="144"/>
        <v>58</v>
      </c>
      <c r="F336" s="174">
        <v>0</v>
      </c>
      <c r="G336" s="174">
        <f>I203</f>
        <v>58</v>
      </c>
      <c r="H336" s="174">
        <v>0</v>
      </c>
      <c r="I336" s="174">
        <v>0</v>
      </c>
      <c r="J336" s="98"/>
    </row>
    <row r="337" spans="1:10" ht="15.95" customHeight="1" x14ac:dyDescent="0.2">
      <c r="A337" s="334"/>
      <c r="B337" s="335"/>
      <c r="C337" s="364" t="s">
        <v>79</v>
      </c>
      <c r="D337" s="364"/>
      <c r="E337" s="174">
        <f t="shared" si="144"/>
        <v>115</v>
      </c>
      <c r="F337" s="174">
        <v>0</v>
      </c>
      <c r="G337" s="174">
        <f>I204</f>
        <v>115</v>
      </c>
      <c r="H337" s="174">
        <v>0</v>
      </c>
      <c r="I337" s="174">
        <v>0</v>
      </c>
      <c r="J337" s="98"/>
    </row>
    <row r="338" spans="1:10" ht="15.95" customHeight="1" x14ac:dyDescent="0.2">
      <c r="A338" s="334"/>
      <c r="B338" s="335"/>
      <c r="C338" s="364" t="s">
        <v>62</v>
      </c>
      <c r="D338" s="364"/>
      <c r="E338" s="174">
        <f t="shared" si="144"/>
        <v>57</v>
      </c>
      <c r="F338" s="174">
        <v>0</v>
      </c>
      <c r="G338" s="174">
        <f>I205</f>
        <v>57</v>
      </c>
      <c r="H338" s="174">
        <v>0</v>
      </c>
      <c r="I338" s="174">
        <v>0</v>
      </c>
      <c r="J338" s="98"/>
    </row>
    <row r="339" spans="1:10" ht="15.95" customHeight="1" x14ac:dyDescent="0.2">
      <c r="A339" s="340"/>
      <c r="B339" s="341"/>
      <c r="C339" s="366" t="s">
        <v>81</v>
      </c>
      <c r="D339" s="366"/>
      <c r="E339" s="175">
        <f t="shared" si="144"/>
        <v>12</v>
      </c>
      <c r="F339" s="175">
        <v>0</v>
      </c>
      <c r="G339" s="175">
        <f>I206</f>
        <v>12</v>
      </c>
      <c r="H339" s="175">
        <v>0</v>
      </c>
      <c r="I339" s="175">
        <v>0</v>
      </c>
      <c r="J339" s="100"/>
    </row>
    <row r="340" spans="1:10" ht="23.25" thickBot="1" x14ac:dyDescent="0.25">
      <c r="A340" s="255" t="s">
        <v>96</v>
      </c>
      <c r="B340" s="256"/>
      <c r="C340" s="256"/>
      <c r="D340" s="256"/>
      <c r="E340" s="51" t="s">
        <v>160</v>
      </c>
      <c r="F340" s="51" t="s">
        <v>200</v>
      </c>
      <c r="G340" s="51" t="s">
        <v>201</v>
      </c>
      <c r="H340" s="51" t="s">
        <v>202</v>
      </c>
      <c r="I340" s="51" t="s">
        <v>203</v>
      </c>
      <c r="J340" s="169" t="s">
        <v>137</v>
      </c>
    </row>
    <row r="341" spans="1:10" ht="15.95" customHeight="1" thickTop="1" x14ac:dyDescent="0.2">
      <c r="A341" s="333" t="s">
        <v>571</v>
      </c>
      <c r="B341" s="342" t="s">
        <v>85</v>
      </c>
      <c r="C341" s="342"/>
      <c r="D341" s="342"/>
      <c r="E341" s="101">
        <f t="shared" ref="E341:E383" si="168">SUM(F341:I341)</f>
        <v>1975</v>
      </c>
      <c r="F341" s="101">
        <f>F342+F343+F344</f>
        <v>0</v>
      </c>
      <c r="G341" s="101">
        <f t="shared" ref="G341" si="169">G342+G343+G344</f>
        <v>1975</v>
      </c>
      <c r="H341" s="101">
        <f t="shared" ref="H341" si="170">H342+H343+H344</f>
        <v>0</v>
      </c>
      <c r="I341" s="101">
        <f t="shared" ref="I341" si="171">I342+I343+I344</f>
        <v>0</v>
      </c>
      <c r="J341" s="102"/>
    </row>
    <row r="342" spans="1:10" ht="15.95" customHeight="1" x14ac:dyDescent="0.2">
      <c r="A342" s="334"/>
      <c r="B342" s="335" t="s">
        <v>86</v>
      </c>
      <c r="C342" s="335"/>
      <c r="D342" s="335"/>
      <c r="E342" s="174">
        <f t="shared" si="168"/>
        <v>1843</v>
      </c>
      <c r="F342" s="174">
        <v>0</v>
      </c>
      <c r="G342" s="224">
        <f>I64</f>
        <v>1843</v>
      </c>
      <c r="H342" s="174">
        <v>0</v>
      </c>
      <c r="I342" s="174">
        <v>0</v>
      </c>
      <c r="J342" s="98"/>
    </row>
    <row r="343" spans="1:10" ht="15.95" customHeight="1" x14ac:dyDescent="0.2">
      <c r="A343" s="334"/>
      <c r="B343" s="335" t="s">
        <v>487</v>
      </c>
      <c r="C343" s="335"/>
      <c r="D343" s="335"/>
      <c r="E343" s="174">
        <f t="shared" si="168"/>
        <v>9</v>
      </c>
      <c r="F343" s="174">
        <v>0</v>
      </c>
      <c r="G343" s="224">
        <f>I70</f>
        <v>9</v>
      </c>
      <c r="H343" s="174">
        <v>0</v>
      </c>
      <c r="I343" s="174">
        <v>0</v>
      </c>
      <c r="J343" s="98"/>
    </row>
    <row r="344" spans="1:10" ht="15.95" customHeight="1" x14ac:dyDescent="0.2">
      <c r="A344" s="334"/>
      <c r="B344" s="335" t="s">
        <v>87</v>
      </c>
      <c r="C344" s="330" t="s">
        <v>236</v>
      </c>
      <c r="D344" s="330"/>
      <c r="E344" s="174">
        <f t="shared" si="168"/>
        <v>123</v>
      </c>
      <c r="F344" s="174">
        <v>0</v>
      </c>
      <c r="G344" s="174">
        <f t="shared" ref="G344" si="172">SUM(G345:G348)</f>
        <v>123</v>
      </c>
      <c r="H344" s="174">
        <f t="shared" ref="H344" si="173">SUM(H345:H348)</f>
        <v>0</v>
      </c>
      <c r="I344" s="174">
        <f t="shared" ref="I344" si="174">SUM(I345:I348)</f>
        <v>0</v>
      </c>
      <c r="J344" s="98"/>
    </row>
    <row r="345" spans="1:10" ht="15.95" customHeight="1" x14ac:dyDescent="0.2">
      <c r="A345" s="334"/>
      <c r="B345" s="335"/>
      <c r="C345" s="364" t="s">
        <v>78</v>
      </c>
      <c r="D345" s="364"/>
      <c r="E345" s="174">
        <f t="shared" si="168"/>
        <v>29</v>
      </c>
      <c r="F345" s="174">
        <v>0</v>
      </c>
      <c r="G345" s="174">
        <f>I208</f>
        <v>29</v>
      </c>
      <c r="H345" s="174">
        <v>0</v>
      </c>
      <c r="I345" s="174">
        <v>0</v>
      </c>
      <c r="J345" s="98"/>
    </row>
    <row r="346" spans="1:10" ht="15.95" customHeight="1" x14ac:dyDescent="0.2">
      <c r="A346" s="334"/>
      <c r="B346" s="335"/>
      <c r="C346" s="364" t="s">
        <v>79</v>
      </c>
      <c r="D346" s="364"/>
      <c r="E346" s="174">
        <f t="shared" si="168"/>
        <v>58</v>
      </c>
      <c r="F346" s="174">
        <v>0</v>
      </c>
      <c r="G346" s="174">
        <f>I209</f>
        <v>58</v>
      </c>
      <c r="H346" s="174">
        <v>0</v>
      </c>
      <c r="I346" s="174">
        <v>0</v>
      </c>
      <c r="J346" s="98"/>
    </row>
    <row r="347" spans="1:10" ht="15.95" customHeight="1" x14ac:dyDescent="0.2">
      <c r="A347" s="334"/>
      <c r="B347" s="335"/>
      <c r="C347" s="364" t="s">
        <v>62</v>
      </c>
      <c r="D347" s="364"/>
      <c r="E347" s="174">
        <f t="shared" si="168"/>
        <v>29</v>
      </c>
      <c r="F347" s="174">
        <v>0</v>
      </c>
      <c r="G347" s="174">
        <f>I210</f>
        <v>29</v>
      </c>
      <c r="H347" s="174">
        <v>0</v>
      </c>
      <c r="I347" s="174">
        <v>0</v>
      </c>
      <c r="J347" s="98"/>
    </row>
    <row r="348" spans="1:10" ht="15.95" customHeight="1" x14ac:dyDescent="0.2">
      <c r="A348" s="334"/>
      <c r="B348" s="335"/>
      <c r="C348" s="364" t="s">
        <v>81</v>
      </c>
      <c r="D348" s="364"/>
      <c r="E348" s="174">
        <f t="shared" si="168"/>
        <v>7</v>
      </c>
      <c r="F348" s="174">
        <v>0</v>
      </c>
      <c r="G348" s="174">
        <f>I211</f>
        <v>7</v>
      </c>
      <c r="H348" s="174">
        <v>0</v>
      </c>
      <c r="I348" s="174">
        <v>0</v>
      </c>
      <c r="J348" s="98"/>
    </row>
    <row r="349" spans="1:10" ht="15.95" customHeight="1" x14ac:dyDescent="0.2">
      <c r="A349" s="334" t="s">
        <v>572</v>
      </c>
      <c r="B349" s="335" t="s">
        <v>85</v>
      </c>
      <c r="C349" s="335"/>
      <c r="D349" s="335"/>
      <c r="E349" s="174">
        <f t="shared" si="168"/>
        <v>1579</v>
      </c>
      <c r="F349" s="174">
        <f>F350+F351+F352</f>
        <v>0</v>
      </c>
      <c r="G349" s="174">
        <f t="shared" ref="G349" si="175">G350+G351+G352</f>
        <v>1579</v>
      </c>
      <c r="H349" s="174">
        <f t="shared" ref="H349" si="176">H350+H351+H352</f>
        <v>0</v>
      </c>
      <c r="I349" s="174">
        <f t="shared" ref="I349" si="177">I350+I351+I352</f>
        <v>0</v>
      </c>
      <c r="J349" s="98"/>
    </row>
    <row r="350" spans="1:10" ht="15.95" customHeight="1" x14ac:dyDescent="0.2">
      <c r="A350" s="334"/>
      <c r="B350" s="335" t="s">
        <v>86</v>
      </c>
      <c r="C350" s="335"/>
      <c r="D350" s="335"/>
      <c r="E350" s="174">
        <f t="shared" si="168"/>
        <v>1469</v>
      </c>
      <c r="F350" s="174">
        <v>0</v>
      </c>
      <c r="G350" s="174">
        <f>I71</f>
        <v>1469</v>
      </c>
      <c r="H350" s="174">
        <v>0</v>
      </c>
      <c r="I350" s="174">
        <v>0</v>
      </c>
      <c r="J350" s="98"/>
    </row>
    <row r="351" spans="1:10" ht="15.95" customHeight="1" x14ac:dyDescent="0.2">
      <c r="A351" s="334"/>
      <c r="B351" s="335" t="s">
        <v>487</v>
      </c>
      <c r="C351" s="335"/>
      <c r="D351" s="335"/>
      <c r="E351" s="174">
        <f t="shared" si="168"/>
        <v>7</v>
      </c>
      <c r="F351" s="174">
        <v>0</v>
      </c>
      <c r="G351" s="224">
        <f>I77</f>
        <v>7</v>
      </c>
      <c r="H351" s="174">
        <v>0</v>
      </c>
      <c r="I351" s="174">
        <v>0</v>
      </c>
      <c r="J351" s="98"/>
    </row>
    <row r="352" spans="1:10" ht="15.95" customHeight="1" x14ac:dyDescent="0.2">
      <c r="A352" s="334"/>
      <c r="B352" s="335" t="s">
        <v>87</v>
      </c>
      <c r="C352" s="330" t="s">
        <v>236</v>
      </c>
      <c r="D352" s="330"/>
      <c r="E352" s="174">
        <f t="shared" si="168"/>
        <v>103</v>
      </c>
      <c r="F352" s="174">
        <v>0</v>
      </c>
      <c r="G352" s="174">
        <f t="shared" ref="G352" si="178">SUM(G353:G356)</f>
        <v>103</v>
      </c>
      <c r="H352" s="174">
        <f t="shared" ref="H352" si="179">SUM(H353:H356)</f>
        <v>0</v>
      </c>
      <c r="I352" s="174">
        <f t="shared" ref="I352" si="180">SUM(I353:I356)</f>
        <v>0</v>
      </c>
      <c r="J352" s="98"/>
    </row>
    <row r="353" spans="1:10" ht="15.95" customHeight="1" x14ac:dyDescent="0.2">
      <c r="A353" s="334"/>
      <c r="B353" s="335"/>
      <c r="C353" s="364" t="s">
        <v>78</v>
      </c>
      <c r="D353" s="364"/>
      <c r="E353" s="174">
        <f t="shared" si="168"/>
        <v>24</v>
      </c>
      <c r="F353" s="174">
        <v>0</v>
      </c>
      <c r="G353" s="174">
        <f>I213</f>
        <v>24</v>
      </c>
      <c r="H353" s="174">
        <v>0</v>
      </c>
      <c r="I353" s="174">
        <v>0</v>
      </c>
      <c r="J353" s="98"/>
    </row>
    <row r="354" spans="1:10" ht="15.95" customHeight="1" x14ac:dyDescent="0.2">
      <c r="A354" s="334"/>
      <c r="B354" s="335"/>
      <c r="C354" s="364" t="s">
        <v>79</v>
      </c>
      <c r="D354" s="364"/>
      <c r="E354" s="174">
        <f t="shared" si="168"/>
        <v>48</v>
      </c>
      <c r="F354" s="174">
        <v>0</v>
      </c>
      <c r="G354" s="174">
        <f>I214</f>
        <v>48</v>
      </c>
      <c r="H354" s="174">
        <v>0</v>
      </c>
      <c r="I354" s="174">
        <v>0</v>
      </c>
      <c r="J354" s="98"/>
    </row>
    <row r="355" spans="1:10" ht="15.95" customHeight="1" x14ac:dyDescent="0.2">
      <c r="A355" s="334"/>
      <c r="B355" s="335"/>
      <c r="C355" s="364" t="s">
        <v>62</v>
      </c>
      <c r="D355" s="364"/>
      <c r="E355" s="174">
        <f t="shared" si="168"/>
        <v>24</v>
      </c>
      <c r="F355" s="174">
        <v>0</v>
      </c>
      <c r="G355" s="174">
        <f>I215</f>
        <v>24</v>
      </c>
      <c r="H355" s="174">
        <v>0</v>
      </c>
      <c r="I355" s="174">
        <v>0</v>
      </c>
      <c r="J355" s="98"/>
    </row>
    <row r="356" spans="1:10" ht="15.95" customHeight="1" x14ac:dyDescent="0.2">
      <c r="A356" s="334"/>
      <c r="B356" s="335"/>
      <c r="C356" s="364" t="s">
        <v>81</v>
      </c>
      <c r="D356" s="364"/>
      <c r="E356" s="174">
        <f t="shared" si="168"/>
        <v>7</v>
      </c>
      <c r="F356" s="174">
        <v>0</v>
      </c>
      <c r="G356" s="174">
        <f>I216</f>
        <v>7</v>
      </c>
      <c r="H356" s="174">
        <v>0</v>
      </c>
      <c r="I356" s="174">
        <v>0</v>
      </c>
      <c r="J356" s="98"/>
    </row>
    <row r="357" spans="1:10" ht="15.95" customHeight="1" x14ac:dyDescent="0.2">
      <c r="A357" s="334" t="s">
        <v>573</v>
      </c>
      <c r="B357" s="335" t="s">
        <v>85</v>
      </c>
      <c r="C357" s="335"/>
      <c r="D357" s="335"/>
      <c r="E357" s="174">
        <f t="shared" si="168"/>
        <v>2881</v>
      </c>
      <c r="F357" s="224">
        <f t="shared" ref="F357:H357" si="181">F358+F359+F360</f>
        <v>2881</v>
      </c>
      <c r="G357" s="224">
        <f t="shared" si="181"/>
        <v>0</v>
      </c>
      <c r="H357" s="174">
        <f t="shared" si="181"/>
        <v>0</v>
      </c>
      <c r="I357" s="174">
        <f t="shared" ref="I357" si="182">I358+I359+I360</f>
        <v>0</v>
      </c>
      <c r="J357" s="98"/>
    </row>
    <row r="358" spans="1:10" ht="15.95" customHeight="1" x14ac:dyDescent="0.2">
      <c r="A358" s="334"/>
      <c r="B358" s="335" t="s">
        <v>86</v>
      </c>
      <c r="C358" s="335"/>
      <c r="D358" s="335"/>
      <c r="E358" s="224">
        <f t="shared" si="168"/>
        <v>2684</v>
      </c>
      <c r="F358" s="224">
        <f>I79</f>
        <v>2684</v>
      </c>
      <c r="G358" s="224">
        <v>0</v>
      </c>
      <c r="H358" s="174">
        <v>0</v>
      </c>
      <c r="I358" s="174">
        <v>0</v>
      </c>
      <c r="J358" s="98"/>
    </row>
    <row r="359" spans="1:10" ht="15.95" customHeight="1" x14ac:dyDescent="0.2">
      <c r="A359" s="334"/>
      <c r="B359" s="335" t="s">
        <v>487</v>
      </c>
      <c r="C359" s="335"/>
      <c r="D359" s="335"/>
      <c r="E359" s="224">
        <f t="shared" si="168"/>
        <v>25</v>
      </c>
      <c r="F359" s="224">
        <f>I85</f>
        <v>25</v>
      </c>
      <c r="G359" s="224">
        <v>0</v>
      </c>
      <c r="H359" s="174">
        <v>0</v>
      </c>
      <c r="I359" s="174">
        <v>0</v>
      </c>
      <c r="J359" s="98"/>
    </row>
    <row r="360" spans="1:10" ht="15.95" customHeight="1" x14ac:dyDescent="0.2">
      <c r="A360" s="334"/>
      <c r="B360" s="335" t="s">
        <v>87</v>
      </c>
      <c r="C360" s="330" t="s">
        <v>236</v>
      </c>
      <c r="D360" s="330"/>
      <c r="E360" s="224">
        <f t="shared" si="168"/>
        <v>172</v>
      </c>
      <c r="F360" s="174">
        <f t="shared" ref="F360" si="183">SUM(F361:F364)</f>
        <v>172</v>
      </c>
      <c r="G360" s="224">
        <f t="shared" ref="G360:H360" si="184">SUM(G361:G364)</f>
        <v>0</v>
      </c>
      <c r="H360" s="174">
        <f t="shared" si="184"/>
        <v>0</v>
      </c>
      <c r="I360" s="174">
        <f t="shared" ref="I360" si="185">SUM(I361:I364)</f>
        <v>0</v>
      </c>
      <c r="J360" s="98"/>
    </row>
    <row r="361" spans="1:10" ht="15.95" customHeight="1" x14ac:dyDescent="0.2">
      <c r="A361" s="334"/>
      <c r="B361" s="335"/>
      <c r="C361" s="364" t="s">
        <v>78</v>
      </c>
      <c r="D361" s="364"/>
      <c r="E361" s="224">
        <f t="shared" si="168"/>
        <v>41</v>
      </c>
      <c r="F361" s="174">
        <f>I218</f>
        <v>41</v>
      </c>
      <c r="G361" s="224">
        <v>0</v>
      </c>
      <c r="H361" s="174">
        <v>0</v>
      </c>
      <c r="I361" s="174">
        <v>0</v>
      </c>
      <c r="J361" s="98"/>
    </row>
    <row r="362" spans="1:10" ht="15.95" customHeight="1" x14ac:dyDescent="0.2">
      <c r="A362" s="334"/>
      <c r="B362" s="335"/>
      <c r="C362" s="364" t="s">
        <v>79</v>
      </c>
      <c r="D362" s="364"/>
      <c r="E362" s="224">
        <f t="shared" si="168"/>
        <v>81</v>
      </c>
      <c r="F362" s="174">
        <f>I219</f>
        <v>81</v>
      </c>
      <c r="G362" s="224">
        <v>0</v>
      </c>
      <c r="H362" s="174">
        <v>0</v>
      </c>
      <c r="I362" s="174">
        <v>0</v>
      </c>
      <c r="J362" s="98"/>
    </row>
    <row r="363" spans="1:10" ht="15.95" customHeight="1" x14ac:dyDescent="0.2">
      <c r="A363" s="334"/>
      <c r="B363" s="335"/>
      <c r="C363" s="364" t="s">
        <v>62</v>
      </c>
      <c r="D363" s="364"/>
      <c r="E363" s="224">
        <f t="shared" si="168"/>
        <v>40</v>
      </c>
      <c r="F363" s="174">
        <f>I220</f>
        <v>40</v>
      </c>
      <c r="G363" s="224">
        <v>0</v>
      </c>
      <c r="H363" s="174">
        <v>0</v>
      </c>
      <c r="I363" s="174">
        <v>0</v>
      </c>
      <c r="J363" s="98"/>
    </row>
    <row r="364" spans="1:10" ht="15.95" customHeight="1" x14ac:dyDescent="0.2">
      <c r="A364" s="334"/>
      <c r="B364" s="335"/>
      <c r="C364" s="364" t="s">
        <v>81</v>
      </c>
      <c r="D364" s="364"/>
      <c r="E364" s="224">
        <f t="shared" si="168"/>
        <v>10</v>
      </c>
      <c r="F364" s="174">
        <f>I221</f>
        <v>10</v>
      </c>
      <c r="G364" s="224">
        <v>0</v>
      </c>
      <c r="H364" s="174">
        <v>0</v>
      </c>
      <c r="I364" s="174">
        <v>0</v>
      </c>
      <c r="J364" s="98"/>
    </row>
    <row r="365" spans="1:10" ht="15.95" customHeight="1" x14ac:dyDescent="0.2">
      <c r="A365" s="334" t="s">
        <v>574</v>
      </c>
      <c r="B365" s="335" t="s">
        <v>85</v>
      </c>
      <c r="C365" s="335"/>
      <c r="D365" s="335"/>
      <c r="E365" s="174">
        <f t="shared" si="168"/>
        <v>7394</v>
      </c>
      <c r="F365" s="224">
        <f t="shared" ref="F365:H365" si="186">F366+F367+F368</f>
        <v>7394</v>
      </c>
      <c r="G365" s="224">
        <f t="shared" si="186"/>
        <v>0</v>
      </c>
      <c r="H365" s="174">
        <f t="shared" si="186"/>
        <v>0</v>
      </c>
      <c r="I365" s="174">
        <f t="shared" ref="I365" si="187">I366+I367+I368</f>
        <v>0</v>
      </c>
      <c r="J365" s="98"/>
    </row>
    <row r="366" spans="1:10" ht="15.95" customHeight="1" x14ac:dyDescent="0.2">
      <c r="A366" s="334"/>
      <c r="B366" s="335" t="s">
        <v>86</v>
      </c>
      <c r="C366" s="335"/>
      <c r="D366" s="335"/>
      <c r="E366" s="174">
        <f t="shared" si="168"/>
        <v>6938</v>
      </c>
      <c r="F366" s="224">
        <f>I86</f>
        <v>6938</v>
      </c>
      <c r="G366" s="224">
        <v>0</v>
      </c>
      <c r="H366" s="174">
        <v>0</v>
      </c>
      <c r="I366" s="174">
        <v>0</v>
      </c>
      <c r="J366" s="98"/>
    </row>
    <row r="367" spans="1:10" ht="15.95" customHeight="1" x14ac:dyDescent="0.2">
      <c r="A367" s="334"/>
      <c r="B367" s="335" t="s">
        <v>487</v>
      </c>
      <c r="C367" s="335"/>
      <c r="D367" s="335"/>
      <c r="E367" s="174">
        <f t="shared" si="168"/>
        <v>36</v>
      </c>
      <c r="F367" s="224">
        <f>I92</f>
        <v>36</v>
      </c>
      <c r="G367" s="224">
        <v>0</v>
      </c>
      <c r="H367" s="174">
        <v>0</v>
      </c>
      <c r="I367" s="174">
        <v>0</v>
      </c>
      <c r="J367" s="98"/>
    </row>
    <row r="368" spans="1:10" ht="15.95" customHeight="1" x14ac:dyDescent="0.2">
      <c r="A368" s="334"/>
      <c r="B368" s="335" t="s">
        <v>87</v>
      </c>
      <c r="C368" s="330" t="s">
        <v>236</v>
      </c>
      <c r="D368" s="330"/>
      <c r="E368" s="174">
        <f>SUM(F368:I368)</f>
        <v>420</v>
      </c>
      <c r="F368" s="174">
        <f t="shared" ref="F368" si="188">SUM(F369:F372)</f>
        <v>420</v>
      </c>
      <c r="G368" s="224">
        <f t="shared" ref="G368:H368" si="189">SUM(G369:G372)</f>
        <v>0</v>
      </c>
      <c r="H368" s="174">
        <f t="shared" si="189"/>
        <v>0</v>
      </c>
      <c r="I368" s="174">
        <f t="shared" ref="I368" si="190">SUM(I369:I372)</f>
        <v>0</v>
      </c>
      <c r="J368" s="98"/>
    </row>
    <row r="369" spans="1:10" ht="15.95" customHeight="1" x14ac:dyDescent="0.2">
      <c r="A369" s="334"/>
      <c r="B369" s="335"/>
      <c r="C369" s="364" t="s">
        <v>78</v>
      </c>
      <c r="D369" s="364"/>
      <c r="E369" s="174">
        <f>SUM(F369:I369)</f>
        <v>101</v>
      </c>
      <c r="F369" s="174">
        <f>I223</f>
        <v>101</v>
      </c>
      <c r="G369" s="224">
        <v>0</v>
      </c>
      <c r="H369" s="174">
        <v>0</v>
      </c>
      <c r="I369" s="174">
        <v>0</v>
      </c>
      <c r="J369" s="98"/>
    </row>
    <row r="370" spans="1:10" ht="15.95" customHeight="1" x14ac:dyDescent="0.2">
      <c r="A370" s="334"/>
      <c r="B370" s="335"/>
      <c r="C370" s="364" t="s">
        <v>79</v>
      </c>
      <c r="D370" s="364"/>
      <c r="E370" s="174">
        <f>SUM(F370:I370)</f>
        <v>202</v>
      </c>
      <c r="F370" s="174">
        <f>I224</f>
        <v>202</v>
      </c>
      <c r="G370" s="224">
        <v>0</v>
      </c>
      <c r="H370" s="174">
        <v>0</v>
      </c>
      <c r="I370" s="174">
        <v>0</v>
      </c>
      <c r="J370" s="98"/>
    </row>
    <row r="371" spans="1:10" ht="15.95" customHeight="1" x14ac:dyDescent="0.2">
      <c r="A371" s="334"/>
      <c r="B371" s="335"/>
      <c r="C371" s="364" t="s">
        <v>62</v>
      </c>
      <c r="D371" s="364"/>
      <c r="E371" s="174">
        <f>SUM(F371:I371)</f>
        <v>99</v>
      </c>
      <c r="F371" s="174">
        <f>I225</f>
        <v>99</v>
      </c>
      <c r="G371" s="224">
        <v>0</v>
      </c>
      <c r="H371" s="174">
        <v>0</v>
      </c>
      <c r="I371" s="174">
        <v>0</v>
      </c>
      <c r="J371" s="98"/>
    </row>
    <row r="372" spans="1:10" ht="15.95" customHeight="1" x14ac:dyDescent="0.2">
      <c r="A372" s="334"/>
      <c r="B372" s="335"/>
      <c r="C372" s="364" t="s">
        <v>81</v>
      </c>
      <c r="D372" s="364"/>
      <c r="E372" s="174">
        <f>SUM(F372:I372)</f>
        <v>18</v>
      </c>
      <c r="F372" s="174">
        <f>I226</f>
        <v>18</v>
      </c>
      <c r="G372" s="224">
        <v>0</v>
      </c>
      <c r="H372" s="174">
        <v>0</v>
      </c>
      <c r="I372" s="174">
        <v>0</v>
      </c>
      <c r="J372" s="98"/>
    </row>
    <row r="373" spans="1:10" ht="15.95" customHeight="1" x14ac:dyDescent="0.2">
      <c r="A373" s="334" t="s">
        <v>575</v>
      </c>
      <c r="B373" s="335" t="s">
        <v>85</v>
      </c>
      <c r="C373" s="335"/>
      <c r="D373" s="335"/>
      <c r="E373" s="174">
        <f t="shared" si="168"/>
        <v>1716</v>
      </c>
      <c r="F373" s="174">
        <f>F374+F375+F376</f>
        <v>0</v>
      </c>
      <c r="G373" s="174">
        <f t="shared" ref="G373" si="191">G374+G375+G376</f>
        <v>1716</v>
      </c>
      <c r="H373" s="174">
        <f t="shared" ref="H373" si="192">H374+H375+H376</f>
        <v>0</v>
      </c>
      <c r="I373" s="174">
        <f t="shared" ref="I373" si="193">I374+I375+I376</f>
        <v>0</v>
      </c>
      <c r="J373" s="98"/>
    </row>
    <row r="374" spans="1:10" ht="15.95" customHeight="1" x14ac:dyDescent="0.2">
      <c r="A374" s="334"/>
      <c r="B374" s="335" t="s">
        <v>86</v>
      </c>
      <c r="C374" s="335"/>
      <c r="D374" s="335"/>
      <c r="E374" s="174">
        <f t="shared" si="168"/>
        <v>1581</v>
      </c>
      <c r="F374" s="174">
        <v>0</v>
      </c>
      <c r="G374" s="174">
        <f>I93</f>
        <v>1581</v>
      </c>
      <c r="H374" s="174">
        <v>0</v>
      </c>
      <c r="I374" s="174">
        <v>0</v>
      </c>
      <c r="J374" s="98"/>
    </row>
    <row r="375" spans="1:10" ht="15.95" customHeight="1" x14ac:dyDescent="0.2">
      <c r="A375" s="334"/>
      <c r="B375" s="335" t="s">
        <v>487</v>
      </c>
      <c r="C375" s="335"/>
      <c r="D375" s="335"/>
      <c r="E375" s="174">
        <f t="shared" si="168"/>
        <v>27</v>
      </c>
      <c r="F375" s="174">
        <v>0</v>
      </c>
      <c r="G375" s="224">
        <f>I99</f>
        <v>27</v>
      </c>
      <c r="H375" s="174">
        <v>0</v>
      </c>
      <c r="I375" s="174">
        <v>0</v>
      </c>
      <c r="J375" s="98"/>
    </row>
    <row r="376" spans="1:10" ht="15.95" customHeight="1" x14ac:dyDescent="0.2">
      <c r="A376" s="334"/>
      <c r="B376" s="335" t="s">
        <v>87</v>
      </c>
      <c r="C376" s="330" t="s">
        <v>236</v>
      </c>
      <c r="D376" s="330"/>
      <c r="E376" s="174">
        <f t="shared" si="168"/>
        <v>108</v>
      </c>
      <c r="F376" s="174">
        <v>0</v>
      </c>
      <c r="G376" s="174">
        <f t="shared" ref="G376" si="194">SUM(G377:G380)</f>
        <v>108</v>
      </c>
      <c r="H376" s="174">
        <f t="shared" ref="H376" si="195">SUM(H377:H380)</f>
        <v>0</v>
      </c>
      <c r="I376" s="174">
        <f t="shared" ref="I376" si="196">SUM(I377:I380)</f>
        <v>0</v>
      </c>
      <c r="J376" s="98"/>
    </row>
    <row r="377" spans="1:10" ht="15.95" customHeight="1" x14ac:dyDescent="0.2">
      <c r="A377" s="334"/>
      <c r="B377" s="335"/>
      <c r="C377" s="364" t="s">
        <v>78</v>
      </c>
      <c r="D377" s="364"/>
      <c r="E377" s="174">
        <f t="shared" si="168"/>
        <v>25</v>
      </c>
      <c r="F377" s="174">
        <v>0</v>
      </c>
      <c r="G377" s="174">
        <f>I228</f>
        <v>25</v>
      </c>
      <c r="H377" s="174">
        <v>0</v>
      </c>
      <c r="I377" s="174">
        <v>0</v>
      </c>
      <c r="J377" s="98"/>
    </row>
    <row r="378" spans="1:10" ht="15.95" customHeight="1" x14ac:dyDescent="0.2">
      <c r="A378" s="334"/>
      <c r="B378" s="335"/>
      <c r="C378" s="364" t="s">
        <v>79</v>
      </c>
      <c r="D378" s="364"/>
      <c r="E378" s="174">
        <f t="shared" si="168"/>
        <v>51</v>
      </c>
      <c r="F378" s="174">
        <v>0</v>
      </c>
      <c r="G378" s="224">
        <f t="shared" ref="G378:G380" si="197">I229</f>
        <v>51</v>
      </c>
      <c r="H378" s="174">
        <v>0</v>
      </c>
      <c r="I378" s="174">
        <v>0</v>
      </c>
      <c r="J378" s="98"/>
    </row>
    <row r="379" spans="1:10" ht="15.95" customHeight="1" x14ac:dyDescent="0.2">
      <c r="A379" s="334"/>
      <c r="B379" s="335"/>
      <c r="C379" s="364" t="s">
        <v>62</v>
      </c>
      <c r="D379" s="364"/>
      <c r="E379" s="174">
        <f t="shared" si="168"/>
        <v>25</v>
      </c>
      <c r="F379" s="174">
        <v>0</v>
      </c>
      <c r="G379" s="224">
        <f t="shared" si="197"/>
        <v>25</v>
      </c>
      <c r="H379" s="174">
        <v>0</v>
      </c>
      <c r="I379" s="174">
        <v>0</v>
      </c>
      <c r="J379" s="98"/>
    </row>
    <row r="380" spans="1:10" ht="15.95" customHeight="1" x14ac:dyDescent="0.2">
      <c r="A380" s="334"/>
      <c r="B380" s="335"/>
      <c r="C380" s="364" t="s">
        <v>81</v>
      </c>
      <c r="D380" s="364"/>
      <c r="E380" s="174">
        <f t="shared" si="168"/>
        <v>7</v>
      </c>
      <c r="F380" s="174">
        <v>0</v>
      </c>
      <c r="G380" s="224">
        <f t="shared" si="197"/>
        <v>7</v>
      </c>
      <c r="H380" s="174">
        <v>0</v>
      </c>
      <c r="I380" s="174">
        <v>0</v>
      </c>
      <c r="J380" s="98"/>
    </row>
    <row r="381" spans="1:10" ht="15.95" customHeight="1" x14ac:dyDescent="0.2">
      <c r="A381" s="334" t="s">
        <v>576</v>
      </c>
      <c r="B381" s="335" t="s">
        <v>85</v>
      </c>
      <c r="C381" s="335"/>
      <c r="D381" s="335"/>
      <c r="E381" s="174">
        <f t="shared" si="168"/>
        <v>6229</v>
      </c>
      <c r="F381" s="224">
        <f t="shared" ref="F381:H381" si="198">F382+F383+F384</f>
        <v>6229</v>
      </c>
      <c r="G381" s="224">
        <f t="shared" si="198"/>
        <v>0</v>
      </c>
      <c r="H381" s="174">
        <f t="shared" si="198"/>
        <v>0</v>
      </c>
      <c r="I381" s="174">
        <f t="shared" ref="I381" si="199">I382+I383+I384</f>
        <v>0</v>
      </c>
      <c r="J381" s="98"/>
    </row>
    <row r="382" spans="1:10" ht="15.95" customHeight="1" x14ac:dyDescent="0.2">
      <c r="A382" s="334"/>
      <c r="B382" s="335" t="s">
        <v>86</v>
      </c>
      <c r="C382" s="335"/>
      <c r="D382" s="335"/>
      <c r="E382" s="174">
        <f t="shared" si="168"/>
        <v>5849</v>
      </c>
      <c r="F382" s="224">
        <f>I100</f>
        <v>5849</v>
      </c>
      <c r="G382" s="224">
        <v>0</v>
      </c>
      <c r="H382" s="174">
        <v>0</v>
      </c>
      <c r="I382" s="174">
        <v>0</v>
      </c>
      <c r="J382" s="98"/>
    </row>
    <row r="383" spans="1:10" ht="15.95" customHeight="1" x14ac:dyDescent="0.2">
      <c r="A383" s="334"/>
      <c r="B383" s="335" t="s">
        <v>487</v>
      </c>
      <c r="C383" s="335"/>
      <c r="D383" s="335"/>
      <c r="E383" s="174">
        <f t="shared" si="168"/>
        <v>24</v>
      </c>
      <c r="F383" s="224">
        <f>I106</f>
        <v>24</v>
      </c>
      <c r="G383" s="224">
        <v>0</v>
      </c>
      <c r="H383" s="174">
        <v>0</v>
      </c>
      <c r="I383" s="174">
        <v>0</v>
      </c>
      <c r="J383" s="98"/>
    </row>
    <row r="384" spans="1:10" ht="15.95" customHeight="1" x14ac:dyDescent="0.2">
      <c r="A384" s="334"/>
      <c r="B384" s="335" t="s">
        <v>87</v>
      </c>
      <c r="C384" s="330" t="s">
        <v>236</v>
      </c>
      <c r="D384" s="330"/>
      <c r="E384" s="174">
        <f>SUM(F384:I384)</f>
        <v>356</v>
      </c>
      <c r="F384" s="174">
        <f t="shared" ref="F384" si="200">SUM(F385:F388)</f>
        <v>356</v>
      </c>
      <c r="G384" s="224">
        <f t="shared" ref="G384:H384" si="201">SUM(G385:G388)</f>
        <v>0</v>
      </c>
      <c r="H384" s="174">
        <f t="shared" si="201"/>
        <v>0</v>
      </c>
      <c r="I384" s="174">
        <f t="shared" ref="I384" si="202">SUM(I385:I388)</f>
        <v>0</v>
      </c>
      <c r="J384" s="98"/>
    </row>
    <row r="385" spans="1:10" ht="15.95" customHeight="1" x14ac:dyDescent="0.2">
      <c r="A385" s="334"/>
      <c r="B385" s="335"/>
      <c r="C385" s="364" t="s">
        <v>78</v>
      </c>
      <c r="D385" s="364"/>
      <c r="E385" s="174">
        <f>SUM(F385:I385)</f>
        <v>85</v>
      </c>
      <c r="F385" s="174">
        <f>I233</f>
        <v>85</v>
      </c>
      <c r="G385" s="224">
        <v>0</v>
      </c>
      <c r="H385" s="174">
        <v>0</v>
      </c>
      <c r="I385" s="174">
        <v>0</v>
      </c>
      <c r="J385" s="98"/>
    </row>
    <row r="386" spans="1:10" ht="15.95" customHeight="1" x14ac:dyDescent="0.2">
      <c r="A386" s="334"/>
      <c r="B386" s="335"/>
      <c r="C386" s="364" t="s">
        <v>79</v>
      </c>
      <c r="D386" s="364"/>
      <c r="E386" s="174">
        <f>SUM(F386:I386)</f>
        <v>171</v>
      </c>
      <c r="F386" s="174">
        <f t="shared" ref="F386:F388" si="203">I234</f>
        <v>171</v>
      </c>
      <c r="G386" s="224">
        <v>0</v>
      </c>
      <c r="H386" s="174">
        <v>0</v>
      </c>
      <c r="I386" s="174">
        <v>0</v>
      </c>
      <c r="J386" s="98"/>
    </row>
    <row r="387" spans="1:10" ht="15.95" customHeight="1" x14ac:dyDescent="0.2">
      <c r="A387" s="334"/>
      <c r="B387" s="335"/>
      <c r="C387" s="364" t="s">
        <v>62</v>
      </c>
      <c r="D387" s="364"/>
      <c r="E387" s="174">
        <f>SUM(F387:I387)</f>
        <v>84</v>
      </c>
      <c r="F387" s="174">
        <f t="shared" si="203"/>
        <v>84</v>
      </c>
      <c r="G387" s="224">
        <v>0</v>
      </c>
      <c r="H387" s="174">
        <v>0</v>
      </c>
      <c r="I387" s="174">
        <v>0</v>
      </c>
      <c r="J387" s="98"/>
    </row>
    <row r="388" spans="1:10" ht="15.95" customHeight="1" x14ac:dyDescent="0.2">
      <c r="A388" s="340"/>
      <c r="B388" s="341"/>
      <c r="C388" s="366" t="s">
        <v>81</v>
      </c>
      <c r="D388" s="366"/>
      <c r="E388" s="175">
        <f>SUM(F388:I388)</f>
        <v>16</v>
      </c>
      <c r="F388" s="175">
        <f t="shared" si="203"/>
        <v>16</v>
      </c>
      <c r="G388" s="223">
        <v>0</v>
      </c>
      <c r="H388" s="175">
        <v>0</v>
      </c>
      <c r="I388" s="175">
        <v>0</v>
      </c>
      <c r="J388" s="100"/>
    </row>
    <row r="389" spans="1:10" ht="23.25" thickBot="1" x14ac:dyDescent="0.25">
      <c r="A389" s="255" t="s">
        <v>132</v>
      </c>
      <c r="B389" s="256"/>
      <c r="C389" s="256"/>
      <c r="D389" s="256"/>
      <c r="E389" s="51" t="s">
        <v>160</v>
      </c>
      <c r="F389" s="51" t="s">
        <v>200</v>
      </c>
      <c r="G389" s="51" t="s">
        <v>201</v>
      </c>
      <c r="H389" s="51" t="s">
        <v>202</v>
      </c>
      <c r="I389" s="51" t="s">
        <v>203</v>
      </c>
      <c r="J389" s="169" t="s">
        <v>137</v>
      </c>
    </row>
    <row r="390" spans="1:10" ht="15.95" customHeight="1" thickTop="1" x14ac:dyDescent="0.2">
      <c r="A390" s="333" t="s">
        <v>577</v>
      </c>
      <c r="B390" s="342" t="s">
        <v>85</v>
      </c>
      <c r="C390" s="342"/>
      <c r="D390" s="342"/>
      <c r="E390" s="101">
        <f t="shared" ref="E390:E437" si="204">SUM(F390:I390)</f>
        <v>5421</v>
      </c>
      <c r="F390" s="101">
        <f>F391+F392+F393</f>
        <v>5421</v>
      </c>
      <c r="G390" s="101">
        <f t="shared" ref="G390" si="205">G391+G392+G393</f>
        <v>0</v>
      </c>
      <c r="H390" s="101">
        <f t="shared" ref="H390" si="206">H391+H392+H393</f>
        <v>0</v>
      </c>
      <c r="I390" s="101">
        <f t="shared" ref="I390" si="207">I391+I392+I393</f>
        <v>0</v>
      </c>
      <c r="J390" s="102"/>
    </row>
    <row r="391" spans="1:10" ht="15.95" customHeight="1" x14ac:dyDescent="0.2">
      <c r="A391" s="334"/>
      <c r="B391" s="335" t="s">
        <v>86</v>
      </c>
      <c r="C391" s="335"/>
      <c r="D391" s="335"/>
      <c r="E391" s="174">
        <f t="shared" si="204"/>
        <v>5076</v>
      </c>
      <c r="F391" s="174">
        <f>I107</f>
        <v>5076</v>
      </c>
      <c r="G391" s="224">
        <v>0</v>
      </c>
      <c r="H391" s="174">
        <v>0</v>
      </c>
      <c r="I391" s="174">
        <v>0</v>
      </c>
      <c r="J391" s="98"/>
    </row>
    <row r="392" spans="1:10" ht="15.95" customHeight="1" x14ac:dyDescent="0.2">
      <c r="A392" s="334"/>
      <c r="B392" s="335" t="s">
        <v>487</v>
      </c>
      <c r="C392" s="335"/>
      <c r="D392" s="335"/>
      <c r="E392" s="174">
        <f t="shared" si="204"/>
        <v>33</v>
      </c>
      <c r="F392" s="224">
        <f>I113</f>
        <v>33</v>
      </c>
      <c r="G392" s="224">
        <v>0</v>
      </c>
      <c r="H392" s="174">
        <v>0</v>
      </c>
      <c r="I392" s="174">
        <v>0</v>
      </c>
      <c r="J392" s="98"/>
    </row>
    <row r="393" spans="1:10" ht="15.95" customHeight="1" x14ac:dyDescent="0.2">
      <c r="A393" s="334"/>
      <c r="B393" s="335" t="s">
        <v>87</v>
      </c>
      <c r="C393" s="330" t="s">
        <v>236</v>
      </c>
      <c r="D393" s="330"/>
      <c r="E393" s="174">
        <f t="shared" si="204"/>
        <v>312</v>
      </c>
      <c r="F393" s="224">
        <f t="shared" ref="F393:I393" si="208">SUM(F394:F397)</f>
        <v>312</v>
      </c>
      <c r="G393" s="174">
        <f t="shared" si="208"/>
        <v>0</v>
      </c>
      <c r="H393" s="224">
        <f t="shared" si="208"/>
        <v>0</v>
      </c>
      <c r="I393" s="224">
        <f t="shared" si="208"/>
        <v>0</v>
      </c>
      <c r="J393" s="98"/>
    </row>
    <row r="394" spans="1:10" ht="15.95" customHeight="1" x14ac:dyDescent="0.2">
      <c r="A394" s="334"/>
      <c r="B394" s="335"/>
      <c r="C394" s="364" t="s">
        <v>78</v>
      </c>
      <c r="D394" s="364"/>
      <c r="E394" s="174">
        <f t="shared" si="204"/>
        <v>75</v>
      </c>
      <c r="F394" s="174">
        <f>I240</f>
        <v>75</v>
      </c>
      <c r="G394" s="224">
        <v>0</v>
      </c>
      <c r="H394" s="174">
        <v>0</v>
      </c>
      <c r="I394" s="174">
        <v>0</v>
      </c>
      <c r="J394" s="98"/>
    </row>
    <row r="395" spans="1:10" ht="15.95" customHeight="1" x14ac:dyDescent="0.2">
      <c r="A395" s="334"/>
      <c r="B395" s="335"/>
      <c r="C395" s="364" t="s">
        <v>79</v>
      </c>
      <c r="D395" s="364"/>
      <c r="E395" s="174">
        <f t="shared" si="204"/>
        <v>149</v>
      </c>
      <c r="F395" s="224">
        <f t="shared" ref="F395:F397" si="209">I241</f>
        <v>149</v>
      </c>
      <c r="G395" s="224">
        <v>0</v>
      </c>
      <c r="H395" s="174">
        <v>0</v>
      </c>
      <c r="I395" s="174">
        <v>0</v>
      </c>
      <c r="J395" s="98"/>
    </row>
    <row r="396" spans="1:10" ht="15.95" customHeight="1" x14ac:dyDescent="0.2">
      <c r="A396" s="334"/>
      <c r="B396" s="335"/>
      <c r="C396" s="364" t="s">
        <v>62</v>
      </c>
      <c r="D396" s="364"/>
      <c r="E396" s="174">
        <f t="shared" si="204"/>
        <v>74</v>
      </c>
      <c r="F396" s="224">
        <f t="shared" si="209"/>
        <v>74</v>
      </c>
      <c r="G396" s="224">
        <v>0</v>
      </c>
      <c r="H396" s="174">
        <v>0</v>
      </c>
      <c r="I396" s="174">
        <v>0</v>
      </c>
      <c r="J396" s="98"/>
    </row>
    <row r="397" spans="1:10" ht="15.95" customHeight="1" x14ac:dyDescent="0.2">
      <c r="A397" s="334"/>
      <c r="B397" s="335"/>
      <c r="C397" s="364" t="s">
        <v>81</v>
      </c>
      <c r="D397" s="364"/>
      <c r="E397" s="174">
        <f t="shared" si="204"/>
        <v>14</v>
      </c>
      <c r="F397" s="224">
        <f t="shared" si="209"/>
        <v>14</v>
      </c>
      <c r="G397" s="224">
        <v>0</v>
      </c>
      <c r="H397" s="174">
        <v>0</v>
      </c>
      <c r="I397" s="174">
        <v>0</v>
      </c>
      <c r="J397" s="98"/>
    </row>
    <row r="398" spans="1:10" ht="15.95" customHeight="1" x14ac:dyDescent="0.2">
      <c r="A398" s="334" t="s">
        <v>578</v>
      </c>
      <c r="B398" s="335" t="s">
        <v>85</v>
      </c>
      <c r="C398" s="335"/>
      <c r="D398" s="335"/>
      <c r="E398" s="174">
        <f t="shared" si="204"/>
        <v>3500</v>
      </c>
      <c r="F398" s="174">
        <f>F399+F400+F401</f>
        <v>3500</v>
      </c>
      <c r="G398" s="174">
        <f t="shared" ref="G398" si="210">G399+G400+G401</f>
        <v>0</v>
      </c>
      <c r="H398" s="174">
        <f t="shared" ref="H398" si="211">H399+H400+H401</f>
        <v>0</v>
      </c>
      <c r="I398" s="174">
        <f t="shared" ref="I398" si="212">I399+I400+I401</f>
        <v>0</v>
      </c>
      <c r="J398" s="98"/>
    </row>
    <row r="399" spans="1:10" ht="15.95" customHeight="1" x14ac:dyDescent="0.2">
      <c r="A399" s="334"/>
      <c r="B399" s="335" t="s">
        <v>86</v>
      </c>
      <c r="C399" s="335"/>
      <c r="D399" s="335"/>
      <c r="E399" s="174">
        <f t="shared" si="204"/>
        <v>3250</v>
      </c>
      <c r="F399" s="174">
        <f>I114</f>
        <v>3250</v>
      </c>
      <c r="G399" s="174">
        <v>0</v>
      </c>
      <c r="H399" s="174">
        <v>0</v>
      </c>
      <c r="I399" s="174">
        <v>0</v>
      </c>
      <c r="J399" s="98"/>
    </row>
    <row r="400" spans="1:10" ht="15.95" customHeight="1" x14ac:dyDescent="0.2">
      <c r="A400" s="334"/>
      <c r="B400" s="335" t="s">
        <v>487</v>
      </c>
      <c r="C400" s="335"/>
      <c r="D400" s="335"/>
      <c r="E400" s="174">
        <f t="shared" si="204"/>
        <v>45</v>
      </c>
      <c r="F400" s="224">
        <f>I120</f>
        <v>45</v>
      </c>
      <c r="G400" s="174">
        <v>0</v>
      </c>
      <c r="H400" s="174">
        <v>0</v>
      </c>
      <c r="I400" s="174">
        <v>0</v>
      </c>
      <c r="J400" s="98"/>
    </row>
    <row r="401" spans="1:10" ht="15.95" customHeight="1" x14ac:dyDescent="0.2">
      <c r="A401" s="334"/>
      <c r="B401" s="335" t="s">
        <v>87</v>
      </c>
      <c r="C401" s="330" t="s">
        <v>236</v>
      </c>
      <c r="D401" s="330"/>
      <c r="E401" s="174">
        <f t="shared" si="204"/>
        <v>205</v>
      </c>
      <c r="F401" s="174">
        <f>SUM(F402:F405)</f>
        <v>205</v>
      </c>
      <c r="G401" s="174">
        <f t="shared" ref="G401" si="213">SUM(G402:G405)</f>
        <v>0</v>
      </c>
      <c r="H401" s="174">
        <f t="shared" ref="H401" si="214">SUM(H402:H405)</f>
        <v>0</v>
      </c>
      <c r="I401" s="174">
        <f t="shared" ref="I401" si="215">SUM(I402:I405)</f>
        <v>0</v>
      </c>
      <c r="J401" s="98"/>
    </row>
    <row r="402" spans="1:10" ht="15.95" customHeight="1" x14ac:dyDescent="0.2">
      <c r="A402" s="334"/>
      <c r="B402" s="335"/>
      <c r="C402" s="364" t="s">
        <v>78</v>
      </c>
      <c r="D402" s="364"/>
      <c r="E402" s="174">
        <f t="shared" si="204"/>
        <v>49</v>
      </c>
      <c r="F402" s="174">
        <f>I245</f>
        <v>49</v>
      </c>
      <c r="G402" s="174">
        <v>0</v>
      </c>
      <c r="H402" s="174">
        <v>0</v>
      </c>
      <c r="I402" s="174">
        <v>0</v>
      </c>
      <c r="J402" s="98"/>
    </row>
    <row r="403" spans="1:10" ht="15.95" customHeight="1" x14ac:dyDescent="0.2">
      <c r="A403" s="334"/>
      <c r="B403" s="335"/>
      <c r="C403" s="364" t="s">
        <v>79</v>
      </c>
      <c r="D403" s="364"/>
      <c r="E403" s="174">
        <f t="shared" si="204"/>
        <v>97</v>
      </c>
      <c r="F403" s="224">
        <f t="shared" ref="F403:F405" si="216">I246</f>
        <v>97</v>
      </c>
      <c r="G403" s="174">
        <v>0</v>
      </c>
      <c r="H403" s="174">
        <v>0</v>
      </c>
      <c r="I403" s="174">
        <v>0</v>
      </c>
      <c r="J403" s="98"/>
    </row>
    <row r="404" spans="1:10" ht="15.95" customHeight="1" x14ac:dyDescent="0.2">
      <c r="A404" s="334"/>
      <c r="B404" s="335"/>
      <c r="C404" s="364" t="s">
        <v>62</v>
      </c>
      <c r="D404" s="364"/>
      <c r="E404" s="174">
        <f t="shared" si="204"/>
        <v>48</v>
      </c>
      <c r="F404" s="224">
        <f t="shared" si="216"/>
        <v>48</v>
      </c>
      <c r="G404" s="174">
        <v>0</v>
      </c>
      <c r="H404" s="174">
        <v>0</v>
      </c>
      <c r="I404" s="174">
        <v>0</v>
      </c>
      <c r="J404" s="98"/>
    </row>
    <row r="405" spans="1:10" ht="15.95" customHeight="1" x14ac:dyDescent="0.2">
      <c r="A405" s="334"/>
      <c r="B405" s="335"/>
      <c r="C405" s="364" t="s">
        <v>81</v>
      </c>
      <c r="D405" s="364"/>
      <c r="E405" s="174">
        <f t="shared" si="204"/>
        <v>11</v>
      </c>
      <c r="F405" s="224">
        <f t="shared" si="216"/>
        <v>11</v>
      </c>
      <c r="G405" s="174">
        <v>0</v>
      </c>
      <c r="H405" s="174">
        <v>0</v>
      </c>
      <c r="I405" s="174">
        <v>0</v>
      </c>
      <c r="J405" s="98"/>
    </row>
    <row r="406" spans="1:10" ht="15.95" customHeight="1" x14ac:dyDescent="0.2">
      <c r="A406" s="334" t="s">
        <v>579</v>
      </c>
      <c r="B406" s="335" t="s">
        <v>85</v>
      </c>
      <c r="C406" s="335"/>
      <c r="D406" s="335"/>
      <c r="E406" s="174">
        <f t="shared" si="204"/>
        <v>3842</v>
      </c>
      <c r="F406" s="174">
        <f>F407+F408+F409</f>
        <v>0</v>
      </c>
      <c r="G406" s="174">
        <f t="shared" ref="G406" si="217">G407+G408+G409</f>
        <v>3842</v>
      </c>
      <c r="H406" s="174">
        <f t="shared" ref="H406" si="218">H407+H408+H409</f>
        <v>0</v>
      </c>
      <c r="I406" s="174">
        <f t="shared" ref="I406" si="219">I407+I408+I409</f>
        <v>0</v>
      </c>
      <c r="J406" s="98"/>
    </row>
    <row r="407" spans="1:10" ht="15.95" customHeight="1" x14ac:dyDescent="0.2">
      <c r="A407" s="334"/>
      <c r="B407" s="335" t="s">
        <v>86</v>
      </c>
      <c r="C407" s="335"/>
      <c r="D407" s="335"/>
      <c r="E407" s="174">
        <f t="shared" si="204"/>
        <v>3545</v>
      </c>
      <c r="F407" s="174">
        <v>0</v>
      </c>
      <c r="G407" s="174">
        <f>I121</f>
        <v>3545</v>
      </c>
      <c r="H407" s="174">
        <v>0</v>
      </c>
      <c r="I407" s="174">
        <v>0</v>
      </c>
      <c r="J407" s="98"/>
    </row>
    <row r="408" spans="1:10" ht="15.95" customHeight="1" x14ac:dyDescent="0.2">
      <c r="A408" s="334"/>
      <c r="B408" s="335" t="s">
        <v>487</v>
      </c>
      <c r="C408" s="335"/>
      <c r="D408" s="335"/>
      <c r="E408" s="174">
        <f t="shared" si="204"/>
        <v>74</v>
      </c>
      <c r="F408" s="174">
        <v>0</v>
      </c>
      <c r="G408" s="224">
        <f>I127</f>
        <v>74</v>
      </c>
      <c r="H408" s="174">
        <v>0</v>
      </c>
      <c r="I408" s="174">
        <v>0</v>
      </c>
      <c r="J408" s="98"/>
    </row>
    <row r="409" spans="1:10" ht="15.95" customHeight="1" x14ac:dyDescent="0.2">
      <c r="A409" s="334"/>
      <c r="B409" s="335" t="s">
        <v>87</v>
      </c>
      <c r="C409" s="330" t="s">
        <v>236</v>
      </c>
      <c r="D409" s="330"/>
      <c r="E409" s="174">
        <f t="shared" si="204"/>
        <v>223</v>
      </c>
      <c r="F409" s="174">
        <v>0</v>
      </c>
      <c r="G409" s="174">
        <f t="shared" ref="G409" si="220">SUM(G410:G413)</f>
        <v>223</v>
      </c>
      <c r="H409" s="174">
        <f t="shared" ref="H409" si="221">SUM(H410:H413)</f>
        <v>0</v>
      </c>
      <c r="I409" s="174">
        <f t="shared" ref="I409" si="222">SUM(I410:I413)</f>
        <v>0</v>
      </c>
      <c r="J409" s="98"/>
    </row>
    <row r="410" spans="1:10" ht="15.95" customHeight="1" x14ac:dyDescent="0.2">
      <c r="A410" s="334"/>
      <c r="B410" s="335"/>
      <c r="C410" s="364" t="s">
        <v>78</v>
      </c>
      <c r="D410" s="364"/>
      <c r="E410" s="174">
        <f t="shared" si="204"/>
        <v>53</v>
      </c>
      <c r="F410" s="174">
        <v>0</v>
      </c>
      <c r="G410" s="174">
        <f>I250</f>
        <v>53</v>
      </c>
      <c r="H410" s="174">
        <v>0</v>
      </c>
      <c r="I410" s="174">
        <v>0</v>
      </c>
      <c r="J410" s="98"/>
    </row>
    <row r="411" spans="1:10" ht="15.95" customHeight="1" x14ac:dyDescent="0.2">
      <c r="A411" s="334"/>
      <c r="B411" s="335"/>
      <c r="C411" s="364" t="s">
        <v>79</v>
      </c>
      <c r="D411" s="364"/>
      <c r="E411" s="174">
        <f t="shared" si="204"/>
        <v>106</v>
      </c>
      <c r="F411" s="174">
        <v>0</v>
      </c>
      <c r="G411" s="224">
        <f t="shared" ref="G411:G413" si="223">I251</f>
        <v>106</v>
      </c>
      <c r="H411" s="174">
        <v>0</v>
      </c>
      <c r="I411" s="174">
        <v>0</v>
      </c>
      <c r="J411" s="98"/>
    </row>
    <row r="412" spans="1:10" ht="15.95" customHeight="1" x14ac:dyDescent="0.2">
      <c r="A412" s="334"/>
      <c r="B412" s="335"/>
      <c r="C412" s="364" t="s">
        <v>62</v>
      </c>
      <c r="D412" s="364"/>
      <c r="E412" s="174">
        <f t="shared" si="204"/>
        <v>52</v>
      </c>
      <c r="F412" s="174">
        <v>0</v>
      </c>
      <c r="G412" s="224">
        <f t="shared" si="223"/>
        <v>52</v>
      </c>
      <c r="H412" s="174">
        <v>0</v>
      </c>
      <c r="I412" s="174">
        <v>0</v>
      </c>
      <c r="J412" s="98"/>
    </row>
    <row r="413" spans="1:10" ht="15.95" customHeight="1" x14ac:dyDescent="0.2">
      <c r="A413" s="334"/>
      <c r="B413" s="335"/>
      <c r="C413" s="364" t="s">
        <v>81</v>
      </c>
      <c r="D413" s="364"/>
      <c r="E413" s="174">
        <f t="shared" si="204"/>
        <v>12</v>
      </c>
      <c r="F413" s="174">
        <v>0</v>
      </c>
      <c r="G413" s="224">
        <f t="shared" si="223"/>
        <v>12</v>
      </c>
      <c r="H413" s="174">
        <v>0</v>
      </c>
      <c r="I413" s="174">
        <v>0</v>
      </c>
      <c r="J413" s="98"/>
    </row>
    <row r="414" spans="1:10" ht="15.95" customHeight="1" x14ac:dyDescent="0.2">
      <c r="A414" s="334" t="s">
        <v>580</v>
      </c>
      <c r="B414" s="335" t="s">
        <v>85</v>
      </c>
      <c r="C414" s="335"/>
      <c r="D414" s="335"/>
      <c r="E414" s="174">
        <f t="shared" si="204"/>
        <v>3943</v>
      </c>
      <c r="F414" s="224">
        <f t="shared" ref="F414:G414" si="224">F415+F416+F417</f>
        <v>0</v>
      </c>
      <c r="G414" s="174">
        <f t="shared" si="224"/>
        <v>3943</v>
      </c>
      <c r="H414" s="174">
        <f t="shared" ref="H414" si="225">H415+H416+H417</f>
        <v>0</v>
      </c>
      <c r="I414" s="174">
        <f t="shared" ref="I414" si="226">I415+I416+I417</f>
        <v>0</v>
      </c>
      <c r="J414" s="98"/>
    </row>
    <row r="415" spans="1:10" ht="15.95" customHeight="1" x14ac:dyDescent="0.2">
      <c r="A415" s="334"/>
      <c r="B415" s="335" t="s">
        <v>86</v>
      </c>
      <c r="C415" s="335"/>
      <c r="D415" s="335"/>
      <c r="E415" s="174">
        <f t="shared" si="204"/>
        <v>3668</v>
      </c>
      <c r="F415" s="224">
        <v>0</v>
      </c>
      <c r="G415" s="174">
        <f>I129</f>
        <v>3668</v>
      </c>
      <c r="H415" s="174">
        <v>0</v>
      </c>
      <c r="I415" s="174">
        <v>0</v>
      </c>
      <c r="J415" s="98"/>
    </row>
    <row r="416" spans="1:10" ht="15.95" customHeight="1" x14ac:dyDescent="0.2">
      <c r="A416" s="334"/>
      <c r="B416" s="335" t="s">
        <v>487</v>
      </c>
      <c r="C416" s="335"/>
      <c r="D416" s="335"/>
      <c r="E416" s="174">
        <f t="shared" si="204"/>
        <v>45</v>
      </c>
      <c r="F416" s="224">
        <v>0</v>
      </c>
      <c r="G416" s="224">
        <f>I135</f>
        <v>45</v>
      </c>
      <c r="H416" s="174">
        <v>0</v>
      </c>
      <c r="I416" s="174">
        <v>0</v>
      </c>
      <c r="J416" s="98"/>
    </row>
    <row r="417" spans="1:10" ht="15.95" customHeight="1" x14ac:dyDescent="0.2">
      <c r="A417" s="334"/>
      <c r="B417" s="335" t="s">
        <v>87</v>
      </c>
      <c r="C417" s="330" t="s">
        <v>236</v>
      </c>
      <c r="D417" s="330"/>
      <c r="E417" s="174">
        <f t="shared" si="204"/>
        <v>230</v>
      </c>
      <c r="F417" s="224">
        <f t="shared" ref="F417:G417" si="227">SUM(F418:F421)</f>
        <v>0</v>
      </c>
      <c r="G417" s="174">
        <f t="shared" si="227"/>
        <v>230</v>
      </c>
      <c r="H417" s="174">
        <f t="shared" ref="H417" si="228">SUM(H418:H421)</f>
        <v>0</v>
      </c>
      <c r="I417" s="174">
        <f t="shared" ref="I417" si="229">SUM(I418:I421)</f>
        <v>0</v>
      </c>
      <c r="J417" s="98"/>
    </row>
    <row r="418" spans="1:10" ht="15.95" customHeight="1" x14ac:dyDescent="0.2">
      <c r="A418" s="334"/>
      <c r="B418" s="335"/>
      <c r="C418" s="364" t="s">
        <v>78</v>
      </c>
      <c r="D418" s="364"/>
      <c r="E418" s="174">
        <f t="shared" si="204"/>
        <v>55</v>
      </c>
      <c r="F418" s="224">
        <v>0</v>
      </c>
      <c r="G418" s="174">
        <f>I255</f>
        <v>55</v>
      </c>
      <c r="H418" s="174">
        <v>0</v>
      </c>
      <c r="I418" s="174">
        <v>0</v>
      </c>
      <c r="J418" s="98"/>
    </row>
    <row r="419" spans="1:10" ht="15.95" customHeight="1" x14ac:dyDescent="0.2">
      <c r="A419" s="334"/>
      <c r="B419" s="335"/>
      <c r="C419" s="364" t="s">
        <v>79</v>
      </c>
      <c r="D419" s="364"/>
      <c r="E419" s="174">
        <f t="shared" si="204"/>
        <v>109</v>
      </c>
      <c r="F419" s="224">
        <v>0</v>
      </c>
      <c r="G419" s="224">
        <f t="shared" ref="G419:G421" si="230">I256</f>
        <v>109</v>
      </c>
      <c r="H419" s="174">
        <v>0</v>
      </c>
      <c r="I419" s="174">
        <v>0</v>
      </c>
      <c r="J419" s="98"/>
    </row>
    <row r="420" spans="1:10" ht="15.95" customHeight="1" x14ac:dyDescent="0.2">
      <c r="A420" s="334"/>
      <c r="B420" s="335"/>
      <c r="C420" s="364" t="s">
        <v>62</v>
      </c>
      <c r="D420" s="364"/>
      <c r="E420" s="174">
        <f t="shared" si="204"/>
        <v>54</v>
      </c>
      <c r="F420" s="224">
        <v>0</v>
      </c>
      <c r="G420" s="224">
        <f t="shared" si="230"/>
        <v>54</v>
      </c>
      <c r="H420" s="174">
        <v>0</v>
      </c>
      <c r="I420" s="174">
        <v>0</v>
      </c>
      <c r="J420" s="98"/>
    </row>
    <row r="421" spans="1:10" ht="15.95" customHeight="1" x14ac:dyDescent="0.2">
      <c r="A421" s="334"/>
      <c r="B421" s="335"/>
      <c r="C421" s="364" t="s">
        <v>81</v>
      </c>
      <c r="D421" s="364"/>
      <c r="E421" s="174">
        <f t="shared" si="204"/>
        <v>12</v>
      </c>
      <c r="F421" s="224">
        <v>0</v>
      </c>
      <c r="G421" s="224">
        <f t="shared" si="230"/>
        <v>12</v>
      </c>
      <c r="H421" s="174">
        <v>0</v>
      </c>
      <c r="I421" s="174">
        <v>0</v>
      </c>
      <c r="J421" s="98"/>
    </row>
    <row r="422" spans="1:10" ht="15.95" customHeight="1" x14ac:dyDescent="0.2">
      <c r="A422" s="334" t="s">
        <v>581</v>
      </c>
      <c r="B422" s="335" t="s">
        <v>85</v>
      </c>
      <c r="C422" s="335"/>
      <c r="D422" s="335"/>
      <c r="E422" s="174">
        <f t="shared" si="204"/>
        <v>4277</v>
      </c>
      <c r="F422" s="174">
        <f>F423+F424+F425</f>
        <v>4277</v>
      </c>
      <c r="G422" s="224">
        <f t="shared" ref="G422:H422" si="231">G423+G424+G425</f>
        <v>0</v>
      </c>
      <c r="H422" s="174">
        <f t="shared" si="231"/>
        <v>0</v>
      </c>
      <c r="I422" s="174">
        <f t="shared" ref="I422" si="232">I423+I424+I425</f>
        <v>0</v>
      </c>
      <c r="J422" s="98"/>
    </row>
    <row r="423" spans="1:10" ht="15.95" customHeight="1" x14ac:dyDescent="0.2">
      <c r="A423" s="334"/>
      <c r="B423" s="335" t="s">
        <v>86</v>
      </c>
      <c r="C423" s="335"/>
      <c r="D423" s="335"/>
      <c r="E423" s="174">
        <f t="shared" si="204"/>
        <v>3997</v>
      </c>
      <c r="F423" s="174">
        <f>I136</f>
        <v>3997</v>
      </c>
      <c r="G423" s="224">
        <v>0</v>
      </c>
      <c r="H423" s="174">
        <v>0</v>
      </c>
      <c r="I423" s="174">
        <v>0</v>
      </c>
      <c r="J423" s="98"/>
    </row>
    <row r="424" spans="1:10" ht="15.95" customHeight="1" x14ac:dyDescent="0.2">
      <c r="A424" s="334"/>
      <c r="B424" s="335" t="s">
        <v>487</v>
      </c>
      <c r="C424" s="335"/>
      <c r="D424" s="335"/>
      <c r="E424" s="174">
        <f t="shared" si="204"/>
        <v>29</v>
      </c>
      <c r="F424" s="224">
        <f>I142</f>
        <v>29</v>
      </c>
      <c r="G424" s="224">
        <v>0</v>
      </c>
      <c r="H424" s="174">
        <v>0</v>
      </c>
      <c r="I424" s="174">
        <v>0</v>
      </c>
      <c r="J424" s="98"/>
    </row>
    <row r="425" spans="1:10" ht="15.95" customHeight="1" x14ac:dyDescent="0.2">
      <c r="A425" s="334"/>
      <c r="B425" s="335" t="s">
        <v>87</v>
      </c>
      <c r="C425" s="330" t="s">
        <v>236</v>
      </c>
      <c r="D425" s="330"/>
      <c r="E425" s="174">
        <f t="shared" si="204"/>
        <v>251</v>
      </c>
      <c r="F425" s="224">
        <f t="shared" ref="F425:H425" si="233">SUM(F426:F429)</f>
        <v>251</v>
      </c>
      <c r="G425" s="224">
        <f t="shared" si="233"/>
        <v>0</v>
      </c>
      <c r="H425" s="174">
        <f t="shared" si="233"/>
        <v>0</v>
      </c>
      <c r="I425" s="174">
        <f t="shared" ref="I425" si="234">SUM(I426:I429)</f>
        <v>0</v>
      </c>
      <c r="J425" s="98"/>
    </row>
    <row r="426" spans="1:10" ht="15.95" customHeight="1" x14ac:dyDescent="0.2">
      <c r="A426" s="334"/>
      <c r="B426" s="335"/>
      <c r="C426" s="364" t="s">
        <v>78</v>
      </c>
      <c r="D426" s="364"/>
      <c r="E426" s="174">
        <f t="shared" si="204"/>
        <v>60</v>
      </c>
      <c r="F426" s="174">
        <f>I260</f>
        <v>60</v>
      </c>
      <c r="G426" s="224">
        <v>0</v>
      </c>
      <c r="H426" s="174">
        <v>0</v>
      </c>
      <c r="I426" s="174">
        <v>0</v>
      </c>
      <c r="J426" s="98"/>
    </row>
    <row r="427" spans="1:10" ht="15.95" customHeight="1" x14ac:dyDescent="0.2">
      <c r="A427" s="334"/>
      <c r="B427" s="335"/>
      <c r="C427" s="364" t="s">
        <v>79</v>
      </c>
      <c r="D427" s="364"/>
      <c r="E427" s="174">
        <f t="shared" si="204"/>
        <v>119</v>
      </c>
      <c r="F427" s="224">
        <f t="shared" ref="F427:F429" si="235">I261</f>
        <v>119</v>
      </c>
      <c r="G427" s="224">
        <v>0</v>
      </c>
      <c r="H427" s="174">
        <v>0</v>
      </c>
      <c r="I427" s="174">
        <v>0</v>
      </c>
      <c r="J427" s="98"/>
    </row>
    <row r="428" spans="1:10" ht="15.95" customHeight="1" x14ac:dyDescent="0.2">
      <c r="A428" s="334"/>
      <c r="B428" s="335"/>
      <c r="C428" s="364" t="s">
        <v>62</v>
      </c>
      <c r="D428" s="364"/>
      <c r="E428" s="174">
        <f t="shared" si="204"/>
        <v>59</v>
      </c>
      <c r="F428" s="224">
        <f t="shared" si="235"/>
        <v>59</v>
      </c>
      <c r="G428" s="224">
        <v>0</v>
      </c>
      <c r="H428" s="174">
        <v>0</v>
      </c>
      <c r="I428" s="174">
        <v>0</v>
      </c>
      <c r="J428" s="98"/>
    </row>
    <row r="429" spans="1:10" ht="15.95" customHeight="1" x14ac:dyDescent="0.2">
      <c r="A429" s="334"/>
      <c r="B429" s="335"/>
      <c r="C429" s="364" t="s">
        <v>81</v>
      </c>
      <c r="D429" s="364"/>
      <c r="E429" s="174">
        <f t="shared" si="204"/>
        <v>13</v>
      </c>
      <c r="F429" s="224">
        <f t="shared" si="235"/>
        <v>13</v>
      </c>
      <c r="G429" s="224">
        <v>0</v>
      </c>
      <c r="H429" s="174">
        <v>0</v>
      </c>
      <c r="I429" s="174">
        <v>0</v>
      </c>
      <c r="J429" s="98"/>
    </row>
    <row r="430" spans="1:10" ht="15.95" customHeight="1" x14ac:dyDescent="0.2">
      <c r="A430" s="334" t="s">
        <v>582</v>
      </c>
      <c r="B430" s="335" t="s">
        <v>85</v>
      </c>
      <c r="C430" s="335"/>
      <c r="D430" s="335"/>
      <c r="E430" s="174">
        <f t="shared" si="204"/>
        <v>2477</v>
      </c>
      <c r="F430" s="224">
        <f t="shared" ref="F430:G430" si="236">F431+F432+F433</f>
        <v>0</v>
      </c>
      <c r="G430" s="174">
        <f t="shared" si="236"/>
        <v>2477</v>
      </c>
      <c r="H430" s="174">
        <f t="shared" ref="H430" si="237">H431+H432+H433</f>
        <v>0</v>
      </c>
      <c r="I430" s="174">
        <f t="shared" ref="I430" si="238">I431+I432+I433</f>
        <v>0</v>
      </c>
      <c r="J430" s="98"/>
    </row>
    <row r="431" spans="1:10" ht="15.95" customHeight="1" x14ac:dyDescent="0.2">
      <c r="A431" s="334"/>
      <c r="B431" s="335" t="s">
        <v>86</v>
      </c>
      <c r="C431" s="335"/>
      <c r="D431" s="335"/>
      <c r="E431" s="174">
        <f t="shared" si="204"/>
        <v>2314</v>
      </c>
      <c r="F431" s="224">
        <v>0</v>
      </c>
      <c r="G431" s="174">
        <f>I143</f>
        <v>2314</v>
      </c>
      <c r="H431" s="174">
        <v>0</v>
      </c>
      <c r="I431" s="174">
        <v>0</v>
      </c>
      <c r="J431" s="98"/>
    </row>
    <row r="432" spans="1:10" ht="15.95" customHeight="1" x14ac:dyDescent="0.2">
      <c r="A432" s="334"/>
      <c r="B432" s="335" t="s">
        <v>487</v>
      </c>
      <c r="C432" s="335"/>
      <c r="D432" s="335"/>
      <c r="E432" s="174">
        <f t="shared" si="204"/>
        <v>14</v>
      </c>
      <c r="F432" s="224">
        <v>0</v>
      </c>
      <c r="G432" s="224">
        <f>I149</f>
        <v>14</v>
      </c>
      <c r="H432" s="174">
        <v>0</v>
      </c>
      <c r="I432" s="174">
        <v>0</v>
      </c>
      <c r="J432" s="98"/>
    </row>
    <row r="433" spans="1:10" ht="15.95" customHeight="1" x14ac:dyDescent="0.2">
      <c r="A433" s="334"/>
      <c r="B433" s="335" t="s">
        <v>87</v>
      </c>
      <c r="C433" s="330" t="s">
        <v>236</v>
      </c>
      <c r="D433" s="330"/>
      <c r="E433" s="174">
        <f t="shared" si="204"/>
        <v>149</v>
      </c>
      <c r="F433" s="224">
        <f t="shared" ref="F433:G433" si="239">SUM(F434:F437)</f>
        <v>0</v>
      </c>
      <c r="G433" s="174">
        <f t="shared" si="239"/>
        <v>149</v>
      </c>
      <c r="H433" s="174">
        <f t="shared" ref="H433" si="240">SUM(H434:H437)</f>
        <v>0</v>
      </c>
      <c r="I433" s="174">
        <f t="shared" ref="I433" si="241">SUM(I434:I437)</f>
        <v>0</v>
      </c>
      <c r="J433" s="98"/>
    </row>
    <row r="434" spans="1:10" ht="15.95" customHeight="1" x14ac:dyDescent="0.2">
      <c r="A434" s="334"/>
      <c r="B434" s="335"/>
      <c r="C434" s="364" t="s">
        <v>78</v>
      </c>
      <c r="D434" s="364"/>
      <c r="E434" s="174">
        <f t="shared" si="204"/>
        <v>35</v>
      </c>
      <c r="F434" s="224">
        <v>0</v>
      </c>
      <c r="G434" s="174">
        <f>I265</f>
        <v>35</v>
      </c>
      <c r="H434" s="174">
        <v>0</v>
      </c>
      <c r="I434" s="174">
        <v>0</v>
      </c>
      <c r="J434" s="98"/>
    </row>
    <row r="435" spans="1:10" ht="15.95" customHeight="1" x14ac:dyDescent="0.2">
      <c r="A435" s="334"/>
      <c r="B435" s="335"/>
      <c r="C435" s="364" t="s">
        <v>79</v>
      </c>
      <c r="D435" s="364"/>
      <c r="E435" s="174">
        <f t="shared" si="204"/>
        <v>71</v>
      </c>
      <c r="F435" s="224">
        <v>0</v>
      </c>
      <c r="G435" s="174">
        <f t="shared" ref="G435:G437" si="242">I266</f>
        <v>71</v>
      </c>
      <c r="H435" s="174">
        <v>0</v>
      </c>
      <c r="I435" s="174">
        <v>0</v>
      </c>
      <c r="J435" s="98"/>
    </row>
    <row r="436" spans="1:10" ht="15.95" customHeight="1" x14ac:dyDescent="0.2">
      <c r="A436" s="334"/>
      <c r="B436" s="335"/>
      <c r="C436" s="364" t="s">
        <v>62</v>
      </c>
      <c r="D436" s="364"/>
      <c r="E436" s="174">
        <f t="shared" si="204"/>
        <v>35</v>
      </c>
      <c r="F436" s="224">
        <v>0</v>
      </c>
      <c r="G436" s="174">
        <f t="shared" si="242"/>
        <v>35</v>
      </c>
      <c r="H436" s="174">
        <v>0</v>
      </c>
      <c r="I436" s="174">
        <v>0</v>
      </c>
      <c r="J436" s="98"/>
    </row>
    <row r="437" spans="1:10" ht="15.95" customHeight="1" x14ac:dyDescent="0.2">
      <c r="A437" s="340"/>
      <c r="B437" s="341"/>
      <c r="C437" s="366" t="s">
        <v>81</v>
      </c>
      <c r="D437" s="366"/>
      <c r="E437" s="175">
        <f t="shared" si="204"/>
        <v>8</v>
      </c>
      <c r="F437" s="223">
        <v>0</v>
      </c>
      <c r="G437" s="175">
        <f t="shared" si="242"/>
        <v>8</v>
      </c>
      <c r="H437" s="175">
        <v>0</v>
      </c>
      <c r="I437" s="175">
        <v>0</v>
      </c>
      <c r="J437" s="100"/>
    </row>
    <row r="438" spans="1:10" ht="23.25" thickBot="1" x14ac:dyDescent="0.25">
      <c r="A438" s="255" t="s">
        <v>66</v>
      </c>
      <c r="B438" s="256"/>
      <c r="C438" s="256"/>
      <c r="D438" s="256"/>
      <c r="E438" s="51" t="s">
        <v>160</v>
      </c>
      <c r="F438" s="51" t="s">
        <v>200</v>
      </c>
      <c r="G438" s="51" t="s">
        <v>201</v>
      </c>
      <c r="H438" s="51" t="s">
        <v>202</v>
      </c>
      <c r="I438" s="51" t="s">
        <v>203</v>
      </c>
      <c r="J438" s="169" t="s">
        <v>137</v>
      </c>
    </row>
    <row r="439" spans="1:10" ht="15.95" customHeight="1" thickTop="1" x14ac:dyDescent="0.2">
      <c r="A439" s="333" t="s">
        <v>583</v>
      </c>
      <c r="B439" s="342" t="s">
        <v>85</v>
      </c>
      <c r="C439" s="342"/>
      <c r="D439" s="342"/>
      <c r="E439" s="101">
        <f t="shared" ref="E439:E470" si="243">SUM(F439:I439)</f>
        <v>5286</v>
      </c>
      <c r="F439" s="101">
        <f>F440+F441+F442</f>
        <v>5286</v>
      </c>
      <c r="G439" s="101">
        <f t="shared" ref="G439" si="244">G440+G441+G442</f>
        <v>0</v>
      </c>
      <c r="H439" s="101">
        <f t="shared" ref="H439" si="245">H440+H441+H442</f>
        <v>0</v>
      </c>
      <c r="I439" s="101">
        <f t="shared" ref="I439" si="246">I440+I441+I442</f>
        <v>0</v>
      </c>
      <c r="J439" s="102"/>
    </row>
    <row r="440" spans="1:10" ht="15.95" customHeight="1" x14ac:dyDescent="0.2">
      <c r="A440" s="334"/>
      <c r="B440" s="335" t="s">
        <v>86</v>
      </c>
      <c r="C440" s="335"/>
      <c r="D440" s="335"/>
      <c r="E440" s="174">
        <f t="shared" si="243"/>
        <v>4948</v>
      </c>
      <c r="F440" s="174">
        <f>I150</f>
        <v>4948</v>
      </c>
      <c r="G440" s="174">
        <v>0</v>
      </c>
      <c r="H440" s="174">
        <v>0</v>
      </c>
      <c r="I440" s="174">
        <v>0</v>
      </c>
      <c r="J440" s="98"/>
    </row>
    <row r="441" spans="1:10" ht="15.95" customHeight="1" x14ac:dyDescent="0.2">
      <c r="A441" s="334"/>
      <c r="B441" s="335" t="s">
        <v>487</v>
      </c>
      <c r="C441" s="335"/>
      <c r="D441" s="335"/>
      <c r="E441" s="174">
        <f t="shared" si="243"/>
        <v>35</v>
      </c>
      <c r="F441" s="224">
        <f>I156</f>
        <v>35</v>
      </c>
      <c r="G441" s="174">
        <v>0</v>
      </c>
      <c r="H441" s="174">
        <v>0</v>
      </c>
      <c r="I441" s="174">
        <v>0</v>
      </c>
      <c r="J441" s="98"/>
    </row>
    <row r="442" spans="1:10" ht="15.95" customHeight="1" x14ac:dyDescent="0.2">
      <c r="A442" s="334"/>
      <c r="B442" s="335" t="s">
        <v>87</v>
      </c>
      <c r="C442" s="330" t="s">
        <v>236</v>
      </c>
      <c r="D442" s="330"/>
      <c r="E442" s="174">
        <f t="shared" si="243"/>
        <v>303</v>
      </c>
      <c r="F442" s="174">
        <f>SUM(F443:F446)</f>
        <v>303</v>
      </c>
      <c r="G442" s="174">
        <f t="shared" ref="G442" si="247">SUM(G443:G446)</f>
        <v>0</v>
      </c>
      <c r="H442" s="174">
        <f t="shared" ref="H442" si="248">SUM(H443:H446)</f>
        <v>0</v>
      </c>
      <c r="I442" s="174">
        <f t="shared" ref="I442" si="249">SUM(I443:I446)</f>
        <v>0</v>
      </c>
      <c r="J442" s="98"/>
    </row>
    <row r="443" spans="1:10" ht="15.95" customHeight="1" x14ac:dyDescent="0.2">
      <c r="A443" s="334"/>
      <c r="B443" s="335"/>
      <c r="C443" s="364" t="s">
        <v>78</v>
      </c>
      <c r="D443" s="364"/>
      <c r="E443" s="174">
        <f t="shared" si="243"/>
        <v>73</v>
      </c>
      <c r="F443" s="174">
        <f>I270</f>
        <v>73</v>
      </c>
      <c r="G443" s="174">
        <v>0</v>
      </c>
      <c r="H443" s="174">
        <v>0</v>
      </c>
      <c r="I443" s="174">
        <v>0</v>
      </c>
      <c r="J443" s="98"/>
    </row>
    <row r="444" spans="1:10" ht="15.95" customHeight="1" x14ac:dyDescent="0.2">
      <c r="A444" s="334"/>
      <c r="B444" s="335"/>
      <c r="C444" s="364" t="s">
        <v>79</v>
      </c>
      <c r="D444" s="364"/>
      <c r="E444" s="174">
        <f t="shared" si="243"/>
        <v>145</v>
      </c>
      <c r="F444" s="224">
        <f t="shared" ref="F444:F446" si="250">I271</f>
        <v>145</v>
      </c>
      <c r="G444" s="174">
        <v>0</v>
      </c>
      <c r="H444" s="174">
        <v>0</v>
      </c>
      <c r="I444" s="174">
        <v>0</v>
      </c>
      <c r="J444" s="98"/>
    </row>
    <row r="445" spans="1:10" ht="15.95" customHeight="1" x14ac:dyDescent="0.2">
      <c r="A445" s="334"/>
      <c r="B445" s="335"/>
      <c r="C445" s="364" t="s">
        <v>62</v>
      </c>
      <c r="D445" s="364"/>
      <c r="E445" s="174">
        <f t="shared" si="243"/>
        <v>72</v>
      </c>
      <c r="F445" s="224">
        <f t="shared" si="250"/>
        <v>72</v>
      </c>
      <c r="G445" s="174">
        <v>0</v>
      </c>
      <c r="H445" s="174">
        <v>0</v>
      </c>
      <c r="I445" s="174">
        <v>0</v>
      </c>
      <c r="J445" s="98"/>
    </row>
    <row r="446" spans="1:10" ht="15.95" customHeight="1" x14ac:dyDescent="0.2">
      <c r="A446" s="334"/>
      <c r="B446" s="335"/>
      <c r="C446" s="364" t="s">
        <v>81</v>
      </c>
      <c r="D446" s="364"/>
      <c r="E446" s="174">
        <f t="shared" si="243"/>
        <v>13</v>
      </c>
      <c r="F446" s="224">
        <f t="shared" si="250"/>
        <v>13</v>
      </c>
      <c r="G446" s="174">
        <v>0</v>
      </c>
      <c r="H446" s="174">
        <v>0</v>
      </c>
      <c r="I446" s="174">
        <v>0</v>
      </c>
      <c r="J446" s="98"/>
    </row>
    <row r="447" spans="1:10" ht="15.95" customHeight="1" x14ac:dyDescent="0.2">
      <c r="A447" s="334" t="s">
        <v>584</v>
      </c>
      <c r="B447" s="335" t="s">
        <v>85</v>
      </c>
      <c r="C447" s="335"/>
      <c r="D447" s="335"/>
      <c r="E447" s="174">
        <f t="shared" si="243"/>
        <v>1377</v>
      </c>
      <c r="F447" s="224">
        <f t="shared" ref="F447:G447" si="251">F448+F449+F450</f>
        <v>0</v>
      </c>
      <c r="G447" s="174">
        <f t="shared" si="251"/>
        <v>1377</v>
      </c>
      <c r="H447" s="174">
        <f t="shared" ref="H447" si="252">H448+H449+H450</f>
        <v>0</v>
      </c>
      <c r="I447" s="174">
        <f t="shared" ref="I447" si="253">I448+I449+I450</f>
        <v>0</v>
      </c>
      <c r="J447" s="98"/>
    </row>
    <row r="448" spans="1:10" ht="15.95" customHeight="1" x14ac:dyDescent="0.2">
      <c r="A448" s="334"/>
      <c r="B448" s="335" t="s">
        <v>86</v>
      </c>
      <c r="C448" s="335"/>
      <c r="D448" s="335"/>
      <c r="E448" s="174">
        <f t="shared" si="243"/>
        <v>1269</v>
      </c>
      <c r="F448" s="224">
        <v>0</v>
      </c>
      <c r="G448" s="174">
        <f>I157</f>
        <v>1269</v>
      </c>
      <c r="H448" s="174">
        <v>0</v>
      </c>
      <c r="I448" s="174">
        <v>0</v>
      </c>
      <c r="J448" s="98"/>
    </row>
    <row r="449" spans="1:10" ht="15.95" customHeight="1" x14ac:dyDescent="0.2">
      <c r="A449" s="334"/>
      <c r="B449" s="335" t="s">
        <v>487</v>
      </c>
      <c r="C449" s="335"/>
      <c r="D449" s="335"/>
      <c r="E449" s="174">
        <f t="shared" si="243"/>
        <v>17</v>
      </c>
      <c r="F449" s="224">
        <v>0</v>
      </c>
      <c r="G449" s="224">
        <f>I163</f>
        <v>17</v>
      </c>
      <c r="H449" s="174">
        <v>0</v>
      </c>
      <c r="I449" s="174">
        <v>0</v>
      </c>
      <c r="J449" s="98"/>
    </row>
    <row r="450" spans="1:10" ht="15.95" customHeight="1" x14ac:dyDescent="0.2">
      <c r="A450" s="334"/>
      <c r="B450" s="335" t="s">
        <v>87</v>
      </c>
      <c r="C450" s="330" t="s">
        <v>236</v>
      </c>
      <c r="D450" s="330"/>
      <c r="E450" s="174">
        <f t="shared" si="243"/>
        <v>91</v>
      </c>
      <c r="F450" s="224">
        <f t="shared" ref="F450:G450" si="254">SUM(F451:F454)</f>
        <v>0</v>
      </c>
      <c r="G450" s="174">
        <f t="shared" si="254"/>
        <v>91</v>
      </c>
      <c r="H450" s="174">
        <f t="shared" ref="H450" si="255">SUM(H451:H454)</f>
        <v>0</v>
      </c>
      <c r="I450" s="174">
        <f t="shared" ref="I450" si="256">SUM(I451:I454)</f>
        <v>0</v>
      </c>
      <c r="J450" s="98"/>
    </row>
    <row r="451" spans="1:10" ht="15.95" customHeight="1" x14ac:dyDescent="0.2">
      <c r="A451" s="334"/>
      <c r="B451" s="335"/>
      <c r="C451" s="364" t="s">
        <v>78</v>
      </c>
      <c r="D451" s="364"/>
      <c r="E451" s="174">
        <f t="shared" si="243"/>
        <v>21</v>
      </c>
      <c r="F451" s="224">
        <v>0</v>
      </c>
      <c r="G451" s="174">
        <f>I275</f>
        <v>21</v>
      </c>
      <c r="H451" s="174">
        <v>0</v>
      </c>
      <c r="I451" s="174">
        <v>0</v>
      </c>
      <c r="J451" s="98"/>
    </row>
    <row r="452" spans="1:10" ht="15.95" customHeight="1" x14ac:dyDescent="0.2">
      <c r="A452" s="334"/>
      <c r="B452" s="335"/>
      <c r="C452" s="364" t="s">
        <v>79</v>
      </c>
      <c r="D452" s="364"/>
      <c r="E452" s="174">
        <f t="shared" si="243"/>
        <v>42</v>
      </c>
      <c r="F452" s="224">
        <v>0</v>
      </c>
      <c r="G452" s="224">
        <f t="shared" ref="G452:G453" si="257">I276</f>
        <v>42</v>
      </c>
      <c r="H452" s="174">
        <v>0</v>
      </c>
      <c r="I452" s="174">
        <v>0</v>
      </c>
      <c r="J452" s="98"/>
    </row>
    <row r="453" spans="1:10" ht="15.95" customHeight="1" x14ac:dyDescent="0.2">
      <c r="A453" s="334"/>
      <c r="B453" s="335"/>
      <c r="C453" s="364" t="s">
        <v>62</v>
      </c>
      <c r="D453" s="364"/>
      <c r="E453" s="174">
        <f t="shared" si="243"/>
        <v>21</v>
      </c>
      <c r="F453" s="224">
        <v>0</v>
      </c>
      <c r="G453" s="224">
        <f t="shared" si="257"/>
        <v>21</v>
      </c>
      <c r="H453" s="174">
        <v>0</v>
      </c>
      <c r="I453" s="174">
        <v>0</v>
      </c>
      <c r="J453" s="98"/>
    </row>
    <row r="454" spans="1:10" ht="15.95" customHeight="1" x14ac:dyDescent="0.2">
      <c r="A454" s="334"/>
      <c r="B454" s="335"/>
      <c r="C454" s="364" t="s">
        <v>81</v>
      </c>
      <c r="D454" s="364"/>
      <c r="E454" s="174">
        <f t="shared" si="243"/>
        <v>7</v>
      </c>
      <c r="F454" s="224">
        <v>0</v>
      </c>
      <c r="G454" s="224">
        <f>I278</f>
        <v>7</v>
      </c>
      <c r="H454" s="174">
        <v>0</v>
      </c>
      <c r="I454" s="174">
        <v>0</v>
      </c>
      <c r="J454" s="98"/>
    </row>
    <row r="455" spans="1:10" ht="15.95" customHeight="1" x14ac:dyDescent="0.2">
      <c r="A455" s="334" t="s">
        <v>586</v>
      </c>
      <c r="B455" s="335" t="s">
        <v>85</v>
      </c>
      <c r="C455" s="335"/>
      <c r="D455" s="335"/>
      <c r="E455" s="174">
        <f t="shared" si="243"/>
        <v>815</v>
      </c>
      <c r="F455" s="174">
        <f>F456+F457+F458</f>
        <v>815</v>
      </c>
      <c r="G455" s="224">
        <f t="shared" ref="G455:H455" si="258">G456+G457+G458</f>
        <v>0</v>
      </c>
      <c r="H455" s="174">
        <f t="shared" si="258"/>
        <v>0</v>
      </c>
      <c r="I455" s="174">
        <f t="shared" ref="I455" si="259">I456+I457+I458</f>
        <v>0</v>
      </c>
      <c r="J455" s="98"/>
    </row>
    <row r="456" spans="1:10" ht="15.95" customHeight="1" x14ac:dyDescent="0.2">
      <c r="A456" s="334"/>
      <c r="B456" s="335" t="s">
        <v>86</v>
      </c>
      <c r="C456" s="335"/>
      <c r="D456" s="335"/>
      <c r="E456" s="174">
        <f t="shared" si="243"/>
        <v>729</v>
      </c>
      <c r="F456" s="174">
        <f>I164</f>
        <v>729</v>
      </c>
      <c r="G456" s="224">
        <v>0</v>
      </c>
      <c r="H456" s="174">
        <v>0</v>
      </c>
      <c r="I456" s="174">
        <v>0</v>
      </c>
      <c r="J456" s="98"/>
    </row>
    <row r="457" spans="1:10" ht="15.95" customHeight="1" x14ac:dyDescent="0.2">
      <c r="A457" s="334"/>
      <c r="B457" s="335" t="s">
        <v>487</v>
      </c>
      <c r="C457" s="335"/>
      <c r="D457" s="335"/>
      <c r="E457" s="174">
        <f t="shared" si="243"/>
        <v>29</v>
      </c>
      <c r="F457" s="224">
        <f>I170</f>
        <v>29</v>
      </c>
      <c r="G457" s="224">
        <v>0</v>
      </c>
      <c r="H457" s="174">
        <v>0</v>
      </c>
      <c r="I457" s="174">
        <v>0</v>
      </c>
      <c r="J457" s="98"/>
    </row>
    <row r="458" spans="1:10" ht="15.95" customHeight="1" x14ac:dyDescent="0.2">
      <c r="A458" s="334"/>
      <c r="B458" s="335" t="s">
        <v>87</v>
      </c>
      <c r="C458" s="330" t="s">
        <v>236</v>
      </c>
      <c r="D458" s="330"/>
      <c r="E458" s="174">
        <f t="shared" si="243"/>
        <v>57</v>
      </c>
      <c r="F458" s="224">
        <f t="shared" ref="F458:H458" si="260">SUM(F459:F462)</f>
        <v>57</v>
      </c>
      <c r="G458" s="224">
        <f t="shared" si="260"/>
        <v>0</v>
      </c>
      <c r="H458" s="174">
        <f t="shared" si="260"/>
        <v>0</v>
      </c>
      <c r="I458" s="174">
        <f t="shared" ref="I458" si="261">SUM(I459:I462)</f>
        <v>0</v>
      </c>
      <c r="J458" s="98"/>
    </row>
    <row r="459" spans="1:10" ht="15.95" customHeight="1" x14ac:dyDescent="0.2">
      <c r="A459" s="334"/>
      <c r="B459" s="335"/>
      <c r="C459" s="364" t="s">
        <v>78</v>
      </c>
      <c r="D459" s="364"/>
      <c r="E459" s="174">
        <f t="shared" si="243"/>
        <v>13</v>
      </c>
      <c r="F459" s="174">
        <f>I280</f>
        <v>13</v>
      </c>
      <c r="G459" s="224">
        <v>0</v>
      </c>
      <c r="H459" s="174">
        <v>0</v>
      </c>
      <c r="I459" s="174">
        <v>0</v>
      </c>
      <c r="J459" s="98"/>
    </row>
    <row r="460" spans="1:10" ht="15.95" customHeight="1" x14ac:dyDescent="0.2">
      <c r="A460" s="334"/>
      <c r="B460" s="335"/>
      <c r="C460" s="364" t="s">
        <v>79</v>
      </c>
      <c r="D460" s="364"/>
      <c r="E460" s="174">
        <f t="shared" si="243"/>
        <v>26</v>
      </c>
      <c r="F460" s="224">
        <f t="shared" ref="F460:F462" si="262">I281</f>
        <v>26</v>
      </c>
      <c r="G460" s="224">
        <v>0</v>
      </c>
      <c r="H460" s="174">
        <v>0</v>
      </c>
      <c r="I460" s="174">
        <v>0</v>
      </c>
      <c r="J460" s="98"/>
    </row>
    <row r="461" spans="1:10" ht="15.95" customHeight="1" x14ac:dyDescent="0.2">
      <c r="A461" s="334"/>
      <c r="B461" s="335"/>
      <c r="C461" s="364" t="s">
        <v>62</v>
      </c>
      <c r="D461" s="364"/>
      <c r="E461" s="174">
        <f t="shared" si="243"/>
        <v>13</v>
      </c>
      <c r="F461" s="224">
        <f t="shared" si="262"/>
        <v>13</v>
      </c>
      <c r="G461" s="224">
        <v>0</v>
      </c>
      <c r="H461" s="174">
        <v>0</v>
      </c>
      <c r="I461" s="174">
        <v>0</v>
      </c>
      <c r="J461" s="98"/>
    </row>
    <row r="462" spans="1:10" ht="15.95" customHeight="1" x14ac:dyDescent="0.2">
      <c r="A462" s="334"/>
      <c r="B462" s="335"/>
      <c r="C462" s="364" t="s">
        <v>81</v>
      </c>
      <c r="D462" s="364"/>
      <c r="E462" s="174">
        <f t="shared" si="243"/>
        <v>5</v>
      </c>
      <c r="F462" s="224">
        <f t="shared" si="262"/>
        <v>5</v>
      </c>
      <c r="G462" s="224">
        <v>0</v>
      </c>
      <c r="H462" s="174">
        <v>0</v>
      </c>
      <c r="I462" s="174">
        <v>0</v>
      </c>
      <c r="J462" s="98"/>
    </row>
    <row r="463" spans="1:10" ht="15.95" customHeight="1" x14ac:dyDescent="0.2">
      <c r="A463" s="334" t="s">
        <v>585</v>
      </c>
      <c r="B463" s="335" t="s">
        <v>85</v>
      </c>
      <c r="C463" s="335"/>
      <c r="D463" s="335"/>
      <c r="E463" s="224">
        <f t="shared" si="243"/>
        <v>3765</v>
      </c>
      <c r="F463" s="224">
        <f>F464+F465+F466</f>
        <v>3765</v>
      </c>
      <c r="G463" s="224">
        <f t="shared" ref="G463" si="263">G464+G465+G466</f>
        <v>0</v>
      </c>
      <c r="H463" s="224">
        <f t="shared" ref="H463" si="264">H464+H465+H466</f>
        <v>0</v>
      </c>
      <c r="I463" s="224">
        <f t="shared" ref="I463" si="265">I464+I465+I466</f>
        <v>0</v>
      </c>
      <c r="J463" s="214"/>
    </row>
    <row r="464" spans="1:10" ht="15.95" customHeight="1" x14ac:dyDescent="0.2">
      <c r="A464" s="334"/>
      <c r="B464" s="335" t="s">
        <v>86</v>
      </c>
      <c r="C464" s="335"/>
      <c r="D464" s="335"/>
      <c r="E464" s="224">
        <f t="shared" si="243"/>
        <v>3513</v>
      </c>
      <c r="F464" s="224">
        <f>I171</f>
        <v>3513</v>
      </c>
      <c r="G464" s="11"/>
      <c r="H464" s="224">
        <v>0</v>
      </c>
      <c r="I464" s="224">
        <v>0</v>
      </c>
      <c r="J464" s="214"/>
    </row>
    <row r="465" spans="1:10" ht="15.95" customHeight="1" x14ac:dyDescent="0.2">
      <c r="A465" s="334"/>
      <c r="B465" s="335" t="s">
        <v>487</v>
      </c>
      <c r="C465" s="335"/>
      <c r="D465" s="335"/>
      <c r="E465" s="224">
        <f t="shared" si="243"/>
        <v>31</v>
      </c>
      <c r="F465" s="224">
        <f>I177</f>
        <v>31</v>
      </c>
      <c r="G465" s="224">
        <v>0</v>
      </c>
      <c r="H465" s="224">
        <v>0</v>
      </c>
      <c r="I465" s="224">
        <v>0</v>
      </c>
      <c r="J465" s="214"/>
    </row>
    <row r="466" spans="1:10" ht="15.95" customHeight="1" x14ac:dyDescent="0.2">
      <c r="A466" s="334"/>
      <c r="B466" s="335" t="s">
        <v>87</v>
      </c>
      <c r="C466" s="330" t="s">
        <v>236</v>
      </c>
      <c r="D466" s="330"/>
      <c r="E466" s="224">
        <f t="shared" si="243"/>
        <v>221</v>
      </c>
      <c r="F466" s="224">
        <f>SUM(F467:F470)</f>
        <v>221</v>
      </c>
      <c r="G466" s="224">
        <f t="shared" ref="G466" si="266">SUM(G467:G470)</f>
        <v>0</v>
      </c>
      <c r="H466" s="224">
        <f t="shared" ref="H466" si="267">SUM(H467:H470)</f>
        <v>0</v>
      </c>
      <c r="I466" s="224">
        <f t="shared" ref="I466" si="268">SUM(I467:I470)</f>
        <v>0</v>
      </c>
      <c r="J466" s="214"/>
    </row>
    <row r="467" spans="1:10" ht="15.95" customHeight="1" x14ac:dyDescent="0.2">
      <c r="A467" s="334"/>
      <c r="B467" s="335"/>
      <c r="C467" s="364" t="s">
        <v>78</v>
      </c>
      <c r="D467" s="364"/>
      <c r="E467" s="224">
        <f t="shared" si="243"/>
        <v>52</v>
      </c>
      <c r="F467" s="224">
        <f>I285</f>
        <v>52</v>
      </c>
      <c r="G467" s="224"/>
      <c r="H467" s="224">
        <v>0</v>
      </c>
      <c r="I467" s="224">
        <v>0</v>
      </c>
      <c r="J467" s="214"/>
    </row>
    <row r="468" spans="1:10" ht="15.95" customHeight="1" x14ac:dyDescent="0.2">
      <c r="A468" s="334"/>
      <c r="B468" s="335"/>
      <c r="C468" s="364" t="s">
        <v>79</v>
      </c>
      <c r="D468" s="364"/>
      <c r="E468" s="224">
        <f t="shared" si="243"/>
        <v>105</v>
      </c>
      <c r="F468" s="224">
        <f t="shared" ref="F468:F470" si="269">I286</f>
        <v>105</v>
      </c>
      <c r="G468" s="224">
        <v>0</v>
      </c>
      <c r="H468" s="224">
        <v>0</v>
      </c>
      <c r="I468" s="224">
        <v>0</v>
      </c>
      <c r="J468" s="214"/>
    </row>
    <row r="469" spans="1:10" ht="15.95" customHeight="1" x14ac:dyDescent="0.2">
      <c r="A469" s="334"/>
      <c r="B469" s="335"/>
      <c r="C469" s="364" t="s">
        <v>62</v>
      </c>
      <c r="D469" s="364"/>
      <c r="E469" s="224">
        <f t="shared" si="243"/>
        <v>52</v>
      </c>
      <c r="F469" s="224">
        <f t="shared" si="269"/>
        <v>52</v>
      </c>
      <c r="G469" s="224">
        <v>0</v>
      </c>
      <c r="H469" s="224">
        <v>0</v>
      </c>
      <c r="I469" s="224">
        <v>0</v>
      </c>
      <c r="J469" s="214"/>
    </row>
    <row r="470" spans="1:10" ht="15.95" customHeight="1" x14ac:dyDescent="0.2">
      <c r="A470" s="340"/>
      <c r="B470" s="341"/>
      <c r="C470" s="366" t="s">
        <v>81</v>
      </c>
      <c r="D470" s="366"/>
      <c r="E470" s="223">
        <f t="shared" si="243"/>
        <v>12</v>
      </c>
      <c r="F470" s="223">
        <f t="shared" si="269"/>
        <v>12</v>
      </c>
      <c r="G470" s="223">
        <v>0</v>
      </c>
      <c r="H470" s="223">
        <v>0</v>
      </c>
      <c r="I470" s="223">
        <v>0</v>
      </c>
      <c r="J470" s="212"/>
    </row>
    <row r="472" spans="1:10" ht="15.95" customHeight="1" x14ac:dyDescent="0.2">
      <c r="A472" s="5" t="s">
        <v>145</v>
      </c>
      <c r="B472" s="5"/>
    </row>
    <row r="473" spans="1:10" ht="15.95" customHeight="1" x14ac:dyDescent="0.2">
      <c r="A473" s="5" t="s">
        <v>146</v>
      </c>
      <c r="B473" s="5"/>
      <c r="C473" s="4"/>
      <c r="D473" s="4"/>
      <c r="E473" s="4"/>
      <c r="F473" s="4"/>
    </row>
    <row r="474" spans="1:10" s="2" customFormat="1" ht="15.95" customHeight="1" x14ac:dyDescent="0.2">
      <c r="A474" s="2" t="s">
        <v>492</v>
      </c>
      <c r="G474" s="10"/>
    </row>
    <row r="475" spans="1:10" s="2" customFormat="1" ht="52.5" customHeight="1" thickBot="1" x14ac:dyDescent="0.25">
      <c r="A475" s="186" t="s">
        <v>493</v>
      </c>
      <c r="B475" s="171" t="s">
        <v>474</v>
      </c>
      <c r="C475" s="171" t="s">
        <v>475</v>
      </c>
      <c r="D475" s="171" t="s">
        <v>476</v>
      </c>
      <c r="E475" s="171" t="s">
        <v>480</v>
      </c>
      <c r="F475" s="171" t="s">
        <v>477</v>
      </c>
      <c r="G475" s="171" t="s">
        <v>478</v>
      </c>
      <c r="H475" s="171" t="s">
        <v>479</v>
      </c>
      <c r="I475" s="171" t="s">
        <v>481</v>
      </c>
      <c r="J475" s="172" t="s">
        <v>482</v>
      </c>
    </row>
    <row r="476" spans="1:10" s="2" customFormat="1" ht="30" customHeight="1" thickTop="1" x14ac:dyDescent="0.2">
      <c r="A476" s="192" t="s">
        <v>495</v>
      </c>
      <c r="B476" s="173">
        <v>0</v>
      </c>
      <c r="C476" s="173">
        <v>75</v>
      </c>
      <c r="D476" s="173">
        <v>80</v>
      </c>
      <c r="E476" s="173">
        <f>E455</f>
        <v>815</v>
      </c>
      <c r="F476" s="187" t="s">
        <v>491</v>
      </c>
      <c r="G476" s="173">
        <v>0</v>
      </c>
      <c r="H476" s="168">
        <v>80</v>
      </c>
      <c r="I476" s="173">
        <f>ROUND(E476*H476/D476,0)</f>
        <v>815</v>
      </c>
      <c r="J476" s="191">
        <f>ROUND(I476*100/E476,1)</f>
        <v>100</v>
      </c>
    </row>
    <row r="477" spans="1:10" s="2" customFormat="1" ht="15.95" customHeight="1" x14ac:dyDescent="0.2">
      <c r="A477" s="188"/>
      <c r="B477" s="188"/>
      <c r="C477" s="188"/>
      <c r="D477" s="188"/>
      <c r="E477" s="189"/>
      <c r="F477" s="188"/>
      <c r="G477" s="190"/>
      <c r="H477" s="188"/>
      <c r="I477" s="109"/>
      <c r="J477" s="189"/>
    </row>
    <row r="478" spans="1:10" ht="15.95" customHeight="1" x14ac:dyDescent="0.2">
      <c r="A478" s="5" t="s">
        <v>488</v>
      </c>
      <c r="B478" s="5"/>
      <c r="C478" s="4"/>
      <c r="D478" s="4"/>
      <c r="E478" s="4"/>
      <c r="F478" s="4"/>
    </row>
    <row r="479" spans="1:10" ht="15.95" customHeight="1" x14ac:dyDescent="0.2">
      <c r="A479" s="2" t="s">
        <v>159</v>
      </c>
      <c r="G479" s="10"/>
      <c r="H479" s="2"/>
      <c r="I479" s="2"/>
    </row>
    <row r="480" spans="1:10" ht="15.95" customHeight="1" thickBot="1" x14ac:dyDescent="0.25">
      <c r="A480" s="255" t="s">
        <v>66</v>
      </c>
      <c r="B480" s="256"/>
      <c r="C480" s="256"/>
      <c r="D480" s="256" t="s">
        <v>206</v>
      </c>
      <c r="E480" s="256"/>
      <c r="F480" s="256"/>
      <c r="G480" s="256"/>
      <c r="H480" s="256" t="s">
        <v>137</v>
      </c>
      <c r="I480" s="256"/>
      <c r="J480" s="267"/>
    </row>
    <row r="481" spans="1:10" ht="15.95" customHeight="1" thickTop="1" x14ac:dyDescent="0.2">
      <c r="A481" s="290" t="s">
        <v>205</v>
      </c>
      <c r="B481" s="389"/>
      <c r="C481" s="283"/>
      <c r="D481" s="346">
        <v>70</v>
      </c>
      <c r="E481" s="346"/>
      <c r="F481" s="346"/>
      <c r="G481" s="346"/>
      <c r="H481" s="406"/>
      <c r="I481" s="406"/>
      <c r="J481" s="407"/>
    </row>
    <row r="482" spans="1:10" ht="14.25" x14ac:dyDescent="0.2"/>
    <row r="483" spans="1:10" ht="15.95" customHeight="1" x14ac:dyDescent="0.2">
      <c r="A483" s="5" t="s">
        <v>489</v>
      </c>
      <c r="B483" s="5"/>
      <c r="C483" s="4"/>
      <c r="D483" s="4"/>
      <c r="E483" s="4"/>
      <c r="F483" s="4"/>
    </row>
    <row r="484" spans="1:10" ht="15.95" customHeight="1" x14ac:dyDescent="0.2">
      <c r="A484" s="379" t="s">
        <v>132</v>
      </c>
      <c r="B484" s="351"/>
      <c r="C484" s="351"/>
      <c r="D484" s="351" t="s">
        <v>158</v>
      </c>
      <c r="E484" s="351"/>
      <c r="F484" s="351"/>
      <c r="G484" s="351"/>
      <c r="H484" s="351" t="s">
        <v>137</v>
      </c>
      <c r="I484" s="351"/>
      <c r="J484" s="352"/>
    </row>
    <row r="485" spans="1:10" ht="15.95" customHeight="1" thickBot="1" x14ac:dyDescent="0.25">
      <c r="A485" s="380"/>
      <c r="B485" s="353"/>
      <c r="C485" s="353"/>
      <c r="D485" s="167" t="s">
        <v>85</v>
      </c>
      <c r="E485" s="167" t="s">
        <v>208</v>
      </c>
      <c r="F485" s="167" t="s">
        <v>209</v>
      </c>
      <c r="G485" s="167" t="s">
        <v>157</v>
      </c>
      <c r="H485" s="353"/>
      <c r="I485" s="353"/>
      <c r="J485" s="354"/>
    </row>
    <row r="486" spans="1:10" ht="15.95" customHeight="1" thickTop="1" x14ac:dyDescent="0.2">
      <c r="A486" s="394" t="s">
        <v>207</v>
      </c>
      <c r="B486" s="395"/>
      <c r="C486" s="349"/>
      <c r="D486" s="173">
        <f>E292</f>
        <v>71895</v>
      </c>
      <c r="E486" s="173">
        <f>ROUND((D486-G486)*D481/100,0)</f>
        <v>49756</v>
      </c>
      <c r="F486" s="173">
        <f>D486-E486-G486</f>
        <v>21324</v>
      </c>
      <c r="G486" s="173">
        <f>I476</f>
        <v>815</v>
      </c>
      <c r="H486" s="349"/>
      <c r="I486" s="349"/>
      <c r="J486" s="350"/>
    </row>
    <row r="488" spans="1:10" ht="15.95" customHeight="1" x14ac:dyDescent="0.2">
      <c r="A488" s="5" t="s">
        <v>490</v>
      </c>
      <c r="B488" s="5"/>
    </row>
    <row r="489" spans="1:10" ht="23.25" thickBot="1" x14ac:dyDescent="0.25">
      <c r="A489" s="255" t="s">
        <v>132</v>
      </c>
      <c r="B489" s="256"/>
      <c r="C489" s="256"/>
      <c r="D489" s="51" t="s">
        <v>160</v>
      </c>
      <c r="E489" s="51" t="s">
        <v>200</v>
      </c>
      <c r="F489" s="51" t="s">
        <v>201</v>
      </c>
      <c r="G489" s="51" t="s">
        <v>202</v>
      </c>
      <c r="H489" s="51" t="s">
        <v>203</v>
      </c>
      <c r="I489" s="355" t="s">
        <v>137</v>
      </c>
      <c r="J489" s="356"/>
    </row>
    <row r="490" spans="1:10" ht="15.95" customHeight="1" thickTop="1" x14ac:dyDescent="0.2">
      <c r="A490" s="333" t="s">
        <v>186</v>
      </c>
      <c r="B490" s="342"/>
      <c r="C490" s="339"/>
      <c r="D490" s="101">
        <f>SUM(E490:H490)</f>
        <v>71895</v>
      </c>
      <c r="E490" s="101">
        <f>F292</f>
        <v>41546</v>
      </c>
      <c r="F490" s="101">
        <f>G292</f>
        <v>30349</v>
      </c>
      <c r="G490" s="101">
        <v>0</v>
      </c>
      <c r="H490" s="101">
        <v>0</v>
      </c>
      <c r="I490" s="357"/>
      <c r="J490" s="358"/>
    </row>
    <row r="491" spans="1:10" ht="15.95" customHeight="1" x14ac:dyDescent="0.2">
      <c r="A491" s="334" t="s">
        <v>208</v>
      </c>
      <c r="B491" s="335"/>
      <c r="C491" s="330"/>
      <c r="D491" s="174">
        <f t="shared" ref="D491:D492" si="270">SUM(E491:H491)</f>
        <v>49756</v>
      </c>
      <c r="E491" s="174">
        <f>ROUND((E490-E493)*$D$481/100,0)</f>
        <v>28512</v>
      </c>
      <c r="F491" s="174">
        <f>ROUND(F490*$D$481/100,0)</f>
        <v>21244</v>
      </c>
      <c r="G491" s="174">
        <v>0</v>
      </c>
      <c r="H491" s="174">
        <v>0</v>
      </c>
      <c r="I491" s="359"/>
      <c r="J491" s="360"/>
    </row>
    <row r="492" spans="1:10" ht="15.95" customHeight="1" x14ac:dyDescent="0.2">
      <c r="A492" s="334" t="s">
        <v>209</v>
      </c>
      <c r="B492" s="335"/>
      <c r="C492" s="330"/>
      <c r="D492" s="174">
        <f t="shared" si="270"/>
        <v>21324</v>
      </c>
      <c r="E492" s="174">
        <f>E490-E491-E493</f>
        <v>12219</v>
      </c>
      <c r="F492" s="174">
        <f>F490-F491-F493</f>
        <v>9105</v>
      </c>
      <c r="G492" s="174">
        <v>0</v>
      </c>
      <c r="H492" s="174">
        <v>0</v>
      </c>
      <c r="I492" s="359"/>
      <c r="J492" s="360"/>
    </row>
    <row r="493" spans="1:10" ht="15.95" customHeight="1" x14ac:dyDescent="0.2">
      <c r="A493" s="340" t="s">
        <v>214</v>
      </c>
      <c r="B493" s="341"/>
      <c r="C493" s="343"/>
      <c r="D493" s="175">
        <f>SUM(E493:H493)</f>
        <v>815</v>
      </c>
      <c r="E493" s="175">
        <f>I476</f>
        <v>815</v>
      </c>
      <c r="F493" s="175">
        <v>0</v>
      </c>
      <c r="G493" s="175">
        <v>0</v>
      </c>
      <c r="H493" s="175">
        <v>0</v>
      </c>
      <c r="I493" s="344"/>
      <c r="J493" s="345"/>
    </row>
  </sheetData>
  <mergeCells count="631">
    <mergeCell ref="A171:A177"/>
    <mergeCell ref="B171:B176"/>
    <mergeCell ref="G171:H171"/>
    <mergeCell ref="I171:J171"/>
    <mergeCell ref="G172:H172"/>
    <mergeCell ref="I172:J172"/>
    <mergeCell ref="G173:H173"/>
    <mergeCell ref="I173:J173"/>
    <mergeCell ref="G174:H174"/>
    <mergeCell ref="I174:J174"/>
    <mergeCell ref="G175:H175"/>
    <mergeCell ref="I175:J175"/>
    <mergeCell ref="G176:H176"/>
    <mergeCell ref="I176:J176"/>
    <mergeCell ref="B177:C177"/>
    <mergeCell ref="G177:H177"/>
    <mergeCell ref="I177:J177"/>
    <mergeCell ref="I167:J167"/>
    <mergeCell ref="G168:H168"/>
    <mergeCell ref="I168:J168"/>
    <mergeCell ref="G169:H169"/>
    <mergeCell ref="I169:J169"/>
    <mergeCell ref="A78:B78"/>
    <mergeCell ref="G78:H78"/>
    <mergeCell ref="I78:J78"/>
    <mergeCell ref="A128:B128"/>
    <mergeCell ref="G128:H128"/>
    <mergeCell ref="I128:J128"/>
    <mergeCell ref="A164:A170"/>
    <mergeCell ref="B170:C170"/>
    <mergeCell ref="G170:H170"/>
    <mergeCell ref="I170:J170"/>
    <mergeCell ref="A157:A163"/>
    <mergeCell ref="B157:B162"/>
    <mergeCell ref="G157:H157"/>
    <mergeCell ref="I157:J157"/>
    <mergeCell ref="G158:H158"/>
    <mergeCell ref="I158:J158"/>
    <mergeCell ref="G159:H159"/>
    <mergeCell ref="I159:J159"/>
    <mergeCell ref="G160:H160"/>
    <mergeCell ref="I160:J160"/>
    <mergeCell ref="G161:H161"/>
    <mergeCell ref="I161:J161"/>
    <mergeCell ref="G162:H162"/>
    <mergeCell ref="I162:J162"/>
    <mergeCell ref="B163:C163"/>
    <mergeCell ref="G163:H163"/>
    <mergeCell ref="I163:J163"/>
    <mergeCell ref="B164:B169"/>
    <mergeCell ref="G164:H164"/>
    <mergeCell ref="I164:J164"/>
    <mergeCell ref="G165:H165"/>
    <mergeCell ref="A150:A156"/>
    <mergeCell ref="B150:B155"/>
    <mergeCell ref="G150:H150"/>
    <mergeCell ref="I150:J150"/>
    <mergeCell ref="G151:H151"/>
    <mergeCell ref="I151:J151"/>
    <mergeCell ref="G152:H152"/>
    <mergeCell ref="I152:J152"/>
    <mergeCell ref="G153:H153"/>
    <mergeCell ref="I153:J153"/>
    <mergeCell ref="G154:H154"/>
    <mergeCell ref="I154:J154"/>
    <mergeCell ref="G155:H155"/>
    <mergeCell ref="I155:J155"/>
    <mergeCell ref="B156:C156"/>
    <mergeCell ref="G156:H156"/>
    <mergeCell ref="I156:J156"/>
    <mergeCell ref="A143:A149"/>
    <mergeCell ref="B143:B148"/>
    <mergeCell ref="G143:H143"/>
    <mergeCell ref="I143:J143"/>
    <mergeCell ref="G144:H144"/>
    <mergeCell ref="I144:J144"/>
    <mergeCell ref="G145:H145"/>
    <mergeCell ref="I145:J145"/>
    <mergeCell ref="G146:H146"/>
    <mergeCell ref="I146:J146"/>
    <mergeCell ref="G147:H147"/>
    <mergeCell ref="I147:J147"/>
    <mergeCell ref="G148:H148"/>
    <mergeCell ref="I148:J148"/>
    <mergeCell ref="B149:C149"/>
    <mergeCell ref="G149:H149"/>
    <mergeCell ref="I149:J149"/>
    <mergeCell ref="A136:A142"/>
    <mergeCell ref="B136:B141"/>
    <mergeCell ref="G136:H136"/>
    <mergeCell ref="I136:J136"/>
    <mergeCell ref="G137:H137"/>
    <mergeCell ref="I137:J137"/>
    <mergeCell ref="G138:H138"/>
    <mergeCell ref="I138:J138"/>
    <mergeCell ref="G139:H139"/>
    <mergeCell ref="I139:J139"/>
    <mergeCell ref="G140:H140"/>
    <mergeCell ref="I140:J140"/>
    <mergeCell ref="G141:H141"/>
    <mergeCell ref="I141:J141"/>
    <mergeCell ref="B142:C142"/>
    <mergeCell ref="G142:H142"/>
    <mergeCell ref="I142:J142"/>
    <mergeCell ref="A129:A135"/>
    <mergeCell ref="B129:B134"/>
    <mergeCell ref="G129:H129"/>
    <mergeCell ref="I129:J129"/>
    <mergeCell ref="G130:H130"/>
    <mergeCell ref="I130:J130"/>
    <mergeCell ref="G131:H131"/>
    <mergeCell ref="I131:J131"/>
    <mergeCell ref="G132:H132"/>
    <mergeCell ref="I132:J132"/>
    <mergeCell ref="G133:H133"/>
    <mergeCell ref="I133:J133"/>
    <mergeCell ref="G134:H134"/>
    <mergeCell ref="I134:J134"/>
    <mergeCell ref="B135:C135"/>
    <mergeCell ref="G135:H135"/>
    <mergeCell ref="I135:J135"/>
    <mergeCell ref="A121:A127"/>
    <mergeCell ref="B121:B126"/>
    <mergeCell ref="G121:H121"/>
    <mergeCell ref="I121:J121"/>
    <mergeCell ref="G122:H122"/>
    <mergeCell ref="I122:J122"/>
    <mergeCell ref="G123:H123"/>
    <mergeCell ref="I123:J123"/>
    <mergeCell ref="G124:H124"/>
    <mergeCell ref="I124:J124"/>
    <mergeCell ref="G125:H125"/>
    <mergeCell ref="I125:J125"/>
    <mergeCell ref="G126:H126"/>
    <mergeCell ref="I126:J126"/>
    <mergeCell ref="B127:C127"/>
    <mergeCell ref="G127:H127"/>
    <mergeCell ref="I127:J127"/>
    <mergeCell ref="A114:A120"/>
    <mergeCell ref="B114:B119"/>
    <mergeCell ref="G114:H114"/>
    <mergeCell ref="I114:J114"/>
    <mergeCell ref="G115:H115"/>
    <mergeCell ref="I115:J115"/>
    <mergeCell ref="G116:H116"/>
    <mergeCell ref="I116:J116"/>
    <mergeCell ref="G117:H117"/>
    <mergeCell ref="I117:J117"/>
    <mergeCell ref="G118:H118"/>
    <mergeCell ref="I118:J118"/>
    <mergeCell ref="G119:H119"/>
    <mergeCell ref="I119:J119"/>
    <mergeCell ref="B120:C120"/>
    <mergeCell ref="G120:H120"/>
    <mergeCell ref="I120:J120"/>
    <mergeCell ref="A107:A113"/>
    <mergeCell ref="B107:B112"/>
    <mergeCell ref="G107:H107"/>
    <mergeCell ref="I107:J107"/>
    <mergeCell ref="G108:H108"/>
    <mergeCell ref="I108:J108"/>
    <mergeCell ref="G109:H109"/>
    <mergeCell ref="I109:J109"/>
    <mergeCell ref="G110:H110"/>
    <mergeCell ref="I110:J110"/>
    <mergeCell ref="G111:H111"/>
    <mergeCell ref="I111:J111"/>
    <mergeCell ref="G112:H112"/>
    <mergeCell ref="I112:J112"/>
    <mergeCell ref="B113:C113"/>
    <mergeCell ref="G113:H113"/>
    <mergeCell ref="I113:J113"/>
    <mergeCell ref="A100:A106"/>
    <mergeCell ref="B100:B105"/>
    <mergeCell ref="G100:H100"/>
    <mergeCell ref="I100:J100"/>
    <mergeCell ref="G101:H101"/>
    <mergeCell ref="I101:J101"/>
    <mergeCell ref="G102:H102"/>
    <mergeCell ref="I102:J102"/>
    <mergeCell ref="G103:H103"/>
    <mergeCell ref="I103:J103"/>
    <mergeCell ref="G104:H104"/>
    <mergeCell ref="I104:J104"/>
    <mergeCell ref="G105:H105"/>
    <mergeCell ref="I105:J105"/>
    <mergeCell ref="B106:C106"/>
    <mergeCell ref="G106:H106"/>
    <mergeCell ref="I106:J106"/>
    <mergeCell ref="A93:A99"/>
    <mergeCell ref="B93:B98"/>
    <mergeCell ref="G93:H93"/>
    <mergeCell ref="I93:J93"/>
    <mergeCell ref="G94:H94"/>
    <mergeCell ref="I94:J94"/>
    <mergeCell ref="G95:H95"/>
    <mergeCell ref="I95:J95"/>
    <mergeCell ref="G96:H96"/>
    <mergeCell ref="I96:J96"/>
    <mergeCell ref="G97:H97"/>
    <mergeCell ref="I97:J97"/>
    <mergeCell ref="G98:H98"/>
    <mergeCell ref="I98:J98"/>
    <mergeCell ref="B99:C99"/>
    <mergeCell ref="G99:H99"/>
    <mergeCell ref="I99:J99"/>
    <mergeCell ref="A86:A92"/>
    <mergeCell ref="B86:B91"/>
    <mergeCell ref="G86:H86"/>
    <mergeCell ref="I86:J86"/>
    <mergeCell ref="G87:H87"/>
    <mergeCell ref="I87:J87"/>
    <mergeCell ref="G88:H88"/>
    <mergeCell ref="I88:J88"/>
    <mergeCell ref="G89:H89"/>
    <mergeCell ref="I89:J89"/>
    <mergeCell ref="G90:H90"/>
    <mergeCell ref="I90:J90"/>
    <mergeCell ref="G91:H91"/>
    <mergeCell ref="I91:J91"/>
    <mergeCell ref="B92:C92"/>
    <mergeCell ref="G92:H92"/>
    <mergeCell ref="I92:J92"/>
    <mergeCell ref="A79:A85"/>
    <mergeCell ref="B79:B84"/>
    <mergeCell ref="G79:H79"/>
    <mergeCell ref="I79:J79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B85:C85"/>
    <mergeCell ref="G85:H85"/>
    <mergeCell ref="I85:J85"/>
    <mergeCell ref="A71:A77"/>
    <mergeCell ref="B71:B76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B77:C77"/>
    <mergeCell ref="G77:H77"/>
    <mergeCell ref="I77:J77"/>
    <mergeCell ref="A64:A70"/>
    <mergeCell ref="B64:B69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B70:C70"/>
    <mergeCell ref="G70:H70"/>
    <mergeCell ref="I70:J70"/>
    <mergeCell ref="A57:A63"/>
    <mergeCell ref="B57:B62"/>
    <mergeCell ref="G57:H57"/>
    <mergeCell ref="I57:J57"/>
    <mergeCell ref="G58:H58"/>
    <mergeCell ref="I58:J58"/>
    <mergeCell ref="G59:H59"/>
    <mergeCell ref="I59:J59"/>
    <mergeCell ref="G60:H60"/>
    <mergeCell ref="I60:J60"/>
    <mergeCell ref="G61:H61"/>
    <mergeCell ref="I61:J61"/>
    <mergeCell ref="G62:H62"/>
    <mergeCell ref="I62:J62"/>
    <mergeCell ref="B63:C63"/>
    <mergeCell ref="G63:H63"/>
    <mergeCell ref="I63:J63"/>
    <mergeCell ref="A50:A56"/>
    <mergeCell ref="B50:B55"/>
    <mergeCell ref="G50:H50"/>
    <mergeCell ref="I50:J50"/>
    <mergeCell ref="G51:H51"/>
    <mergeCell ref="I51:J51"/>
    <mergeCell ref="G52:H52"/>
    <mergeCell ref="I52:J52"/>
    <mergeCell ref="G53:H53"/>
    <mergeCell ref="I53:J53"/>
    <mergeCell ref="G54:H54"/>
    <mergeCell ref="I54:J54"/>
    <mergeCell ref="G55:H55"/>
    <mergeCell ref="I55:J55"/>
    <mergeCell ref="B56:C56"/>
    <mergeCell ref="G56:H56"/>
    <mergeCell ref="I56:J56"/>
    <mergeCell ref="A43:A49"/>
    <mergeCell ref="B43:B48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G48:H48"/>
    <mergeCell ref="I48:J48"/>
    <mergeCell ref="B49:C49"/>
    <mergeCell ref="G49:H49"/>
    <mergeCell ref="I49:J49"/>
    <mergeCell ref="A36:A42"/>
    <mergeCell ref="B36:B41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B42:C42"/>
    <mergeCell ref="G42:H42"/>
    <mergeCell ref="I42:J42"/>
    <mergeCell ref="A463:A470"/>
    <mergeCell ref="B463:D463"/>
    <mergeCell ref="B464:D464"/>
    <mergeCell ref="B465:D465"/>
    <mergeCell ref="C466:D466"/>
    <mergeCell ref="C467:D467"/>
    <mergeCell ref="C468:D468"/>
    <mergeCell ref="C469:D469"/>
    <mergeCell ref="C470:D470"/>
    <mergeCell ref="A447:A454"/>
    <mergeCell ref="B450:B454"/>
    <mergeCell ref="A455:A462"/>
    <mergeCell ref="B458:B462"/>
    <mergeCell ref="C451:D451"/>
    <mergeCell ref="C452:D452"/>
    <mergeCell ref="C453:D453"/>
    <mergeCell ref="C454:D454"/>
    <mergeCell ref="B455:D455"/>
    <mergeCell ref="B447:D447"/>
    <mergeCell ref="B448:D448"/>
    <mergeCell ref="B449:D449"/>
    <mergeCell ref="C450:D450"/>
    <mergeCell ref="B456:D456"/>
    <mergeCell ref="B457:D457"/>
    <mergeCell ref="C458:D458"/>
    <mergeCell ref="C459:D459"/>
    <mergeCell ref="C460:D460"/>
    <mergeCell ref="C461:D461"/>
    <mergeCell ref="C462:D462"/>
    <mergeCell ref="B422:D422"/>
    <mergeCell ref="B466:B470"/>
    <mergeCell ref="C425:D425"/>
    <mergeCell ref="C426:D426"/>
    <mergeCell ref="C427:D427"/>
    <mergeCell ref="C428:D428"/>
    <mergeCell ref="C429:D429"/>
    <mergeCell ref="B430:D430"/>
    <mergeCell ref="B431:D431"/>
    <mergeCell ref="B432:D432"/>
    <mergeCell ref="C433:D433"/>
    <mergeCell ref="C434:D434"/>
    <mergeCell ref="C435:D435"/>
    <mergeCell ref="C436:D436"/>
    <mergeCell ref="C437:D437"/>
    <mergeCell ref="B439:D439"/>
    <mergeCell ref="B440:D440"/>
    <mergeCell ref="A398:A405"/>
    <mergeCell ref="B401:B405"/>
    <mergeCell ref="A406:A413"/>
    <mergeCell ref="B409:B413"/>
    <mergeCell ref="A381:A388"/>
    <mergeCell ref="B384:B388"/>
    <mergeCell ref="A390:A397"/>
    <mergeCell ref="B393:B397"/>
    <mergeCell ref="C388:D388"/>
    <mergeCell ref="A389:D389"/>
    <mergeCell ref="B390:D390"/>
    <mergeCell ref="B391:D391"/>
    <mergeCell ref="C387:D387"/>
    <mergeCell ref="B392:D392"/>
    <mergeCell ref="C393:D393"/>
    <mergeCell ref="C394:D394"/>
    <mergeCell ref="C395:D395"/>
    <mergeCell ref="C396:D396"/>
    <mergeCell ref="C397:D397"/>
    <mergeCell ref="B398:D398"/>
    <mergeCell ref="B399:D399"/>
    <mergeCell ref="B400:D400"/>
    <mergeCell ref="C401:D401"/>
    <mergeCell ref="C402:D402"/>
    <mergeCell ref="B349:D349"/>
    <mergeCell ref="B326:D326"/>
    <mergeCell ref="C327:D327"/>
    <mergeCell ref="C328:D328"/>
    <mergeCell ref="C329:D329"/>
    <mergeCell ref="A365:A372"/>
    <mergeCell ref="B368:B372"/>
    <mergeCell ref="A373:A380"/>
    <mergeCell ref="B376:B380"/>
    <mergeCell ref="A349:A356"/>
    <mergeCell ref="B352:B356"/>
    <mergeCell ref="A357:A364"/>
    <mergeCell ref="B360:B364"/>
    <mergeCell ref="B357:D357"/>
    <mergeCell ref="B358:D358"/>
    <mergeCell ref="B359:D359"/>
    <mergeCell ref="C360:D360"/>
    <mergeCell ref="C330:D330"/>
    <mergeCell ref="C331:D331"/>
    <mergeCell ref="B332:D332"/>
    <mergeCell ref="B333:D333"/>
    <mergeCell ref="B334:D334"/>
    <mergeCell ref="C335:D335"/>
    <mergeCell ref="C336:D336"/>
    <mergeCell ref="A332:A339"/>
    <mergeCell ref="B335:B339"/>
    <mergeCell ref="A341:A348"/>
    <mergeCell ref="B344:B348"/>
    <mergeCell ref="B319:B323"/>
    <mergeCell ref="A324:A331"/>
    <mergeCell ref="B327:B331"/>
    <mergeCell ref="C321:D321"/>
    <mergeCell ref="C322:D322"/>
    <mergeCell ref="C323:D323"/>
    <mergeCell ref="B324:D324"/>
    <mergeCell ref="B325:D325"/>
    <mergeCell ref="C337:D337"/>
    <mergeCell ref="A26:C26"/>
    <mergeCell ref="H26:I26"/>
    <mergeCell ref="A28:B28"/>
    <mergeCell ref="G28:H28"/>
    <mergeCell ref="A484:C485"/>
    <mergeCell ref="D484:G484"/>
    <mergeCell ref="B317:D317"/>
    <mergeCell ref="B318:D318"/>
    <mergeCell ref="C319:D319"/>
    <mergeCell ref="C320:D320"/>
    <mergeCell ref="C338:D338"/>
    <mergeCell ref="C339:D339"/>
    <mergeCell ref="A340:D340"/>
    <mergeCell ref="B341:D341"/>
    <mergeCell ref="B342:D342"/>
    <mergeCell ref="B343:D343"/>
    <mergeCell ref="C344:D344"/>
    <mergeCell ref="C345:D345"/>
    <mergeCell ref="C346:D346"/>
    <mergeCell ref="C347:D347"/>
    <mergeCell ref="C348:D348"/>
    <mergeCell ref="I237:I238"/>
    <mergeCell ref="A480:C480"/>
    <mergeCell ref="B295:B299"/>
    <mergeCell ref="C311:D311"/>
    <mergeCell ref="C312:D312"/>
    <mergeCell ref="C313:D313"/>
    <mergeCell ref="C314:D314"/>
    <mergeCell ref="C315:D315"/>
    <mergeCell ref="B316:D316"/>
    <mergeCell ref="A180:B181"/>
    <mergeCell ref="C180:E180"/>
    <mergeCell ref="F180:H180"/>
    <mergeCell ref="A308:A315"/>
    <mergeCell ref="B311:B315"/>
    <mergeCell ref="B303:B307"/>
    <mergeCell ref="A300:A307"/>
    <mergeCell ref="A292:A299"/>
    <mergeCell ref="A237:B238"/>
    <mergeCell ref="C237:E237"/>
    <mergeCell ref="F237:H237"/>
    <mergeCell ref="A291:D291"/>
    <mergeCell ref="C303:D303"/>
    <mergeCell ref="C304:D304"/>
    <mergeCell ref="C305:D305"/>
    <mergeCell ref="C306:D306"/>
    <mergeCell ref="C307:D307"/>
    <mergeCell ref="B308:D308"/>
    <mergeCell ref="A486:C486"/>
    <mergeCell ref="A489:C489"/>
    <mergeCell ref="A481:C481"/>
    <mergeCell ref="A316:A323"/>
    <mergeCell ref="B292:D292"/>
    <mergeCell ref="B293:D293"/>
    <mergeCell ref="B294:D294"/>
    <mergeCell ref="C295:D295"/>
    <mergeCell ref="C296:D296"/>
    <mergeCell ref="C297:D297"/>
    <mergeCell ref="C298:D298"/>
    <mergeCell ref="C299:D299"/>
    <mergeCell ref="B300:D300"/>
    <mergeCell ref="B301:D301"/>
    <mergeCell ref="B302:D302"/>
    <mergeCell ref="B309:D309"/>
    <mergeCell ref="B310:D310"/>
    <mergeCell ref="B350:D350"/>
    <mergeCell ref="B351:D351"/>
    <mergeCell ref="C352:D352"/>
    <mergeCell ref="C353:D353"/>
    <mergeCell ref="C354:D354"/>
    <mergeCell ref="C355:D355"/>
    <mergeCell ref="C356:D356"/>
    <mergeCell ref="C361:D361"/>
    <mergeCell ref="C362:D362"/>
    <mergeCell ref="C363:D363"/>
    <mergeCell ref="C364:D364"/>
    <mergeCell ref="B365:D365"/>
    <mergeCell ref="B366:D366"/>
    <mergeCell ref="B367:D367"/>
    <mergeCell ref="C368:D368"/>
    <mergeCell ref="C369:D369"/>
    <mergeCell ref="C370:D370"/>
    <mergeCell ref="C371:D371"/>
    <mergeCell ref="C372:D372"/>
    <mergeCell ref="B373:D373"/>
    <mergeCell ref="B374:D374"/>
    <mergeCell ref="B375:D375"/>
    <mergeCell ref="C376:D376"/>
    <mergeCell ref="C377:D377"/>
    <mergeCell ref="C378:D378"/>
    <mergeCell ref="C379:D379"/>
    <mergeCell ref="C380:D380"/>
    <mergeCell ref="B381:D381"/>
    <mergeCell ref="B382:D382"/>
    <mergeCell ref="B383:D383"/>
    <mergeCell ref="C384:D384"/>
    <mergeCell ref="C385:D385"/>
    <mergeCell ref="C386:D386"/>
    <mergeCell ref="C403:D403"/>
    <mergeCell ref="C404:D404"/>
    <mergeCell ref="C405:D405"/>
    <mergeCell ref="B406:D406"/>
    <mergeCell ref="B407:D407"/>
    <mergeCell ref="B408:D408"/>
    <mergeCell ref="C409:D409"/>
    <mergeCell ref="C410:D410"/>
    <mergeCell ref="C411:D411"/>
    <mergeCell ref="C412:D412"/>
    <mergeCell ref="C413:D413"/>
    <mergeCell ref="B414:D414"/>
    <mergeCell ref="B415:D415"/>
    <mergeCell ref="B416:D416"/>
    <mergeCell ref="C417:D417"/>
    <mergeCell ref="C418:D418"/>
    <mergeCell ref="B423:D423"/>
    <mergeCell ref="B424:D424"/>
    <mergeCell ref="B441:D441"/>
    <mergeCell ref="A438:D438"/>
    <mergeCell ref="A430:A437"/>
    <mergeCell ref="B433:B437"/>
    <mergeCell ref="A439:A446"/>
    <mergeCell ref="B442:B446"/>
    <mergeCell ref="C442:D442"/>
    <mergeCell ref="C443:D443"/>
    <mergeCell ref="C444:D444"/>
    <mergeCell ref="C445:D445"/>
    <mergeCell ref="C446:D446"/>
    <mergeCell ref="A414:A421"/>
    <mergeCell ref="B417:B421"/>
    <mergeCell ref="A422:A429"/>
    <mergeCell ref="B425:B429"/>
    <mergeCell ref="C419:D419"/>
    <mergeCell ref="C420:D420"/>
    <mergeCell ref="C421:D421"/>
    <mergeCell ref="I33:J33"/>
    <mergeCell ref="I28:J28"/>
    <mergeCell ref="I3:I4"/>
    <mergeCell ref="H3:H4"/>
    <mergeCell ref="I489:J489"/>
    <mergeCell ref="I490:J490"/>
    <mergeCell ref="I491:J491"/>
    <mergeCell ref="I492:J492"/>
    <mergeCell ref="I493:J493"/>
    <mergeCell ref="H480:J480"/>
    <mergeCell ref="H481:J481"/>
    <mergeCell ref="H486:J486"/>
    <mergeCell ref="H484:J485"/>
    <mergeCell ref="G29:H29"/>
    <mergeCell ref="I29:J29"/>
    <mergeCell ref="G31:H31"/>
    <mergeCell ref="I31:J31"/>
    <mergeCell ref="J180:J181"/>
    <mergeCell ref="J237:J238"/>
    <mergeCell ref="I180:I181"/>
    <mergeCell ref="I165:J165"/>
    <mergeCell ref="G166:H166"/>
    <mergeCell ref="I166:J166"/>
    <mergeCell ref="G167:H167"/>
    <mergeCell ref="A3:A4"/>
    <mergeCell ref="D3:D4"/>
    <mergeCell ref="D480:G480"/>
    <mergeCell ref="D481:G481"/>
    <mergeCell ref="A491:C491"/>
    <mergeCell ref="A492:C492"/>
    <mergeCell ref="A493:C493"/>
    <mergeCell ref="A490:C490"/>
    <mergeCell ref="J3:J4"/>
    <mergeCell ref="A29:A35"/>
    <mergeCell ref="B29:B34"/>
    <mergeCell ref="B35:C35"/>
    <mergeCell ref="B3:B4"/>
    <mergeCell ref="C3:C4"/>
    <mergeCell ref="E3:G3"/>
    <mergeCell ref="G35:H35"/>
    <mergeCell ref="I35:J35"/>
    <mergeCell ref="G30:H30"/>
    <mergeCell ref="I30:J30"/>
    <mergeCell ref="G34:H34"/>
    <mergeCell ref="I34:J34"/>
    <mergeCell ref="G32:H32"/>
    <mergeCell ref="I32:J32"/>
    <mergeCell ref="G33:H33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0" manualBreakCount="10">
    <brk id="26" max="9" man="1"/>
    <brk id="77" max="9" man="1"/>
    <brk id="127" max="9" man="1"/>
    <brk id="178" max="9" man="1"/>
    <brk id="236" max="9" man="1"/>
    <brk id="289" max="9" man="1"/>
    <brk id="339" max="9" man="1"/>
    <brk id="388" max="9" man="1"/>
    <brk id="437" max="9" man="1"/>
    <brk id="47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view="pageBreakPreview" zoomScale="130" zoomScaleNormal="115" zoomScaleSheetLayoutView="130" workbookViewId="0">
      <selection activeCell="E14" sqref="E14:J15"/>
    </sheetView>
  </sheetViews>
  <sheetFormatPr defaultRowHeight="15.95" customHeight="1" x14ac:dyDescent="0.2"/>
  <cols>
    <col min="1" max="6" width="8" style="2" customWidth="1"/>
    <col min="7" max="10" width="8" style="14" customWidth="1"/>
    <col min="11" max="16384" width="8.88671875" style="14"/>
  </cols>
  <sheetData>
    <row r="1" spans="1:10" ht="15.95" customHeight="1" x14ac:dyDescent="0.2">
      <c r="A1" s="1" t="s">
        <v>517</v>
      </c>
      <c r="F1" s="14"/>
    </row>
    <row r="2" spans="1:10" ht="15.95" customHeight="1" x14ac:dyDescent="0.2">
      <c r="A2" s="1"/>
      <c r="F2" s="14"/>
    </row>
    <row r="3" spans="1:10" ht="15.95" customHeight="1" x14ac:dyDescent="0.2">
      <c r="A3" s="5" t="s">
        <v>518</v>
      </c>
      <c r="B3" s="5"/>
    </row>
    <row r="4" spans="1:10" ht="15.95" customHeight="1" x14ac:dyDescent="0.2">
      <c r="A4" s="5" t="s">
        <v>90</v>
      </c>
      <c r="B4" s="5"/>
      <c r="C4" s="4"/>
      <c r="D4" s="4"/>
      <c r="E4" s="4"/>
      <c r="F4" s="4"/>
    </row>
    <row r="5" spans="1:10" ht="15.95" customHeight="1" x14ac:dyDescent="0.2">
      <c r="A5" s="284" t="s">
        <v>498</v>
      </c>
      <c r="B5" s="286" t="s">
        <v>501</v>
      </c>
      <c r="C5" s="286" t="s">
        <v>224</v>
      </c>
      <c r="D5" s="286"/>
      <c r="E5" s="401" t="s">
        <v>431</v>
      </c>
      <c r="F5" s="401"/>
      <c r="G5" s="401"/>
      <c r="H5" s="428" t="s">
        <v>437</v>
      </c>
      <c r="I5" s="428"/>
      <c r="J5" s="399" t="s">
        <v>163</v>
      </c>
    </row>
    <row r="6" spans="1:10" ht="15" thickBot="1" x14ac:dyDescent="0.25">
      <c r="A6" s="285"/>
      <c r="B6" s="287"/>
      <c r="C6" s="287"/>
      <c r="D6" s="287"/>
      <c r="E6" s="165" t="s">
        <v>436</v>
      </c>
      <c r="F6" s="32" t="s">
        <v>432</v>
      </c>
      <c r="G6" s="32" t="s">
        <v>433</v>
      </c>
      <c r="H6" s="170" t="s">
        <v>434</v>
      </c>
      <c r="I6" s="170" t="s">
        <v>435</v>
      </c>
      <c r="J6" s="400"/>
    </row>
    <row r="7" spans="1:10" ht="15.95" customHeight="1" thickTop="1" x14ac:dyDescent="0.2">
      <c r="A7" s="248" t="s">
        <v>499</v>
      </c>
      <c r="B7" s="249" t="s">
        <v>502</v>
      </c>
      <c r="C7" s="269" t="s">
        <v>225</v>
      </c>
      <c r="D7" s="269"/>
      <c r="E7" s="471">
        <f>SUM(F7:G7)</f>
        <v>6721.0999999999995</v>
      </c>
      <c r="F7" s="472">
        <v>5973.4</v>
      </c>
      <c r="G7" s="472">
        <v>747.7</v>
      </c>
      <c r="H7" s="473">
        <v>0</v>
      </c>
      <c r="I7" s="473">
        <v>2</v>
      </c>
      <c r="J7" s="474">
        <v>332</v>
      </c>
    </row>
    <row r="8" spans="1:10" ht="15.95" customHeight="1" x14ac:dyDescent="0.2">
      <c r="A8" s="247" t="s">
        <v>217</v>
      </c>
      <c r="B8" s="244" t="s">
        <v>503</v>
      </c>
      <c r="C8" s="276" t="s">
        <v>226</v>
      </c>
      <c r="D8" s="276"/>
      <c r="E8" s="254">
        <f t="shared" ref="E8:E15" si="0">SUM(F8:G8)</f>
        <v>5339</v>
      </c>
      <c r="F8" s="158">
        <v>5132.6000000000004</v>
      </c>
      <c r="G8" s="158">
        <v>206.4</v>
      </c>
      <c r="H8" s="215">
        <v>0</v>
      </c>
      <c r="I8" s="215">
        <v>1</v>
      </c>
      <c r="J8" s="216">
        <v>125</v>
      </c>
    </row>
    <row r="9" spans="1:10" ht="15.95" customHeight="1" x14ac:dyDescent="0.2">
      <c r="A9" s="247" t="s">
        <v>217</v>
      </c>
      <c r="B9" s="244" t="s">
        <v>504</v>
      </c>
      <c r="C9" s="276" t="s">
        <v>227</v>
      </c>
      <c r="D9" s="276"/>
      <c r="E9" s="254">
        <f t="shared" si="0"/>
        <v>3277.5</v>
      </c>
      <c r="F9" s="158">
        <v>3277.5</v>
      </c>
      <c r="G9" s="158">
        <v>0</v>
      </c>
      <c r="H9" s="215">
        <v>0</v>
      </c>
      <c r="I9" s="215">
        <v>0</v>
      </c>
      <c r="J9" s="216">
        <v>183</v>
      </c>
    </row>
    <row r="10" spans="1:10" ht="15.95" customHeight="1" x14ac:dyDescent="0.2">
      <c r="A10" s="247" t="s">
        <v>217</v>
      </c>
      <c r="B10" s="244" t="s">
        <v>505</v>
      </c>
      <c r="C10" s="276" t="s">
        <v>228</v>
      </c>
      <c r="D10" s="276"/>
      <c r="E10" s="254">
        <f t="shared" si="0"/>
        <v>2205.4</v>
      </c>
      <c r="F10" s="158">
        <v>2205.4</v>
      </c>
      <c r="G10" s="158">
        <v>0</v>
      </c>
      <c r="H10" s="215">
        <v>0</v>
      </c>
      <c r="I10" s="215">
        <v>0</v>
      </c>
      <c r="J10" s="216">
        <v>83</v>
      </c>
    </row>
    <row r="11" spans="1:10" ht="15.95" customHeight="1" x14ac:dyDescent="0.2">
      <c r="A11" s="247" t="s">
        <v>217</v>
      </c>
      <c r="B11" s="244" t="s">
        <v>506</v>
      </c>
      <c r="C11" s="276" t="s">
        <v>218</v>
      </c>
      <c r="D11" s="276"/>
      <c r="E11" s="254">
        <f>SUM(F11:G11)</f>
        <v>0</v>
      </c>
      <c r="F11" s="158">
        <v>0</v>
      </c>
      <c r="G11" s="158">
        <v>0</v>
      </c>
      <c r="H11" s="215">
        <v>0</v>
      </c>
      <c r="I11" s="215">
        <v>0</v>
      </c>
      <c r="J11" s="216">
        <v>60</v>
      </c>
    </row>
    <row r="12" spans="1:10" ht="15.95" customHeight="1" x14ac:dyDescent="0.2">
      <c r="A12" s="247" t="s">
        <v>217</v>
      </c>
      <c r="B12" s="244" t="s">
        <v>524</v>
      </c>
      <c r="C12" s="276" t="s">
        <v>525</v>
      </c>
      <c r="D12" s="276"/>
      <c r="E12" s="254">
        <f t="shared" ref="E12:E14" si="1">SUM(F12:G12)</f>
        <v>5317.9</v>
      </c>
      <c r="F12" s="158">
        <v>3829</v>
      </c>
      <c r="G12" s="158">
        <v>1488.9</v>
      </c>
      <c r="H12" s="215">
        <v>0</v>
      </c>
      <c r="I12" s="215">
        <v>2</v>
      </c>
      <c r="J12" s="216">
        <v>160</v>
      </c>
    </row>
    <row r="13" spans="1:10" ht="15.95" customHeight="1" x14ac:dyDescent="0.2">
      <c r="A13" s="247" t="s">
        <v>500</v>
      </c>
      <c r="B13" s="244" t="s">
        <v>507</v>
      </c>
      <c r="C13" s="276" t="s">
        <v>229</v>
      </c>
      <c r="D13" s="276"/>
      <c r="E13" s="254">
        <f t="shared" si="1"/>
        <v>8951.2000000000007</v>
      </c>
      <c r="F13" s="158">
        <v>7238.7</v>
      </c>
      <c r="G13" s="158">
        <v>1712.5</v>
      </c>
      <c r="H13" s="215">
        <v>2</v>
      </c>
      <c r="I13" s="215">
        <v>0</v>
      </c>
      <c r="J13" s="216">
        <v>465</v>
      </c>
    </row>
    <row r="14" spans="1:10" ht="15.95" customHeight="1" x14ac:dyDescent="0.2">
      <c r="A14" s="247" t="s">
        <v>500</v>
      </c>
      <c r="B14" s="244" t="s">
        <v>500</v>
      </c>
      <c r="C14" s="276" t="s">
        <v>594</v>
      </c>
      <c r="D14" s="276"/>
      <c r="E14" s="254">
        <f t="shared" si="1"/>
        <v>4312.8999999999996</v>
      </c>
      <c r="F14" s="158">
        <v>3616.2</v>
      </c>
      <c r="G14" s="158">
        <v>696.7</v>
      </c>
      <c r="H14" s="215">
        <v>0</v>
      </c>
      <c r="I14" s="215">
        <v>2</v>
      </c>
      <c r="J14" s="216">
        <v>253</v>
      </c>
    </row>
    <row r="15" spans="1:10" ht="15.95" customHeight="1" x14ac:dyDescent="0.2">
      <c r="A15" s="245" t="s">
        <v>500</v>
      </c>
      <c r="B15" s="246" t="s">
        <v>593</v>
      </c>
      <c r="C15" s="263" t="s">
        <v>595</v>
      </c>
      <c r="D15" s="263"/>
      <c r="E15" s="160">
        <f t="shared" si="0"/>
        <v>2226.8000000000002</v>
      </c>
      <c r="F15" s="159">
        <v>2101.8000000000002</v>
      </c>
      <c r="G15" s="159">
        <v>125</v>
      </c>
      <c r="H15" s="218">
        <v>0</v>
      </c>
      <c r="I15" s="218">
        <v>1</v>
      </c>
      <c r="J15" s="219">
        <v>151</v>
      </c>
    </row>
    <row r="16" spans="1:10" ht="15.95" customHeight="1" x14ac:dyDescent="0.2">
      <c r="A16" s="417"/>
      <c r="B16" s="417"/>
      <c r="C16" s="417"/>
      <c r="D16" s="16"/>
      <c r="E16" s="16"/>
      <c r="F16" s="17"/>
      <c r="G16" s="15"/>
      <c r="H16" s="418"/>
      <c r="I16" s="418"/>
    </row>
    <row r="17" spans="1:10" ht="15.95" customHeight="1" x14ac:dyDescent="0.2">
      <c r="A17" s="5" t="s">
        <v>165</v>
      </c>
      <c r="B17" s="5"/>
      <c r="C17" s="4"/>
      <c r="D17" s="4"/>
      <c r="E17" s="4"/>
      <c r="F17" s="4"/>
    </row>
    <row r="18" spans="1:10" ht="15.95" customHeight="1" x14ac:dyDescent="0.2">
      <c r="A18" s="5" t="s">
        <v>438</v>
      </c>
      <c r="B18" s="5"/>
      <c r="C18" s="4"/>
      <c r="D18" s="4"/>
      <c r="E18" s="4"/>
      <c r="F18" s="4"/>
    </row>
    <row r="19" spans="1:10" ht="15.95" customHeight="1" thickBot="1" x14ac:dyDescent="0.25">
      <c r="A19" s="255" t="s">
        <v>448</v>
      </c>
      <c r="B19" s="256"/>
      <c r="C19" s="256" t="s">
        <v>454</v>
      </c>
      <c r="D19" s="256"/>
      <c r="E19" s="375" t="s">
        <v>451</v>
      </c>
      <c r="F19" s="375"/>
      <c r="G19" s="375" t="s">
        <v>452</v>
      </c>
      <c r="H19" s="375"/>
      <c r="I19" s="375" t="s">
        <v>453</v>
      </c>
      <c r="J19" s="405"/>
    </row>
    <row r="20" spans="1:10" ht="15.95" customHeight="1" thickTop="1" x14ac:dyDescent="0.2">
      <c r="A20" s="272" t="s">
        <v>390</v>
      </c>
      <c r="B20" s="282"/>
      <c r="C20" s="282"/>
      <c r="D20" s="282"/>
      <c r="E20" s="409"/>
      <c r="F20" s="409"/>
      <c r="G20" s="408"/>
      <c r="H20" s="408"/>
      <c r="I20" s="409">
        <f>SUM(I21:J24)</f>
        <v>3728</v>
      </c>
      <c r="J20" s="410"/>
    </row>
    <row r="21" spans="1:10" ht="15.95" customHeight="1" x14ac:dyDescent="0.2">
      <c r="A21" s="275" t="s">
        <v>432</v>
      </c>
      <c r="B21" s="276"/>
      <c r="C21" s="276" t="s">
        <v>456</v>
      </c>
      <c r="D21" s="276"/>
      <c r="E21" s="427">
        <f>F7</f>
        <v>5973.4</v>
      </c>
      <c r="F21" s="427"/>
      <c r="G21" s="403">
        <f>'0.시설공사비 산정근거'!$D$64</f>
        <v>404491</v>
      </c>
      <c r="H21" s="403"/>
      <c r="I21" s="403">
        <f>ROUND(E21*G21/10^6,0)</f>
        <v>2416</v>
      </c>
      <c r="J21" s="404"/>
    </row>
    <row r="22" spans="1:10" ht="15.95" customHeight="1" x14ac:dyDescent="0.2">
      <c r="A22" s="275" t="s">
        <v>433</v>
      </c>
      <c r="B22" s="276"/>
      <c r="C22" s="276" t="s">
        <v>455</v>
      </c>
      <c r="D22" s="276"/>
      <c r="E22" s="427">
        <f>G7</f>
        <v>747.7</v>
      </c>
      <c r="F22" s="427"/>
      <c r="G22" s="403">
        <f>'0.시설공사비 산정근거'!$B$145</f>
        <v>320148</v>
      </c>
      <c r="H22" s="403"/>
      <c r="I22" s="403">
        <f>ROUND(E22*G22/10^6,0)</f>
        <v>239</v>
      </c>
      <c r="J22" s="404"/>
    </row>
    <row r="23" spans="1:10" ht="15.95" customHeight="1" x14ac:dyDescent="0.2">
      <c r="A23" s="275" t="s">
        <v>449</v>
      </c>
      <c r="B23" s="276"/>
      <c r="C23" s="276" t="s">
        <v>457</v>
      </c>
      <c r="D23" s="276"/>
      <c r="E23" s="403">
        <f>I7</f>
        <v>2</v>
      </c>
      <c r="F23" s="403"/>
      <c r="G23" s="403">
        <f>'0.시설공사비 산정근거'!$C$139</f>
        <v>71500000</v>
      </c>
      <c r="H23" s="403"/>
      <c r="I23" s="403">
        <f>ROUND(E23*G23/10^6,0)</f>
        <v>143</v>
      </c>
      <c r="J23" s="404"/>
    </row>
    <row r="24" spans="1:10" ht="15.95" customHeight="1" x14ac:dyDescent="0.2">
      <c r="A24" s="265" t="s">
        <v>450</v>
      </c>
      <c r="B24" s="263"/>
      <c r="C24" s="426" t="s">
        <v>458</v>
      </c>
      <c r="D24" s="426"/>
      <c r="E24" s="420">
        <f>J7</f>
        <v>332</v>
      </c>
      <c r="F24" s="420"/>
      <c r="G24" s="420">
        <f>'0.시설공사비 산정근거'!$C$125</f>
        <v>2800000</v>
      </c>
      <c r="H24" s="420"/>
      <c r="I24" s="420">
        <f>ROUND(E24*G24/10^6,0)</f>
        <v>930</v>
      </c>
      <c r="J24" s="421"/>
    </row>
    <row r="25" spans="1:10" ht="15.95" customHeight="1" x14ac:dyDescent="0.2">
      <c r="A25" s="57"/>
      <c r="B25" s="163"/>
      <c r="C25" s="163"/>
      <c r="D25" s="162"/>
      <c r="E25" s="162"/>
      <c r="F25" s="162"/>
      <c r="G25" s="162"/>
      <c r="H25" s="162"/>
      <c r="I25" s="162"/>
    </row>
    <row r="26" spans="1:10" ht="15.95" customHeight="1" x14ac:dyDescent="0.2">
      <c r="A26" s="5" t="s">
        <v>459</v>
      </c>
      <c r="B26" s="5"/>
      <c r="C26" s="4"/>
      <c r="D26" s="4"/>
      <c r="E26" s="4"/>
      <c r="F26" s="4"/>
    </row>
    <row r="27" spans="1:10" ht="15.95" customHeight="1" thickBot="1" x14ac:dyDescent="0.25">
      <c r="A27" s="255" t="s">
        <v>448</v>
      </c>
      <c r="B27" s="256"/>
      <c r="C27" s="256" t="s">
        <v>454</v>
      </c>
      <c r="D27" s="256"/>
      <c r="E27" s="375" t="s">
        <v>451</v>
      </c>
      <c r="F27" s="375"/>
      <c r="G27" s="375" t="s">
        <v>452</v>
      </c>
      <c r="H27" s="375"/>
      <c r="I27" s="375" t="s">
        <v>453</v>
      </c>
      <c r="J27" s="405"/>
    </row>
    <row r="28" spans="1:10" ht="15.95" customHeight="1" thickTop="1" x14ac:dyDescent="0.2">
      <c r="A28" s="272" t="s">
        <v>390</v>
      </c>
      <c r="B28" s="282"/>
      <c r="C28" s="282"/>
      <c r="D28" s="282"/>
      <c r="E28" s="409"/>
      <c r="F28" s="409"/>
      <c r="G28" s="408"/>
      <c r="H28" s="408"/>
      <c r="I28" s="409">
        <f>SUM(I29:J32)</f>
        <v>2564</v>
      </c>
      <c r="J28" s="410"/>
    </row>
    <row r="29" spans="1:10" ht="15.95" customHeight="1" x14ac:dyDescent="0.2">
      <c r="A29" s="275" t="s">
        <v>432</v>
      </c>
      <c r="B29" s="276"/>
      <c r="C29" s="276" t="s">
        <v>456</v>
      </c>
      <c r="D29" s="276"/>
      <c r="E29" s="427">
        <f>F8</f>
        <v>5132.6000000000004</v>
      </c>
      <c r="F29" s="427"/>
      <c r="G29" s="403">
        <f>'0.시설공사비 산정근거'!$D$64</f>
        <v>404491</v>
      </c>
      <c r="H29" s="403"/>
      <c r="I29" s="403">
        <f>ROUND(E29*G29/10^6,0)</f>
        <v>2076</v>
      </c>
      <c r="J29" s="404"/>
    </row>
    <row r="30" spans="1:10" ht="15.95" customHeight="1" x14ac:dyDescent="0.2">
      <c r="A30" s="275" t="s">
        <v>433</v>
      </c>
      <c r="B30" s="276"/>
      <c r="C30" s="276" t="s">
        <v>455</v>
      </c>
      <c r="D30" s="276"/>
      <c r="E30" s="427">
        <f>G8</f>
        <v>206.4</v>
      </c>
      <c r="F30" s="427"/>
      <c r="G30" s="403">
        <f>'0.시설공사비 산정근거'!$B$145</f>
        <v>320148</v>
      </c>
      <c r="H30" s="403"/>
      <c r="I30" s="403">
        <f t="shared" ref="I30:I32" si="2">ROUND(E30*G30/10^6,0)</f>
        <v>66</v>
      </c>
      <c r="J30" s="404"/>
    </row>
    <row r="31" spans="1:10" ht="15.95" customHeight="1" x14ac:dyDescent="0.2">
      <c r="A31" s="275" t="s">
        <v>449</v>
      </c>
      <c r="B31" s="276"/>
      <c r="C31" s="276" t="s">
        <v>457</v>
      </c>
      <c r="D31" s="276"/>
      <c r="E31" s="403">
        <f>I8</f>
        <v>1</v>
      </c>
      <c r="F31" s="403"/>
      <c r="G31" s="403">
        <f>'0.시설공사비 산정근거'!$C$139</f>
        <v>71500000</v>
      </c>
      <c r="H31" s="403"/>
      <c r="I31" s="403">
        <f t="shared" si="2"/>
        <v>72</v>
      </c>
      <c r="J31" s="404"/>
    </row>
    <row r="32" spans="1:10" ht="15.95" customHeight="1" x14ac:dyDescent="0.2">
      <c r="A32" s="265" t="s">
        <v>450</v>
      </c>
      <c r="B32" s="263"/>
      <c r="C32" s="426" t="s">
        <v>458</v>
      </c>
      <c r="D32" s="426"/>
      <c r="E32" s="420">
        <f>J8</f>
        <v>125</v>
      </c>
      <c r="F32" s="420"/>
      <c r="G32" s="420">
        <f>'0.시설공사비 산정근거'!$C$125</f>
        <v>2800000</v>
      </c>
      <c r="H32" s="420"/>
      <c r="I32" s="420">
        <f t="shared" si="2"/>
        <v>350</v>
      </c>
      <c r="J32" s="421"/>
    </row>
    <row r="33" spans="1:10" ht="15.95" customHeight="1" x14ac:dyDescent="0.2">
      <c r="A33" s="57"/>
      <c r="B33" s="163"/>
      <c r="C33" s="163"/>
      <c r="D33" s="162"/>
      <c r="E33" s="162"/>
      <c r="F33" s="162"/>
      <c r="G33" s="162"/>
      <c r="H33" s="162"/>
      <c r="I33" s="162"/>
    </row>
    <row r="34" spans="1:10" ht="15.95" customHeight="1" x14ac:dyDescent="0.2">
      <c r="A34" s="5" t="s">
        <v>460</v>
      </c>
      <c r="B34" s="5"/>
      <c r="C34" s="4"/>
      <c r="D34" s="4"/>
      <c r="E34" s="4"/>
      <c r="F34" s="4"/>
    </row>
    <row r="35" spans="1:10" ht="15.95" customHeight="1" thickBot="1" x14ac:dyDescent="0.25">
      <c r="A35" s="255" t="s">
        <v>448</v>
      </c>
      <c r="B35" s="256"/>
      <c r="C35" s="256" t="s">
        <v>454</v>
      </c>
      <c r="D35" s="256"/>
      <c r="E35" s="375" t="s">
        <v>451</v>
      </c>
      <c r="F35" s="375"/>
      <c r="G35" s="375" t="s">
        <v>452</v>
      </c>
      <c r="H35" s="375"/>
      <c r="I35" s="375" t="s">
        <v>453</v>
      </c>
      <c r="J35" s="405"/>
    </row>
    <row r="36" spans="1:10" ht="15.95" customHeight="1" thickTop="1" x14ac:dyDescent="0.2">
      <c r="A36" s="272" t="s">
        <v>390</v>
      </c>
      <c r="B36" s="282"/>
      <c r="C36" s="282"/>
      <c r="D36" s="282"/>
      <c r="E36" s="409"/>
      <c r="F36" s="409"/>
      <c r="G36" s="408"/>
      <c r="H36" s="408"/>
      <c r="I36" s="409">
        <f>SUM(I37:J38)</f>
        <v>1838</v>
      </c>
      <c r="J36" s="410"/>
    </row>
    <row r="37" spans="1:10" ht="15.95" customHeight="1" x14ac:dyDescent="0.2">
      <c r="A37" s="275" t="s">
        <v>432</v>
      </c>
      <c r="B37" s="276"/>
      <c r="C37" s="276" t="s">
        <v>456</v>
      </c>
      <c r="D37" s="276"/>
      <c r="E37" s="427">
        <f>F9</f>
        <v>3277.5</v>
      </c>
      <c r="F37" s="427"/>
      <c r="G37" s="403">
        <f>'0.시설공사비 산정근거'!$D$64</f>
        <v>404491</v>
      </c>
      <c r="H37" s="403"/>
      <c r="I37" s="403">
        <f>ROUND(E37*G37/10^6,0)</f>
        <v>1326</v>
      </c>
      <c r="J37" s="404"/>
    </row>
    <row r="38" spans="1:10" ht="15.95" customHeight="1" x14ac:dyDescent="0.2">
      <c r="A38" s="265" t="s">
        <v>450</v>
      </c>
      <c r="B38" s="263"/>
      <c r="C38" s="426" t="s">
        <v>458</v>
      </c>
      <c r="D38" s="426"/>
      <c r="E38" s="420">
        <f>J9</f>
        <v>183</v>
      </c>
      <c r="F38" s="420"/>
      <c r="G38" s="420">
        <f>'0.시설공사비 산정근거'!$C$125</f>
        <v>2800000</v>
      </c>
      <c r="H38" s="420"/>
      <c r="I38" s="420">
        <f t="shared" ref="I38" si="3">ROUND(E38*G38/10^6,0)</f>
        <v>512</v>
      </c>
      <c r="J38" s="421"/>
    </row>
    <row r="39" spans="1:10" ht="15.95" customHeight="1" x14ac:dyDescent="0.2">
      <c r="A39" s="57"/>
      <c r="B39" s="163"/>
      <c r="C39" s="163"/>
      <c r="D39" s="162"/>
      <c r="E39" s="162"/>
      <c r="F39" s="162"/>
      <c r="G39" s="162"/>
      <c r="H39" s="162"/>
      <c r="I39" s="162"/>
    </row>
    <row r="40" spans="1:10" ht="15.95" customHeight="1" x14ac:dyDescent="0.2">
      <c r="A40" s="5" t="s">
        <v>461</v>
      </c>
      <c r="B40" s="5"/>
      <c r="C40" s="4"/>
      <c r="D40" s="4"/>
      <c r="E40" s="4"/>
      <c r="F40" s="4"/>
    </row>
    <row r="41" spans="1:10" ht="15.95" customHeight="1" thickBot="1" x14ac:dyDescent="0.25">
      <c r="A41" s="255" t="s">
        <v>448</v>
      </c>
      <c r="B41" s="256"/>
      <c r="C41" s="256" t="s">
        <v>454</v>
      </c>
      <c r="D41" s="256"/>
      <c r="E41" s="375" t="s">
        <v>451</v>
      </c>
      <c r="F41" s="375"/>
      <c r="G41" s="375" t="s">
        <v>452</v>
      </c>
      <c r="H41" s="375"/>
      <c r="I41" s="375" t="s">
        <v>453</v>
      </c>
      <c r="J41" s="405"/>
    </row>
    <row r="42" spans="1:10" ht="15.95" customHeight="1" thickTop="1" x14ac:dyDescent="0.2">
      <c r="A42" s="272" t="s">
        <v>390</v>
      </c>
      <c r="B42" s="282"/>
      <c r="C42" s="282"/>
      <c r="D42" s="282"/>
      <c r="E42" s="409"/>
      <c r="F42" s="409"/>
      <c r="G42" s="408"/>
      <c r="H42" s="408"/>
      <c r="I42" s="409">
        <f>SUM(I43:J44)</f>
        <v>1124</v>
      </c>
      <c r="J42" s="410"/>
    </row>
    <row r="43" spans="1:10" ht="15.95" customHeight="1" x14ac:dyDescent="0.2">
      <c r="A43" s="275" t="s">
        <v>432</v>
      </c>
      <c r="B43" s="276"/>
      <c r="C43" s="276" t="s">
        <v>456</v>
      </c>
      <c r="D43" s="276"/>
      <c r="E43" s="427">
        <f>F10</f>
        <v>2205.4</v>
      </c>
      <c r="F43" s="427"/>
      <c r="G43" s="403">
        <f>'0.시설공사비 산정근거'!$D$64</f>
        <v>404491</v>
      </c>
      <c r="H43" s="403"/>
      <c r="I43" s="403">
        <f>ROUND(E43*G43/10^6,0)</f>
        <v>892</v>
      </c>
      <c r="J43" s="404"/>
    </row>
    <row r="44" spans="1:10" ht="15.95" customHeight="1" x14ac:dyDescent="0.2">
      <c r="A44" s="265" t="s">
        <v>450</v>
      </c>
      <c r="B44" s="263"/>
      <c r="C44" s="426" t="s">
        <v>458</v>
      </c>
      <c r="D44" s="426"/>
      <c r="E44" s="420">
        <f>J10</f>
        <v>83</v>
      </c>
      <c r="F44" s="420"/>
      <c r="G44" s="420">
        <f>'0.시설공사비 산정근거'!$C$125</f>
        <v>2800000</v>
      </c>
      <c r="H44" s="420"/>
      <c r="I44" s="420">
        <f t="shared" ref="I44" si="4">ROUND(E44*G44/10^6,0)</f>
        <v>232</v>
      </c>
      <c r="J44" s="421"/>
    </row>
    <row r="45" spans="1:10" ht="15.95" customHeight="1" x14ac:dyDescent="0.2">
      <c r="A45" s="57"/>
      <c r="B45" s="163"/>
      <c r="C45" s="163"/>
      <c r="D45" s="162"/>
      <c r="E45" s="162"/>
      <c r="F45" s="162"/>
      <c r="G45" s="162"/>
      <c r="H45" s="162"/>
      <c r="I45" s="162"/>
    </row>
    <row r="46" spans="1:10" ht="15.95" customHeight="1" x14ac:dyDescent="0.2">
      <c r="A46" s="5" t="s">
        <v>508</v>
      </c>
      <c r="B46" s="5"/>
      <c r="C46" s="4"/>
      <c r="D46" s="4"/>
      <c r="E46" s="4"/>
      <c r="F46" s="4"/>
    </row>
    <row r="47" spans="1:10" ht="15.95" customHeight="1" thickBot="1" x14ac:dyDescent="0.25">
      <c r="A47" s="255" t="s">
        <v>448</v>
      </c>
      <c r="B47" s="256"/>
      <c r="C47" s="256" t="s">
        <v>454</v>
      </c>
      <c r="D47" s="256"/>
      <c r="E47" s="375" t="s">
        <v>451</v>
      </c>
      <c r="F47" s="375"/>
      <c r="G47" s="375" t="s">
        <v>452</v>
      </c>
      <c r="H47" s="375"/>
      <c r="I47" s="375" t="s">
        <v>453</v>
      </c>
      <c r="J47" s="405"/>
    </row>
    <row r="48" spans="1:10" ht="15.95" customHeight="1" thickTop="1" x14ac:dyDescent="0.2">
      <c r="A48" s="272" t="s">
        <v>390</v>
      </c>
      <c r="B48" s="282"/>
      <c r="C48" s="282"/>
      <c r="D48" s="282"/>
      <c r="E48" s="409"/>
      <c r="F48" s="409"/>
      <c r="G48" s="408"/>
      <c r="H48" s="408"/>
      <c r="I48" s="409">
        <f>SUM(I49:J49)</f>
        <v>168</v>
      </c>
      <c r="J48" s="410"/>
    </row>
    <row r="49" spans="1:10" ht="15.95" customHeight="1" x14ac:dyDescent="0.2">
      <c r="A49" s="265" t="s">
        <v>450</v>
      </c>
      <c r="B49" s="263"/>
      <c r="C49" s="426" t="s">
        <v>458</v>
      </c>
      <c r="D49" s="426"/>
      <c r="E49" s="420">
        <f>J11</f>
        <v>60</v>
      </c>
      <c r="F49" s="420"/>
      <c r="G49" s="420">
        <f>'0.시설공사비 산정근거'!$C$125</f>
        <v>2800000</v>
      </c>
      <c r="H49" s="420"/>
      <c r="I49" s="420">
        <f t="shared" ref="I49" si="5">ROUND(E49*G49/10^6,0)</f>
        <v>168</v>
      </c>
      <c r="J49" s="421"/>
    </row>
    <row r="50" spans="1:10" ht="15.95" customHeight="1" x14ac:dyDescent="0.2">
      <c r="A50" s="57"/>
      <c r="B50" s="163"/>
      <c r="C50" s="163"/>
      <c r="D50" s="162"/>
      <c r="E50" s="162"/>
      <c r="F50" s="162"/>
      <c r="G50" s="162"/>
      <c r="H50" s="162"/>
      <c r="I50" s="162"/>
    </row>
    <row r="51" spans="1:10" ht="15.95" customHeight="1" x14ac:dyDescent="0.2">
      <c r="A51" s="5" t="s">
        <v>526</v>
      </c>
      <c r="B51" s="5"/>
      <c r="C51" s="4"/>
      <c r="D51" s="4"/>
      <c r="E51" s="4"/>
      <c r="F51" s="4"/>
    </row>
    <row r="52" spans="1:10" ht="15.95" customHeight="1" thickBot="1" x14ac:dyDescent="0.25">
      <c r="A52" s="255" t="s">
        <v>66</v>
      </c>
      <c r="B52" s="256"/>
      <c r="C52" s="256" t="s">
        <v>454</v>
      </c>
      <c r="D52" s="256"/>
      <c r="E52" s="375" t="s">
        <v>269</v>
      </c>
      <c r="F52" s="375"/>
      <c r="G52" s="375" t="s">
        <v>452</v>
      </c>
      <c r="H52" s="375"/>
      <c r="I52" s="375" t="s">
        <v>136</v>
      </c>
      <c r="J52" s="405"/>
    </row>
    <row r="53" spans="1:10" ht="15.95" customHeight="1" thickTop="1" x14ac:dyDescent="0.2">
      <c r="A53" s="272" t="s">
        <v>85</v>
      </c>
      <c r="B53" s="282"/>
      <c r="C53" s="282"/>
      <c r="D53" s="282"/>
      <c r="E53" s="409"/>
      <c r="F53" s="409"/>
      <c r="G53" s="408"/>
      <c r="H53" s="408"/>
      <c r="I53" s="409">
        <f>SUM(I54:J57)</f>
        <v>2617</v>
      </c>
      <c r="J53" s="410"/>
    </row>
    <row r="54" spans="1:10" ht="15.95" customHeight="1" x14ac:dyDescent="0.2">
      <c r="A54" s="275" t="s">
        <v>235</v>
      </c>
      <c r="B54" s="276"/>
      <c r="C54" s="276" t="s">
        <v>456</v>
      </c>
      <c r="D54" s="276"/>
      <c r="E54" s="427">
        <f>F12</f>
        <v>3829</v>
      </c>
      <c r="F54" s="427"/>
      <c r="G54" s="403">
        <f>'0.시설공사비 산정근거'!$D$64</f>
        <v>404491</v>
      </c>
      <c r="H54" s="403"/>
      <c r="I54" s="403">
        <f>ROUND(E54*G54/10^6,0)</f>
        <v>1549</v>
      </c>
      <c r="J54" s="404"/>
    </row>
    <row r="55" spans="1:10" ht="15.95" customHeight="1" x14ac:dyDescent="0.2">
      <c r="A55" s="275" t="s">
        <v>433</v>
      </c>
      <c r="B55" s="276"/>
      <c r="C55" s="276" t="s">
        <v>455</v>
      </c>
      <c r="D55" s="276"/>
      <c r="E55" s="427">
        <f>G12</f>
        <v>1488.9</v>
      </c>
      <c r="F55" s="427"/>
      <c r="G55" s="403">
        <f>'0.시설공사비 산정근거'!$B$145</f>
        <v>320148</v>
      </c>
      <c r="H55" s="403"/>
      <c r="I55" s="403">
        <f t="shared" ref="I55:I57" si="6">ROUND(E55*G55/10^6,0)</f>
        <v>477</v>
      </c>
      <c r="J55" s="404"/>
    </row>
    <row r="56" spans="1:10" ht="15.95" customHeight="1" x14ac:dyDescent="0.2">
      <c r="A56" s="275" t="s">
        <v>435</v>
      </c>
      <c r="B56" s="276"/>
      <c r="C56" s="276" t="s">
        <v>527</v>
      </c>
      <c r="D56" s="276"/>
      <c r="E56" s="403">
        <f>I12</f>
        <v>2</v>
      </c>
      <c r="F56" s="403"/>
      <c r="G56" s="403">
        <f>'0.시설공사비 산정근거'!$C$139</f>
        <v>71500000</v>
      </c>
      <c r="H56" s="403"/>
      <c r="I56" s="403">
        <f t="shared" si="6"/>
        <v>143</v>
      </c>
      <c r="J56" s="404"/>
    </row>
    <row r="57" spans="1:10" ht="15.95" customHeight="1" x14ac:dyDescent="0.2">
      <c r="A57" s="265" t="s">
        <v>450</v>
      </c>
      <c r="B57" s="263"/>
      <c r="C57" s="426" t="s">
        <v>458</v>
      </c>
      <c r="D57" s="426"/>
      <c r="E57" s="420">
        <f>J12</f>
        <v>160</v>
      </c>
      <c r="F57" s="420"/>
      <c r="G57" s="420">
        <f>'0.시설공사비 산정근거'!$C$125</f>
        <v>2800000</v>
      </c>
      <c r="H57" s="420"/>
      <c r="I57" s="420">
        <f t="shared" si="6"/>
        <v>448</v>
      </c>
      <c r="J57" s="421"/>
    </row>
    <row r="58" spans="1:10" ht="15.95" customHeight="1" x14ac:dyDescent="0.2">
      <c r="A58" s="57"/>
      <c r="B58" s="163"/>
      <c r="C58" s="163"/>
      <c r="D58" s="162"/>
      <c r="E58" s="162"/>
      <c r="F58" s="162"/>
      <c r="G58" s="162"/>
      <c r="H58" s="162"/>
      <c r="I58" s="162"/>
    </row>
    <row r="59" spans="1:10" ht="15.95" customHeight="1" x14ac:dyDescent="0.2">
      <c r="A59" s="5" t="s">
        <v>528</v>
      </c>
      <c r="B59" s="5"/>
      <c r="C59" s="4"/>
      <c r="D59" s="4"/>
      <c r="E59" s="4"/>
      <c r="F59" s="4"/>
    </row>
    <row r="60" spans="1:10" ht="15.95" customHeight="1" thickBot="1" x14ac:dyDescent="0.25">
      <c r="A60" s="255" t="s">
        <v>448</v>
      </c>
      <c r="B60" s="256"/>
      <c r="C60" s="256" t="s">
        <v>454</v>
      </c>
      <c r="D60" s="256"/>
      <c r="E60" s="375" t="s">
        <v>451</v>
      </c>
      <c r="F60" s="375"/>
      <c r="G60" s="375" t="s">
        <v>452</v>
      </c>
      <c r="H60" s="375"/>
      <c r="I60" s="375" t="s">
        <v>453</v>
      </c>
      <c r="J60" s="405"/>
    </row>
    <row r="61" spans="1:10" ht="15.95" customHeight="1" thickTop="1" x14ac:dyDescent="0.2">
      <c r="A61" s="272" t="s">
        <v>390</v>
      </c>
      <c r="B61" s="282"/>
      <c r="C61" s="282"/>
      <c r="D61" s="282"/>
      <c r="E61" s="409"/>
      <c r="F61" s="409"/>
      <c r="G61" s="408"/>
      <c r="H61" s="408"/>
      <c r="I61" s="409">
        <f>SUM(I62:J67)</f>
        <v>7580</v>
      </c>
      <c r="J61" s="410"/>
    </row>
    <row r="62" spans="1:10" ht="15.95" customHeight="1" x14ac:dyDescent="0.2">
      <c r="A62" s="275" t="s">
        <v>432</v>
      </c>
      <c r="B62" s="276"/>
      <c r="C62" s="276" t="s">
        <v>456</v>
      </c>
      <c r="D62" s="276"/>
      <c r="E62" s="427">
        <f>5928.9</f>
        <v>5928.9</v>
      </c>
      <c r="F62" s="427"/>
      <c r="G62" s="403">
        <f>'0.시설공사비 산정근거'!$D$64</f>
        <v>404491</v>
      </c>
      <c r="H62" s="403"/>
      <c r="I62" s="403">
        <f>ROUND(E62*G62/10^6,0)</f>
        <v>2398</v>
      </c>
      <c r="J62" s="404"/>
    </row>
    <row r="63" spans="1:10" ht="15.95" customHeight="1" x14ac:dyDescent="0.2">
      <c r="A63" s="275" t="s">
        <v>432</v>
      </c>
      <c r="B63" s="276"/>
      <c r="C63" s="276" t="s">
        <v>462</v>
      </c>
      <c r="D63" s="276"/>
      <c r="E63" s="427">
        <v>1309.8</v>
      </c>
      <c r="F63" s="427"/>
      <c r="G63" s="403">
        <f>'0.시설공사비 산정근거'!$D$66</f>
        <v>486700</v>
      </c>
      <c r="H63" s="403"/>
      <c r="I63" s="403">
        <f>ROUND(E63*G63/10^6,0)</f>
        <v>637</v>
      </c>
      <c r="J63" s="404"/>
    </row>
    <row r="64" spans="1:10" ht="15.95" customHeight="1" x14ac:dyDescent="0.2">
      <c r="A64" s="275" t="s">
        <v>433</v>
      </c>
      <c r="B64" s="276"/>
      <c r="C64" s="276" t="s">
        <v>455</v>
      </c>
      <c r="D64" s="276"/>
      <c r="E64" s="427">
        <f>G13</f>
        <v>1712.5</v>
      </c>
      <c r="F64" s="427"/>
      <c r="G64" s="403">
        <f>'0.시설공사비 산정근거'!$B$145</f>
        <v>320148</v>
      </c>
      <c r="H64" s="403"/>
      <c r="I64" s="403">
        <f t="shared" ref="I64:I67" si="7">ROUND(E64*G64/10^6,0)</f>
        <v>548</v>
      </c>
      <c r="J64" s="404"/>
    </row>
    <row r="65" spans="1:10" ht="15.95" customHeight="1" x14ac:dyDescent="0.2">
      <c r="A65" s="275" t="s">
        <v>463</v>
      </c>
      <c r="B65" s="276"/>
      <c r="C65" s="276" t="s">
        <v>496</v>
      </c>
      <c r="D65" s="276"/>
      <c r="E65" s="403">
        <v>1</v>
      </c>
      <c r="F65" s="403"/>
      <c r="G65" s="403">
        <f>ROUND(20.43*3.7+21.21*18+903.46,0)</f>
        <v>1361</v>
      </c>
      <c r="H65" s="403"/>
      <c r="I65" s="403">
        <f>ROUND(E65*G65,0)</f>
        <v>1361</v>
      </c>
      <c r="J65" s="404"/>
    </row>
    <row r="66" spans="1:10" ht="15.95" customHeight="1" x14ac:dyDescent="0.2">
      <c r="A66" s="275" t="s">
        <v>464</v>
      </c>
      <c r="B66" s="276"/>
      <c r="C66" s="276" t="s">
        <v>497</v>
      </c>
      <c r="D66" s="276"/>
      <c r="E66" s="403">
        <v>1</v>
      </c>
      <c r="F66" s="403"/>
      <c r="G66" s="403">
        <f>ROUND(20.43*2.38+21.21*18+903.46,0)</f>
        <v>1334</v>
      </c>
      <c r="H66" s="403"/>
      <c r="I66" s="403">
        <f>ROUND(E66*G66,0)</f>
        <v>1334</v>
      </c>
      <c r="J66" s="404"/>
    </row>
    <row r="67" spans="1:10" ht="15.95" customHeight="1" x14ac:dyDescent="0.2">
      <c r="A67" s="265" t="s">
        <v>450</v>
      </c>
      <c r="B67" s="263"/>
      <c r="C67" s="426" t="s">
        <v>458</v>
      </c>
      <c r="D67" s="426"/>
      <c r="E67" s="420">
        <f>J13</f>
        <v>465</v>
      </c>
      <c r="F67" s="420"/>
      <c r="G67" s="420">
        <f>'0.시설공사비 산정근거'!$C$125</f>
        <v>2800000</v>
      </c>
      <c r="H67" s="420"/>
      <c r="I67" s="420">
        <f t="shared" si="7"/>
        <v>1302</v>
      </c>
      <c r="J67" s="421"/>
    </row>
    <row r="68" spans="1:10" ht="15.95" customHeight="1" x14ac:dyDescent="0.2">
      <c r="A68" s="57"/>
      <c r="B68" s="163"/>
      <c r="C68" s="163"/>
      <c r="D68" s="162"/>
      <c r="E68" s="162"/>
      <c r="F68" s="162"/>
      <c r="G68" s="162"/>
      <c r="H68" s="162"/>
      <c r="I68" s="162"/>
    </row>
    <row r="69" spans="1:10" ht="15.95" customHeight="1" x14ac:dyDescent="0.2">
      <c r="A69" s="5" t="s">
        <v>589</v>
      </c>
      <c r="B69" s="5"/>
      <c r="C69" s="4"/>
      <c r="D69" s="4"/>
      <c r="E69" s="4"/>
      <c r="F69" s="4"/>
    </row>
    <row r="70" spans="1:10" ht="15.95" customHeight="1" thickBot="1" x14ac:dyDescent="0.25">
      <c r="A70" s="255" t="s">
        <v>66</v>
      </c>
      <c r="B70" s="256"/>
      <c r="C70" s="256" t="s">
        <v>454</v>
      </c>
      <c r="D70" s="256"/>
      <c r="E70" s="375" t="s">
        <v>269</v>
      </c>
      <c r="F70" s="375"/>
      <c r="G70" s="375" t="s">
        <v>452</v>
      </c>
      <c r="H70" s="375"/>
      <c r="I70" s="375" t="s">
        <v>136</v>
      </c>
      <c r="J70" s="405"/>
    </row>
    <row r="71" spans="1:10" ht="15.95" customHeight="1" thickTop="1" x14ac:dyDescent="0.2">
      <c r="A71" s="272" t="s">
        <v>85</v>
      </c>
      <c r="B71" s="282"/>
      <c r="C71" s="282"/>
      <c r="D71" s="282"/>
      <c r="E71" s="409"/>
      <c r="F71" s="409"/>
      <c r="G71" s="408"/>
      <c r="H71" s="408"/>
      <c r="I71" s="409">
        <f>SUM(I72:J75)</f>
        <v>2537</v>
      </c>
      <c r="J71" s="410"/>
    </row>
    <row r="72" spans="1:10" ht="15.95" customHeight="1" x14ac:dyDescent="0.2">
      <c r="A72" s="275" t="s">
        <v>235</v>
      </c>
      <c r="B72" s="276"/>
      <c r="C72" s="276" t="s">
        <v>456</v>
      </c>
      <c r="D72" s="276"/>
      <c r="E72" s="427">
        <f>F14</f>
        <v>3616.2</v>
      </c>
      <c r="F72" s="427"/>
      <c r="G72" s="403">
        <f>'0.시설공사비 산정근거'!$D$64</f>
        <v>404491</v>
      </c>
      <c r="H72" s="403"/>
      <c r="I72" s="403">
        <f>ROUND(E72*G72/10^6,0)</f>
        <v>1463</v>
      </c>
      <c r="J72" s="404"/>
    </row>
    <row r="73" spans="1:10" ht="15.95" customHeight="1" x14ac:dyDescent="0.2">
      <c r="A73" s="275" t="s">
        <v>433</v>
      </c>
      <c r="B73" s="276"/>
      <c r="C73" s="276" t="s">
        <v>455</v>
      </c>
      <c r="D73" s="276"/>
      <c r="E73" s="427">
        <f>G14</f>
        <v>696.7</v>
      </c>
      <c r="F73" s="427"/>
      <c r="G73" s="403">
        <f>'0.시설공사비 산정근거'!$B$145</f>
        <v>320148</v>
      </c>
      <c r="H73" s="403"/>
      <c r="I73" s="403">
        <f t="shared" ref="I73:I75" si="8">ROUND(E73*G73/10^6,0)</f>
        <v>223</v>
      </c>
      <c r="J73" s="404"/>
    </row>
    <row r="74" spans="1:10" ht="15.95" customHeight="1" x14ac:dyDescent="0.2">
      <c r="A74" s="275" t="s">
        <v>435</v>
      </c>
      <c r="B74" s="276"/>
      <c r="C74" s="276" t="s">
        <v>527</v>
      </c>
      <c r="D74" s="276"/>
      <c r="E74" s="403">
        <f>I14</f>
        <v>2</v>
      </c>
      <c r="F74" s="403"/>
      <c r="G74" s="403">
        <f>'0.시설공사비 산정근거'!$C$139</f>
        <v>71500000</v>
      </c>
      <c r="H74" s="403"/>
      <c r="I74" s="403">
        <f t="shared" si="8"/>
        <v>143</v>
      </c>
      <c r="J74" s="404"/>
    </row>
    <row r="75" spans="1:10" ht="15.95" customHeight="1" x14ac:dyDescent="0.2">
      <c r="A75" s="265" t="s">
        <v>187</v>
      </c>
      <c r="B75" s="263"/>
      <c r="C75" s="426" t="s">
        <v>458</v>
      </c>
      <c r="D75" s="426"/>
      <c r="E75" s="420">
        <f>J14</f>
        <v>253</v>
      </c>
      <c r="F75" s="420"/>
      <c r="G75" s="420">
        <f>'0.시설공사비 산정근거'!$C$125</f>
        <v>2800000</v>
      </c>
      <c r="H75" s="420"/>
      <c r="I75" s="420">
        <f t="shared" si="8"/>
        <v>708</v>
      </c>
      <c r="J75" s="421"/>
    </row>
    <row r="76" spans="1:10" ht="15.95" customHeight="1" x14ac:dyDescent="0.2">
      <c r="A76" s="57"/>
      <c r="B76" s="163"/>
      <c r="C76" s="163"/>
      <c r="D76" s="162"/>
      <c r="E76" s="162"/>
      <c r="F76" s="162"/>
      <c r="G76" s="162"/>
      <c r="H76" s="162"/>
      <c r="I76" s="162"/>
    </row>
    <row r="77" spans="1:10" ht="15.95" customHeight="1" x14ac:dyDescent="0.2">
      <c r="A77" s="5" t="s">
        <v>596</v>
      </c>
      <c r="B77" s="5"/>
      <c r="C77" s="4"/>
      <c r="D77" s="4"/>
      <c r="E77" s="4"/>
      <c r="F77" s="4"/>
    </row>
    <row r="78" spans="1:10" ht="15.95" customHeight="1" thickBot="1" x14ac:dyDescent="0.25">
      <c r="A78" s="255" t="s">
        <v>66</v>
      </c>
      <c r="B78" s="256"/>
      <c r="C78" s="256" t="s">
        <v>454</v>
      </c>
      <c r="D78" s="256"/>
      <c r="E78" s="375" t="s">
        <v>269</v>
      </c>
      <c r="F78" s="375"/>
      <c r="G78" s="375" t="s">
        <v>452</v>
      </c>
      <c r="H78" s="375"/>
      <c r="I78" s="375" t="s">
        <v>136</v>
      </c>
      <c r="J78" s="405"/>
    </row>
    <row r="79" spans="1:10" ht="15.95" customHeight="1" thickTop="1" x14ac:dyDescent="0.2">
      <c r="A79" s="272" t="s">
        <v>85</v>
      </c>
      <c r="B79" s="282"/>
      <c r="C79" s="282"/>
      <c r="D79" s="282"/>
      <c r="E79" s="409"/>
      <c r="F79" s="409"/>
      <c r="G79" s="408"/>
      <c r="H79" s="408"/>
      <c r="I79" s="409">
        <f>SUM(I80:J83)</f>
        <v>1385</v>
      </c>
      <c r="J79" s="410"/>
    </row>
    <row r="80" spans="1:10" ht="15.95" customHeight="1" x14ac:dyDescent="0.2">
      <c r="A80" s="275" t="s">
        <v>235</v>
      </c>
      <c r="B80" s="276"/>
      <c r="C80" s="276" t="s">
        <v>456</v>
      </c>
      <c r="D80" s="276"/>
      <c r="E80" s="427">
        <f>F15</f>
        <v>2101.8000000000002</v>
      </c>
      <c r="F80" s="427"/>
      <c r="G80" s="403">
        <f>'0.시설공사비 산정근거'!$D$64</f>
        <v>404491</v>
      </c>
      <c r="H80" s="403"/>
      <c r="I80" s="403">
        <f>ROUND(E80*G80/10^6,0)</f>
        <v>850</v>
      </c>
      <c r="J80" s="404"/>
    </row>
    <row r="81" spans="1:10" ht="15.95" customHeight="1" x14ac:dyDescent="0.2">
      <c r="A81" s="275" t="s">
        <v>433</v>
      </c>
      <c r="B81" s="276"/>
      <c r="C81" s="276" t="s">
        <v>455</v>
      </c>
      <c r="D81" s="276"/>
      <c r="E81" s="427">
        <f>G15</f>
        <v>125</v>
      </c>
      <c r="F81" s="427"/>
      <c r="G81" s="403">
        <f>'0.시설공사비 산정근거'!$B$145</f>
        <v>320148</v>
      </c>
      <c r="H81" s="403"/>
      <c r="I81" s="403">
        <f t="shared" ref="I81:I83" si="9">ROUND(E81*G81/10^6,0)</f>
        <v>40</v>
      </c>
      <c r="J81" s="404"/>
    </row>
    <row r="82" spans="1:10" ht="15.95" customHeight="1" x14ac:dyDescent="0.2">
      <c r="A82" s="275" t="s">
        <v>435</v>
      </c>
      <c r="B82" s="276"/>
      <c r="C82" s="276" t="s">
        <v>527</v>
      </c>
      <c r="D82" s="276"/>
      <c r="E82" s="403">
        <f>I15</f>
        <v>1</v>
      </c>
      <c r="F82" s="403"/>
      <c r="G82" s="403">
        <f>'0.시설공사비 산정근거'!$C$139</f>
        <v>71500000</v>
      </c>
      <c r="H82" s="403"/>
      <c r="I82" s="403">
        <f t="shared" si="9"/>
        <v>72</v>
      </c>
      <c r="J82" s="404"/>
    </row>
    <row r="83" spans="1:10" ht="15.95" customHeight="1" x14ac:dyDescent="0.2">
      <c r="A83" s="265" t="s">
        <v>187</v>
      </c>
      <c r="B83" s="263"/>
      <c r="C83" s="426" t="s">
        <v>458</v>
      </c>
      <c r="D83" s="426"/>
      <c r="E83" s="420">
        <f>J15</f>
        <v>151</v>
      </c>
      <c r="F83" s="420"/>
      <c r="G83" s="420">
        <f>'0.시설공사비 산정근거'!$C$125</f>
        <v>2800000</v>
      </c>
      <c r="H83" s="420"/>
      <c r="I83" s="420">
        <f t="shared" si="9"/>
        <v>423</v>
      </c>
      <c r="J83" s="421"/>
    </row>
    <row r="84" spans="1:10" ht="15.95" customHeight="1" x14ac:dyDescent="0.2">
      <c r="A84" s="57"/>
      <c r="B84" s="163"/>
      <c r="C84" s="163"/>
      <c r="D84" s="162"/>
      <c r="E84" s="162"/>
      <c r="F84" s="162"/>
      <c r="G84" s="162"/>
      <c r="H84" s="162"/>
      <c r="I84" s="162"/>
    </row>
    <row r="85" spans="1:10" ht="15.95" customHeight="1" x14ac:dyDescent="0.2">
      <c r="A85" s="5" t="s">
        <v>92</v>
      </c>
      <c r="B85" s="5"/>
      <c r="C85" s="4"/>
      <c r="D85" s="4"/>
      <c r="E85" s="4"/>
      <c r="F85" s="4"/>
    </row>
    <row r="86" spans="1:10" ht="15.95" customHeight="1" x14ac:dyDescent="0.2">
      <c r="A86" s="367" t="s">
        <v>189</v>
      </c>
      <c r="B86" s="368"/>
      <c r="C86" s="368"/>
      <c r="D86" s="385" t="s">
        <v>71</v>
      </c>
      <c r="E86" s="385"/>
      <c r="F86" s="385"/>
      <c r="G86" s="385" t="s">
        <v>72</v>
      </c>
      <c r="H86" s="385"/>
      <c r="I86" s="385"/>
      <c r="J86" s="361" t="s">
        <v>73</v>
      </c>
    </row>
    <row r="87" spans="1:10" ht="15.95" customHeight="1" thickBot="1" x14ac:dyDescent="0.25">
      <c r="A87" s="369"/>
      <c r="B87" s="370"/>
      <c r="C87" s="370"/>
      <c r="D87" s="206" t="s">
        <v>74</v>
      </c>
      <c r="E87" s="206" t="s">
        <v>75</v>
      </c>
      <c r="F87" s="206" t="s">
        <v>76</v>
      </c>
      <c r="G87" s="206" t="s">
        <v>74</v>
      </c>
      <c r="H87" s="206" t="s">
        <v>75</v>
      </c>
      <c r="I87" s="206" t="s">
        <v>76</v>
      </c>
      <c r="J87" s="362"/>
    </row>
    <row r="88" spans="1:10" s="22" customFormat="1" ht="15.95" customHeight="1" thickTop="1" x14ac:dyDescent="0.2">
      <c r="A88" s="94" t="s">
        <v>465</v>
      </c>
      <c r="B88" s="429" t="s">
        <v>190</v>
      </c>
      <c r="C88" s="429"/>
      <c r="D88" s="95"/>
      <c r="E88" s="95"/>
      <c r="F88" s="95"/>
      <c r="G88" s="95"/>
      <c r="H88" s="95"/>
      <c r="I88" s="95"/>
      <c r="J88" s="96">
        <f>SUM(J89:J92)</f>
        <v>234</v>
      </c>
    </row>
    <row r="89" spans="1:10" s="22" customFormat="1" ht="15.95" customHeight="1" x14ac:dyDescent="0.2">
      <c r="A89" s="23" t="str">
        <f>A88</f>
        <v>대광처리분구</v>
      </c>
      <c r="B89" s="364" t="s">
        <v>78</v>
      </c>
      <c r="C89" s="364"/>
      <c r="D89" s="27">
        <f t="shared" ref="D89:D124" si="10">ROUNDDOWN(E89,-3)</f>
        <v>3000</v>
      </c>
      <c r="E89" s="27">
        <f>I20</f>
        <v>3728</v>
      </c>
      <c r="F89" s="27">
        <v>5000</v>
      </c>
      <c r="G89" s="28">
        <f>VLOOKUP(D89,'0.시설공사비 산정근거'!$A$150:$F$166,2,FALSE)</f>
        <v>1.5</v>
      </c>
      <c r="H89" s="28">
        <f>ROUND(G89-(E89-D89)*(G89-I89)/(F89-D89),2)</f>
        <v>1.49</v>
      </c>
      <c r="I89" s="28">
        <f>VLOOKUP(F89,'0.시설공사비 산정근거'!$A$150:$F$166,2,FALSE)</f>
        <v>1.47</v>
      </c>
      <c r="J89" s="29">
        <f>ROUND(E89*H89/100,0)</f>
        <v>56</v>
      </c>
    </row>
    <row r="90" spans="1:10" s="22" customFormat="1" ht="15.95" customHeight="1" x14ac:dyDescent="0.2">
      <c r="A90" s="24" t="str">
        <f t="shared" ref="A90:A92" si="11">A89</f>
        <v>대광처리분구</v>
      </c>
      <c r="B90" s="364" t="s">
        <v>79</v>
      </c>
      <c r="C90" s="364"/>
      <c r="D90" s="27">
        <f t="shared" ref="D90:D91" si="12">D89</f>
        <v>3000</v>
      </c>
      <c r="E90" s="27">
        <f>E89</f>
        <v>3728</v>
      </c>
      <c r="F90" s="27">
        <f t="shared" ref="F90:F92" si="13">F89</f>
        <v>5000</v>
      </c>
      <c r="G90" s="28">
        <f>VLOOKUP(D90,'0.시설공사비 산정근거'!$A$150:$F$166,3,FALSE)</f>
        <v>3</v>
      </c>
      <c r="H90" s="28">
        <f>ROUND(G90-(E90-D90)*(G90-I90)/(F90-D90),2)</f>
        <v>2.98</v>
      </c>
      <c r="I90" s="28">
        <f>VLOOKUP(F90,'0.시설공사비 산정근거'!$A$150:$F$166,3,FALSE)</f>
        <v>2.94</v>
      </c>
      <c r="J90" s="29">
        <f>ROUND(E90*H90/100,0)</f>
        <v>111</v>
      </c>
    </row>
    <row r="91" spans="1:10" s="22" customFormat="1" ht="15.95" customHeight="1" x14ac:dyDescent="0.2">
      <c r="A91" s="24" t="str">
        <f t="shared" si="11"/>
        <v>대광처리분구</v>
      </c>
      <c r="B91" s="364" t="s">
        <v>80</v>
      </c>
      <c r="C91" s="364"/>
      <c r="D91" s="27">
        <f t="shared" si="12"/>
        <v>3000</v>
      </c>
      <c r="E91" s="27">
        <f t="shared" ref="E91:E92" si="14">E90</f>
        <v>3728</v>
      </c>
      <c r="F91" s="27">
        <f t="shared" si="13"/>
        <v>5000</v>
      </c>
      <c r="G91" s="28">
        <f>VLOOKUP(D91,'0.시설공사비 산정근거'!$A$150:$F$166,4,FALSE)</f>
        <v>1.48</v>
      </c>
      <c r="H91" s="28">
        <f>ROUND(G91-(E91-D91)*(G91-I91)/(F91-D91),2)</f>
        <v>1.47</v>
      </c>
      <c r="I91" s="28">
        <f>VLOOKUP(F91,'0.시설공사비 산정근거'!$A$150:$F$166,4,FALSE)</f>
        <v>1.45</v>
      </c>
      <c r="J91" s="29">
        <f>ROUND(E91*H91/100,0)</f>
        <v>55</v>
      </c>
    </row>
    <row r="92" spans="1:10" s="22" customFormat="1" ht="15.95" customHeight="1" x14ac:dyDescent="0.2">
      <c r="A92" s="25" t="str">
        <f t="shared" si="11"/>
        <v>대광처리분구</v>
      </c>
      <c r="B92" s="364" t="s">
        <v>81</v>
      </c>
      <c r="C92" s="364"/>
      <c r="D92" s="27">
        <f t="shared" ref="D92" si="15">D90</f>
        <v>3000</v>
      </c>
      <c r="E92" s="27">
        <f t="shared" si="14"/>
        <v>3728</v>
      </c>
      <c r="F92" s="27">
        <f t="shared" si="13"/>
        <v>5000</v>
      </c>
      <c r="G92" s="28">
        <f>VLOOKUP(D92,'0.시설공사비 산정근거'!$A$150:$F$166,6,FALSE)</f>
        <v>0.36</v>
      </c>
      <c r="H92" s="28">
        <f>ROUND(G92-(E92-D92)*(G92-I92)/(F92-D92),2)</f>
        <v>0.33</v>
      </c>
      <c r="I92" s="28">
        <f>VLOOKUP(F92,'0.시설공사비 산정근거'!$A$150:$F$166,6,FALSE)</f>
        <v>0.27</v>
      </c>
      <c r="J92" s="29">
        <f>ROUND(E92*H92/100,0)</f>
        <v>12</v>
      </c>
    </row>
    <row r="93" spans="1:10" s="22" customFormat="1" ht="15.95" customHeight="1" x14ac:dyDescent="0.2">
      <c r="A93" s="18" t="s">
        <v>467</v>
      </c>
      <c r="B93" s="425" t="s">
        <v>190</v>
      </c>
      <c r="C93" s="425"/>
      <c r="D93" s="20"/>
      <c r="E93" s="20"/>
      <c r="F93" s="20"/>
      <c r="G93" s="20"/>
      <c r="H93" s="20"/>
      <c r="I93" s="20"/>
      <c r="J93" s="21">
        <f>SUM(J94:J97)</f>
        <v>164</v>
      </c>
    </row>
    <row r="94" spans="1:10" s="22" customFormat="1" ht="15.95" customHeight="1" x14ac:dyDescent="0.2">
      <c r="A94" s="23" t="str">
        <f>A93</f>
        <v>지좌처리분구</v>
      </c>
      <c r="B94" s="364" t="s">
        <v>78</v>
      </c>
      <c r="C94" s="364"/>
      <c r="D94" s="27">
        <f t="shared" si="10"/>
        <v>2000</v>
      </c>
      <c r="E94" s="27">
        <f>I28</f>
        <v>2564</v>
      </c>
      <c r="F94" s="27">
        <f t="shared" ref="F94:F104" si="16">ROUNDUP(E94,-3)</f>
        <v>3000</v>
      </c>
      <c r="G94" s="28">
        <f>VLOOKUP(D94,'0.시설공사비 산정근거'!$A$150:$F$166,2,FALSE)</f>
        <v>1.55</v>
      </c>
      <c r="H94" s="28">
        <f>ROUND(G94-(E94-D94)*(G94-I94)/(F94-D94),2)</f>
        <v>1.52</v>
      </c>
      <c r="I94" s="28">
        <f>VLOOKUP(F94,'0.시설공사비 산정근거'!$A$150:$F$166,2,FALSE)</f>
        <v>1.5</v>
      </c>
      <c r="J94" s="29">
        <f>ROUND(E94*H94/100,0)</f>
        <v>39</v>
      </c>
    </row>
    <row r="95" spans="1:10" s="22" customFormat="1" ht="15.95" customHeight="1" x14ac:dyDescent="0.2">
      <c r="A95" s="24" t="str">
        <f t="shared" ref="A95:A97" si="17">A94</f>
        <v>지좌처리분구</v>
      </c>
      <c r="B95" s="364" t="s">
        <v>79</v>
      </c>
      <c r="C95" s="364"/>
      <c r="D95" s="27">
        <f t="shared" ref="D95:D126" si="18">D94</f>
        <v>2000</v>
      </c>
      <c r="E95" s="27">
        <f t="shared" ref="E95:E97" si="19">E94</f>
        <v>2564</v>
      </c>
      <c r="F95" s="27">
        <f t="shared" ref="F95:F127" si="20">F94</f>
        <v>3000</v>
      </c>
      <c r="G95" s="28">
        <f>VLOOKUP(D95,'0.시설공사비 산정근거'!$A$150:$F$166,3,FALSE)</f>
        <v>3.11</v>
      </c>
      <c r="H95" s="28">
        <f>ROUND(G95-(E95-D95)*(G95-I95)/(F95-D95),2)</f>
        <v>3.05</v>
      </c>
      <c r="I95" s="28">
        <f>VLOOKUP(F95,'0.시설공사비 산정근거'!$A$150:$F$166,3,FALSE)</f>
        <v>3</v>
      </c>
      <c r="J95" s="29">
        <f>ROUND(E95*H95/100,0)</f>
        <v>78</v>
      </c>
    </row>
    <row r="96" spans="1:10" s="22" customFormat="1" ht="15.95" customHeight="1" x14ac:dyDescent="0.2">
      <c r="A96" s="24" t="str">
        <f t="shared" si="17"/>
        <v>지좌처리분구</v>
      </c>
      <c r="B96" s="364" t="s">
        <v>80</v>
      </c>
      <c r="C96" s="364"/>
      <c r="D96" s="27">
        <f t="shared" si="18"/>
        <v>2000</v>
      </c>
      <c r="E96" s="27">
        <f t="shared" si="19"/>
        <v>2564</v>
      </c>
      <c r="F96" s="27">
        <f t="shared" si="20"/>
        <v>3000</v>
      </c>
      <c r="G96" s="28">
        <f>VLOOKUP(D96,'0.시설공사비 산정근거'!$A$150:$F$166,4,FALSE)</f>
        <v>1.53</v>
      </c>
      <c r="H96" s="28">
        <f>ROUND(G96-(E96-D96)*(G96-I96)/(F96-D96),2)</f>
        <v>1.5</v>
      </c>
      <c r="I96" s="28">
        <f>VLOOKUP(F96,'0.시설공사비 산정근거'!$A$150:$F$166,4,FALSE)</f>
        <v>1.48</v>
      </c>
      <c r="J96" s="29">
        <f>ROUND(E96*H96/100,0)</f>
        <v>38</v>
      </c>
    </row>
    <row r="97" spans="1:10" s="22" customFormat="1" ht="15.95" customHeight="1" x14ac:dyDescent="0.2">
      <c r="A97" s="25" t="str">
        <f t="shared" si="17"/>
        <v>지좌처리분구</v>
      </c>
      <c r="B97" s="364" t="s">
        <v>81</v>
      </c>
      <c r="C97" s="364"/>
      <c r="D97" s="27">
        <f t="shared" ref="D97:D127" si="21">D95</f>
        <v>2000</v>
      </c>
      <c r="E97" s="27">
        <f t="shared" si="19"/>
        <v>2564</v>
      </c>
      <c r="F97" s="27">
        <f t="shared" si="20"/>
        <v>3000</v>
      </c>
      <c r="G97" s="28">
        <f>VLOOKUP(D97,'0.시설공사비 산정근거'!$A$150:$F$166,6,FALSE)</f>
        <v>0.36</v>
      </c>
      <c r="H97" s="28">
        <f>ROUND(G97-(E97-D97)*(G97-I97)/(F97-D97),2)</f>
        <v>0.36</v>
      </c>
      <c r="I97" s="28">
        <f>VLOOKUP(F97,'0.시설공사비 산정근거'!$A$150:$F$166,6,FALSE)</f>
        <v>0.36</v>
      </c>
      <c r="J97" s="29">
        <f>ROUND(E97*H97/100,0)</f>
        <v>9</v>
      </c>
    </row>
    <row r="98" spans="1:10" s="22" customFormat="1" ht="15.95" customHeight="1" x14ac:dyDescent="0.2">
      <c r="A98" s="18" t="s">
        <v>468</v>
      </c>
      <c r="B98" s="425" t="s">
        <v>190</v>
      </c>
      <c r="C98" s="425"/>
      <c r="D98" s="20"/>
      <c r="E98" s="20"/>
      <c r="F98" s="20"/>
      <c r="G98" s="20"/>
      <c r="H98" s="20"/>
      <c r="I98" s="20"/>
      <c r="J98" s="21">
        <f>SUM(J99:J102)</f>
        <v>122</v>
      </c>
    </row>
    <row r="99" spans="1:10" s="22" customFormat="1" ht="15.95" customHeight="1" x14ac:dyDescent="0.2">
      <c r="A99" s="23" t="str">
        <f>A98</f>
        <v>어모처리분구</v>
      </c>
      <c r="B99" s="364" t="s">
        <v>78</v>
      </c>
      <c r="C99" s="364"/>
      <c r="D99" s="27">
        <f t="shared" si="10"/>
        <v>1000</v>
      </c>
      <c r="E99" s="27">
        <f>I36</f>
        <v>1838</v>
      </c>
      <c r="F99" s="27">
        <f t="shared" si="16"/>
        <v>2000</v>
      </c>
      <c r="G99" s="28">
        <f>VLOOKUP(D99,'0.시설공사비 산정근거'!$A$150:$F$166,2,FALSE)</f>
        <v>1.69</v>
      </c>
      <c r="H99" s="28">
        <f>ROUND(G99-(E99-D99)*(G99-I99)/(F99-D99),2)</f>
        <v>1.57</v>
      </c>
      <c r="I99" s="28">
        <f>VLOOKUP(F99,'0.시설공사비 산정근거'!$A$150:$F$166,2,FALSE)</f>
        <v>1.55</v>
      </c>
      <c r="J99" s="29">
        <f>ROUND(E99*H99/100,0)</f>
        <v>29</v>
      </c>
    </row>
    <row r="100" spans="1:10" s="22" customFormat="1" ht="15.95" customHeight="1" x14ac:dyDescent="0.2">
      <c r="A100" s="24" t="str">
        <f t="shared" ref="A100:A102" si="22">A99</f>
        <v>어모처리분구</v>
      </c>
      <c r="B100" s="364" t="s">
        <v>79</v>
      </c>
      <c r="C100" s="364"/>
      <c r="D100" s="27">
        <f t="shared" si="18"/>
        <v>1000</v>
      </c>
      <c r="E100" s="27">
        <f t="shared" ref="E100:E102" si="23">E99</f>
        <v>1838</v>
      </c>
      <c r="F100" s="27">
        <f t="shared" si="20"/>
        <v>2000</v>
      </c>
      <c r="G100" s="28">
        <f>VLOOKUP(D100,'0.시설공사비 산정근거'!$A$150:$F$166,3,FALSE)</f>
        <v>3.38</v>
      </c>
      <c r="H100" s="28">
        <f>ROUND(G100-(E100-D100)*(G100-I100)/(F100-D100),2)</f>
        <v>3.15</v>
      </c>
      <c r="I100" s="28">
        <f>VLOOKUP(F100,'0.시설공사비 산정근거'!$A$150:$F$166,3,FALSE)</f>
        <v>3.11</v>
      </c>
      <c r="J100" s="29">
        <f>ROUND(E100*H100/100,0)</f>
        <v>58</v>
      </c>
    </row>
    <row r="101" spans="1:10" s="22" customFormat="1" ht="15.95" customHeight="1" x14ac:dyDescent="0.2">
      <c r="A101" s="24" t="str">
        <f t="shared" si="22"/>
        <v>어모처리분구</v>
      </c>
      <c r="B101" s="364" t="s">
        <v>80</v>
      </c>
      <c r="C101" s="364"/>
      <c r="D101" s="27">
        <f t="shared" si="18"/>
        <v>1000</v>
      </c>
      <c r="E101" s="27">
        <f t="shared" si="23"/>
        <v>1838</v>
      </c>
      <c r="F101" s="27">
        <f t="shared" si="20"/>
        <v>2000</v>
      </c>
      <c r="G101" s="28">
        <f>VLOOKUP(D101,'0.시설공사비 산정근거'!$A$150:$F$166,4,FALSE)</f>
        <v>1.66</v>
      </c>
      <c r="H101" s="28">
        <f>ROUND(G101-(E101-D101)*(G101-I101)/(F101-D101),2)</f>
        <v>1.55</v>
      </c>
      <c r="I101" s="28">
        <f>VLOOKUP(F101,'0.시설공사비 산정근거'!$A$150:$F$166,4,FALSE)</f>
        <v>1.53</v>
      </c>
      <c r="J101" s="29">
        <f>ROUND(E101*H101/100,0)</f>
        <v>28</v>
      </c>
    </row>
    <row r="102" spans="1:10" s="22" customFormat="1" ht="15.95" customHeight="1" x14ac:dyDescent="0.2">
      <c r="A102" s="25" t="str">
        <f t="shared" si="22"/>
        <v>어모처리분구</v>
      </c>
      <c r="B102" s="364" t="s">
        <v>81</v>
      </c>
      <c r="C102" s="364"/>
      <c r="D102" s="27">
        <f t="shared" si="21"/>
        <v>1000</v>
      </c>
      <c r="E102" s="27">
        <f t="shared" si="23"/>
        <v>1838</v>
      </c>
      <c r="F102" s="27">
        <f t="shared" si="20"/>
        <v>2000</v>
      </c>
      <c r="G102" s="28">
        <f>VLOOKUP(D102,'0.시설공사비 산정근거'!$A$150:$F$166,6,FALSE)</f>
        <v>0.63</v>
      </c>
      <c r="H102" s="28">
        <f>ROUND(G102-(E102-D102)*(G102-I102)/(F102-D102),2)</f>
        <v>0.4</v>
      </c>
      <c r="I102" s="28">
        <f>VLOOKUP(F102,'0.시설공사비 산정근거'!$A$150:$F$166,6,FALSE)</f>
        <v>0.36</v>
      </c>
      <c r="J102" s="29">
        <f>ROUND(E102*H102/100,0)</f>
        <v>7</v>
      </c>
    </row>
    <row r="103" spans="1:10" s="22" customFormat="1" ht="15.95" customHeight="1" x14ac:dyDescent="0.2">
      <c r="A103" s="18" t="s">
        <v>469</v>
      </c>
      <c r="B103" s="425" t="s">
        <v>190</v>
      </c>
      <c r="C103" s="425"/>
      <c r="D103" s="20"/>
      <c r="E103" s="20"/>
      <c r="F103" s="20"/>
      <c r="G103" s="20"/>
      <c r="H103" s="20"/>
      <c r="I103" s="20"/>
      <c r="J103" s="21">
        <f>SUM(J104:J107)</f>
        <v>82</v>
      </c>
    </row>
    <row r="104" spans="1:10" s="22" customFormat="1" ht="15.95" customHeight="1" x14ac:dyDescent="0.2">
      <c r="A104" s="23" t="str">
        <f>A103</f>
        <v>봉산처리분구</v>
      </c>
      <c r="B104" s="364" t="s">
        <v>78</v>
      </c>
      <c r="C104" s="364"/>
      <c r="D104" s="27">
        <f t="shared" si="10"/>
        <v>1000</v>
      </c>
      <c r="E104" s="27">
        <f>I42</f>
        <v>1124</v>
      </c>
      <c r="F104" s="27">
        <f t="shared" si="16"/>
        <v>2000</v>
      </c>
      <c r="G104" s="28">
        <f>VLOOKUP(D104,'0.시설공사비 산정근거'!$A$150:$F$166,2,FALSE)</f>
        <v>1.69</v>
      </c>
      <c r="H104" s="28">
        <f>ROUND(G104-(E104-D104)*(G104-I104)/(F104-D104),2)</f>
        <v>1.67</v>
      </c>
      <c r="I104" s="28">
        <f>VLOOKUP(F104,'0.시설공사비 산정근거'!$A$150:$F$166,2,FALSE)</f>
        <v>1.55</v>
      </c>
      <c r="J104" s="29">
        <f>ROUND(E104*H104/100,0)</f>
        <v>19</v>
      </c>
    </row>
    <row r="105" spans="1:10" s="22" customFormat="1" ht="15.95" customHeight="1" x14ac:dyDescent="0.2">
      <c r="A105" s="24" t="str">
        <f t="shared" ref="A105:A107" si="24">A104</f>
        <v>봉산처리분구</v>
      </c>
      <c r="B105" s="364" t="s">
        <v>79</v>
      </c>
      <c r="C105" s="364"/>
      <c r="D105" s="27">
        <f t="shared" si="18"/>
        <v>1000</v>
      </c>
      <c r="E105" s="27">
        <f t="shared" ref="E105:E107" si="25">E104</f>
        <v>1124</v>
      </c>
      <c r="F105" s="27">
        <f t="shared" si="20"/>
        <v>2000</v>
      </c>
      <c r="G105" s="28">
        <f>VLOOKUP(D105,'0.시설공사비 산정근거'!$A$150:$F$166,3,FALSE)</f>
        <v>3.38</v>
      </c>
      <c r="H105" s="28">
        <f>ROUND(G105-(E105-D105)*(G105-I105)/(F105-D105),2)</f>
        <v>3.35</v>
      </c>
      <c r="I105" s="28">
        <f>VLOOKUP(F105,'0.시설공사비 산정근거'!$A$150:$F$166,3,FALSE)</f>
        <v>3.11</v>
      </c>
      <c r="J105" s="29">
        <f>ROUND(E105*H105/100,0)</f>
        <v>38</v>
      </c>
    </row>
    <row r="106" spans="1:10" s="22" customFormat="1" ht="15.95" customHeight="1" x14ac:dyDescent="0.2">
      <c r="A106" s="24" t="str">
        <f t="shared" si="24"/>
        <v>봉산처리분구</v>
      </c>
      <c r="B106" s="364" t="s">
        <v>80</v>
      </c>
      <c r="C106" s="364"/>
      <c r="D106" s="27">
        <f t="shared" si="18"/>
        <v>1000</v>
      </c>
      <c r="E106" s="27">
        <f t="shared" si="25"/>
        <v>1124</v>
      </c>
      <c r="F106" s="27">
        <f t="shared" si="20"/>
        <v>2000</v>
      </c>
      <c r="G106" s="28">
        <f>VLOOKUP(D106,'0.시설공사비 산정근거'!$A$150:$F$166,4,FALSE)</f>
        <v>1.66</v>
      </c>
      <c r="H106" s="28">
        <f>ROUND(G106-(E106-D106)*(G106-I106)/(F106-D106),2)</f>
        <v>1.64</v>
      </c>
      <c r="I106" s="28">
        <f>VLOOKUP(F106,'0.시설공사비 산정근거'!$A$150:$F$166,4,FALSE)</f>
        <v>1.53</v>
      </c>
      <c r="J106" s="29">
        <f>ROUND(E106*H106/100,0)</f>
        <v>18</v>
      </c>
    </row>
    <row r="107" spans="1:10" s="22" customFormat="1" ht="15.95" customHeight="1" x14ac:dyDescent="0.2">
      <c r="A107" s="25" t="str">
        <f t="shared" si="24"/>
        <v>봉산처리분구</v>
      </c>
      <c r="B107" s="364" t="s">
        <v>81</v>
      </c>
      <c r="C107" s="364"/>
      <c r="D107" s="27">
        <f t="shared" si="21"/>
        <v>1000</v>
      </c>
      <c r="E107" s="27">
        <f t="shared" si="25"/>
        <v>1124</v>
      </c>
      <c r="F107" s="27">
        <f t="shared" si="20"/>
        <v>2000</v>
      </c>
      <c r="G107" s="28">
        <f>VLOOKUP(D107,'0.시설공사비 산정근거'!$A$150:$F$166,6,FALSE)</f>
        <v>0.63</v>
      </c>
      <c r="H107" s="28">
        <f>ROUND(G107-(E107-D107)*(G107-I107)/(F107-D107),2)</f>
        <v>0.6</v>
      </c>
      <c r="I107" s="28">
        <f>VLOOKUP(F107,'0.시설공사비 산정근거'!$A$150:$F$166,6,FALSE)</f>
        <v>0.36</v>
      </c>
      <c r="J107" s="29">
        <f>ROUND(E107*H107/100,0)</f>
        <v>7</v>
      </c>
    </row>
    <row r="108" spans="1:10" s="22" customFormat="1" ht="15.95" customHeight="1" x14ac:dyDescent="0.2">
      <c r="A108" s="18" t="s">
        <v>470</v>
      </c>
      <c r="B108" s="425" t="s">
        <v>190</v>
      </c>
      <c r="C108" s="425"/>
      <c r="D108" s="20"/>
      <c r="E108" s="20"/>
      <c r="F108" s="20"/>
      <c r="G108" s="20"/>
      <c r="H108" s="20"/>
      <c r="I108" s="20"/>
      <c r="J108" s="21">
        <f>SUM(J109:J112)</f>
        <v>17</v>
      </c>
    </row>
    <row r="109" spans="1:10" s="22" customFormat="1" ht="15.95" customHeight="1" x14ac:dyDescent="0.2">
      <c r="A109" s="23" t="str">
        <f>A108</f>
        <v>교동처리분구</v>
      </c>
      <c r="B109" s="364" t="s">
        <v>78</v>
      </c>
      <c r="C109" s="364"/>
      <c r="D109" s="27">
        <f>ROUNDDOWN(E109,-2)</f>
        <v>100</v>
      </c>
      <c r="E109" s="27">
        <f>I48</f>
        <v>168</v>
      </c>
      <c r="F109" s="27">
        <f>ROUNDUP(E109,-2)</f>
        <v>200</v>
      </c>
      <c r="G109" s="28">
        <f>VLOOKUP(D109,'0.시설공사비 산정근거'!$A$150:$F$166,2,FALSE)</f>
        <v>2.9</v>
      </c>
      <c r="H109" s="28">
        <f>ROUND(G109-(E109-D109)*(G109-I109)/(F109-D109),2)</f>
        <v>2.5</v>
      </c>
      <c r="I109" s="28">
        <f>VLOOKUP(F109,'0.시설공사비 산정근거'!$A$150:$F$166,2,FALSE)</f>
        <v>2.31</v>
      </c>
      <c r="J109" s="29">
        <f>ROUND(E109*H109/100,0)</f>
        <v>4</v>
      </c>
    </row>
    <row r="110" spans="1:10" s="22" customFormat="1" ht="15.95" customHeight="1" x14ac:dyDescent="0.2">
      <c r="A110" s="24" t="str">
        <f t="shared" ref="A110:A112" si="26">A109</f>
        <v>교동처리분구</v>
      </c>
      <c r="B110" s="364" t="s">
        <v>79</v>
      </c>
      <c r="C110" s="364"/>
      <c r="D110" s="27">
        <f t="shared" si="18"/>
        <v>100</v>
      </c>
      <c r="E110" s="27">
        <f t="shared" ref="E110:E112" si="27">E109</f>
        <v>168</v>
      </c>
      <c r="F110" s="27">
        <f t="shared" si="20"/>
        <v>200</v>
      </c>
      <c r="G110" s="28">
        <f>VLOOKUP(D110,'0.시설공사비 산정근거'!$A$150:$F$166,3,FALSE)</f>
        <v>5.78</v>
      </c>
      <c r="H110" s="28">
        <f>ROUND(G110-(E110-D110)*(G110-I110)/(F110-D110),2)</f>
        <v>4.99</v>
      </c>
      <c r="I110" s="28">
        <f>VLOOKUP(F110,'0.시설공사비 산정근거'!$A$150:$F$166,3,FALSE)</f>
        <v>4.62</v>
      </c>
      <c r="J110" s="29">
        <f>ROUND(E110*H110/100,0)</f>
        <v>8</v>
      </c>
    </row>
    <row r="111" spans="1:10" s="22" customFormat="1" ht="15.95" customHeight="1" x14ac:dyDescent="0.2">
      <c r="A111" s="24" t="str">
        <f t="shared" si="26"/>
        <v>교동처리분구</v>
      </c>
      <c r="B111" s="364" t="s">
        <v>80</v>
      </c>
      <c r="C111" s="364"/>
      <c r="D111" s="27">
        <f t="shared" si="18"/>
        <v>100</v>
      </c>
      <c r="E111" s="27">
        <f t="shared" si="27"/>
        <v>168</v>
      </c>
      <c r="F111" s="27">
        <f t="shared" si="20"/>
        <v>200</v>
      </c>
      <c r="G111" s="28">
        <f>VLOOKUP(D111,'0.시설공사비 산정근거'!$A$150:$F$166,4,FALSE)</f>
        <v>2.85</v>
      </c>
      <c r="H111" s="28">
        <f>ROUND(G111-(E111-D111)*(G111-I111)/(F111-D111),2)</f>
        <v>2.4500000000000002</v>
      </c>
      <c r="I111" s="28">
        <f>VLOOKUP(F111,'0.시설공사비 산정근거'!$A$150:$F$166,4,FALSE)</f>
        <v>2.2599999999999998</v>
      </c>
      <c r="J111" s="29">
        <f>ROUND(E111*H111/100,0)</f>
        <v>4</v>
      </c>
    </row>
    <row r="112" spans="1:10" s="22" customFormat="1" ht="15.95" customHeight="1" x14ac:dyDescent="0.2">
      <c r="A112" s="25" t="str">
        <f t="shared" si="26"/>
        <v>교동처리분구</v>
      </c>
      <c r="B112" s="364" t="s">
        <v>81</v>
      </c>
      <c r="C112" s="364"/>
      <c r="D112" s="27">
        <f t="shared" si="21"/>
        <v>100</v>
      </c>
      <c r="E112" s="27">
        <f t="shared" si="27"/>
        <v>168</v>
      </c>
      <c r="F112" s="27">
        <f t="shared" si="20"/>
        <v>200</v>
      </c>
      <c r="G112" s="28">
        <f>VLOOKUP(D112,'0.시설공사비 산정근거'!$A$150:$F$166,6,FALSE)</f>
        <v>0.9</v>
      </c>
      <c r="H112" s="28">
        <f>ROUND(G112-(E112-D112)*(G112-I112)/(F112-D112),2)</f>
        <v>0.78</v>
      </c>
      <c r="I112" s="28">
        <f>VLOOKUP(F112,'0.시설공사비 산정근거'!$A$150:$F$166,6,FALSE)</f>
        <v>0.72</v>
      </c>
      <c r="J112" s="29">
        <f>ROUND(E112*H112/100,0)</f>
        <v>1</v>
      </c>
    </row>
    <row r="113" spans="1:10" s="22" customFormat="1" ht="15.95" customHeight="1" x14ac:dyDescent="0.2">
      <c r="A113" s="243" t="s">
        <v>591</v>
      </c>
      <c r="B113" s="425" t="s">
        <v>77</v>
      </c>
      <c r="C113" s="425"/>
      <c r="D113" s="20"/>
      <c r="E113" s="20"/>
      <c r="F113" s="20"/>
      <c r="G113" s="20"/>
      <c r="H113" s="20"/>
      <c r="I113" s="20"/>
      <c r="J113" s="21">
        <f>SUM(J114:J117)</f>
        <v>168</v>
      </c>
    </row>
    <row r="114" spans="1:10" s="22" customFormat="1" ht="15.95" customHeight="1" x14ac:dyDescent="0.2">
      <c r="A114" s="23" t="str">
        <f>A113</f>
        <v>혁신도시처리분구</v>
      </c>
      <c r="B114" s="364" t="s">
        <v>78</v>
      </c>
      <c r="C114" s="364"/>
      <c r="D114" s="27">
        <f t="shared" si="10"/>
        <v>2000</v>
      </c>
      <c r="E114" s="27">
        <f>I53</f>
        <v>2617</v>
      </c>
      <c r="F114" s="27">
        <f t="shared" ref="F114" si="28">ROUNDUP(E114,-3)</f>
        <v>3000</v>
      </c>
      <c r="G114" s="28">
        <f>VLOOKUP(D114,'0.시설공사비 산정근거'!$A$150:$F$166,2,FALSE)</f>
        <v>1.55</v>
      </c>
      <c r="H114" s="28">
        <f>ROUND(G114-(E114-D114)*(G114-I114)/(F114-D114),2)</f>
        <v>1.52</v>
      </c>
      <c r="I114" s="28">
        <f>VLOOKUP(F114,'0.시설공사비 산정근거'!$A$150:$F$166,2,FALSE)</f>
        <v>1.5</v>
      </c>
      <c r="J114" s="29">
        <f>ROUND(E114*H114/100,0)</f>
        <v>40</v>
      </c>
    </row>
    <row r="115" spans="1:10" s="22" customFormat="1" ht="15.95" customHeight="1" x14ac:dyDescent="0.2">
      <c r="A115" s="24" t="str">
        <f t="shared" ref="A115:A117" si="29">A114</f>
        <v>혁신도시처리분구</v>
      </c>
      <c r="B115" s="364" t="s">
        <v>79</v>
      </c>
      <c r="C115" s="364"/>
      <c r="D115" s="27">
        <f t="shared" si="18"/>
        <v>2000</v>
      </c>
      <c r="E115" s="27">
        <f t="shared" ref="E115:E117" si="30">E114</f>
        <v>2617</v>
      </c>
      <c r="F115" s="27">
        <f t="shared" si="20"/>
        <v>3000</v>
      </c>
      <c r="G115" s="28">
        <f>VLOOKUP(D115,'0.시설공사비 산정근거'!$A$150:$F$166,3,FALSE)</f>
        <v>3.11</v>
      </c>
      <c r="H115" s="28">
        <f>ROUND(G115-(E115-D115)*(G115-I115)/(F115-D115),2)</f>
        <v>3.04</v>
      </c>
      <c r="I115" s="28">
        <f>VLOOKUP(F115,'0.시설공사비 산정근거'!$A$150:$F$166,3,FALSE)</f>
        <v>3</v>
      </c>
      <c r="J115" s="29">
        <f>ROUND(E115*H115/100,0)</f>
        <v>80</v>
      </c>
    </row>
    <row r="116" spans="1:10" s="22" customFormat="1" ht="15.95" customHeight="1" x14ac:dyDescent="0.2">
      <c r="A116" s="24" t="str">
        <f t="shared" si="29"/>
        <v>혁신도시처리분구</v>
      </c>
      <c r="B116" s="364" t="s">
        <v>62</v>
      </c>
      <c r="C116" s="364"/>
      <c r="D116" s="27">
        <f t="shared" si="18"/>
        <v>2000</v>
      </c>
      <c r="E116" s="27">
        <f t="shared" si="30"/>
        <v>2617</v>
      </c>
      <c r="F116" s="27">
        <f t="shared" si="20"/>
        <v>3000</v>
      </c>
      <c r="G116" s="28">
        <f>VLOOKUP(D116,'0.시설공사비 산정근거'!$A$150:$F$166,4,FALSE)</f>
        <v>1.53</v>
      </c>
      <c r="H116" s="28">
        <f>ROUND(G116-(E116-D116)*(G116-I116)/(F116-D116),2)</f>
        <v>1.5</v>
      </c>
      <c r="I116" s="28">
        <f>VLOOKUP(F116,'0.시설공사비 산정근거'!$A$150:$F$166,4,FALSE)</f>
        <v>1.48</v>
      </c>
      <c r="J116" s="29">
        <f>ROUND(E116*H116/100,0)</f>
        <v>39</v>
      </c>
    </row>
    <row r="117" spans="1:10" s="22" customFormat="1" ht="15.95" customHeight="1" x14ac:dyDescent="0.2">
      <c r="A117" s="25" t="str">
        <f t="shared" si="29"/>
        <v>혁신도시처리분구</v>
      </c>
      <c r="B117" s="364" t="s">
        <v>81</v>
      </c>
      <c r="C117" s="364"/>
      <c r="D117" s="27">
        <f t="shared" si="21"/>
        <v>2000</v>
      </c>
      <c r="E117" s="27">
        <f t="shared" si="30"/>
        <v>2617</v>
      </c>
      <c r="F117" s="27">
        <f t="shared" si="20"/>
        <v>3000</v>
      </c>
      <c r="G117" s="28">
        <f>VLOOKUP(D117,'0.시설공사비 산정근거'!$A$150:$F$166,6,FALSE)</f>
        <v>0.36</v>
      </c>
      <c r="H117" s="28">
        <f>ROUND(G117-(E117-D117)*(G117-I117)/(F117-D117),2)</f>
        <v>0.36</v>
      </c>
      <c r="I117" s="28">
        <f>VLOOKUP(F117,'0.시설공사비 산정근거'!$A$150:$F$166,6,FALSE)</f>
        <v>0.36</v>
      </c>
      <c r="J117" s="29">
        <f>ROUND(E117*H117/100,0)</f>
        <v>9</v>
      </c>
    </row>
    <row r="118" spans="1:10" s="22" customFormat="1" ht="15.95" customHeight="1" x14ac:dyDescent="0.2">
      <c r="A118" s="18" t="s">
        <v>466</v>
      </c>
      <c r="B118" s="425" t="s">
        <v>190</v>
      </c>
      <c r="C118" s="425"/>
      <c r="D118" s="20"/>
      <c r="E118" s="20"/>
      <c r="F118" s="20"/>
      <c r="G118" s="20"/>
      <c r="H118" s="20"/>
      <c r="I118" s="20"/>
      <c r="J118" s="21">
        <f>SUM(J119:J122)</f>
        <v>458</v>
      </c>
    </row>
    <row r="119" spans="1:10" s="22" customFormat="1" ht="15.95" customHeight="1" x14ac:dyDescent="0.2">
      <c r="A119" s="23" t="str">
        <f>A118</f>
        <v>송천처리분구</v>
      </c>
      <c r="B119" s="364" t="s">
        <v>78</v>
      </c>
      <c r="C119" s="364"/>
      <c r="D119" s="27">
        <v>5000</v>
      </c>
      <c r="E119" s="27">
        <f>I61</f>
        <v>7580</v>
      </c>
      <c r="F119" s="27">
        <v>10000</v>
      </c>
      <c r="G119" s="28">
        <f>VLOOKUP(D119,'0.시설공사비 산정근거'!$A$150:$F$166,2,FALSE)</f>
        <v>1.47</v>
      </c>
      <c r="H119" s="28">
        <f>ROUND(G119-(E119-D119)*(G119-I119)/(F119-D119),2)</f>
        <v>1.45</v>
      </c>
      <c r="I119" s="28">
        <f>VLOOKUP(F119,'0.시설공사비 산정근거'!$A$150:$F$166,2,FALSE)</f>
        <v>1.44</v>
      </c>
      <c r="J119" s="29">
        <f>ROUND(E119*H119/100,0)</f>
        <v>110</v>
      </c>
    </row>
    <row r="120" spans="1:10" s="22" customFormat="1" ht="15.95" customHeight="1" x14ac:dyDescent="0.2">
      <c r="A120" s="24" t="str">
        <f t="shared" ref="A120:A122" si="31">A119</f>
        <v>송천처리분구</v>
      </c>
      <c r="B120" s="364" t="s">
        <v>79</v>
      </c>
      <c r="C120" s="364"/>
      <c r="D120" s="27">
        <f t="shared" si="18"/>
        <v>5000</v>
      </c>
      <c r="E120" s="27">
        <f t="shared" ref="E120:E122" si="32">E119</f>
        <v>7580</v>
      </c>
      <c r="F120" s="27">
        <f t="shared" si="20"/>
        <v>10000</v>
      </c>
      <c r="G120" s="28">
        <f>VLOOKUP(D120,'0.시설공사비 산정근거'!$A$150:$F$166,3,FALSE)</f>
        <v>2.94</v>
      </c>
      <c r="H120" s="28">
        <f>ROUND(G120-(E120-D120)*(G120-I120)/(F120-D120),2)</f>
        <v>2.9</v>
      </c>
      <c r="I120" s="28">
        <f>VLOOKUP(F120,'0.시설공사비 산정근거'!$A$150:$F$166,3,FALSE)</f>
        <v>2.87</v>
      </c>
      <c r="J120" s="29">
        <f>ROUND(E120*H120/100,0)</f>
        <v>220</v>
      </c>
    </row>
    <row r="121" spans="1:10" s="22" customFormat="1" ht="15.95" customHeight="1" x14ac:dyDescent="0.2">
      <c r="A121" s="24" t="str">
        <f t="shared" si="31"/>
        <v>송천처리분구</v>
      </c>
      <c r="B121" s="364" t="s">
        <v>80</v>
      </c>
      <c r="C121" s="364"/>
      <c r="D121" s="27">
        <f t="shared" si="18"/>
        <v>5000</v>
      </c>
      <c r="E121" s="27">
        <f t="shared" si="32"/>
        <v>7580</v>
      </c>
      <c r="F121" s="27">
        <f t="shared" si="20"/>
        <v>10000</v>
      </c>
      <c r="G121" s="28">
        <f>VLOOKUP(D121,'0.시설공사비 산정근거'!$A$150:$F$166,4,FALSE)</f>
        <v>1.45</v>
      </c>
      <c r="H121" s="28">
        <f>ROUND(G121-(E121-D121)*(G121-I121)/(F121-D121),2)</f>
        <v>1.43</v>
      </c>
      <c r="I121" s="28">
        <f>VLOOKUP(F121,'0.시설공사비 산정근거'!$A$150:$F$166,4,FALSE)</f>
        <v>1.41</v>
      </c>
      <c r="J121" s="29">
        <f>ROUND(E121*H121/100,0)</f>
        <v>108</v>
      </c>
    </row>
    <row r="122" spans="1:10" s="22" customFormat="1" ht="15.95" customHeight="1" x14ac:dyDescent="0.2">
      <c r="A122" s="25" t="str">
        <f t="shared" si="31"/>
        <v>송천처리분구</v>
      </c>
      <c r="B122" s="364" t="s">
        <v>81</v>
      </c>
      <c r="C122" s="364"/>
      <c r="D122" s="27">
        <f t="shared" si="21"/>
        <v>5000</v>
      </c>
      <c r="E122" s="27">
        <f t="shared" si="32"/>
        <v>7580</v>
      </c>
      <c r="F122" s="27">
        <f t="shared" si="20"/>
        <v>10000</v>
      </c>
      <c r="G122" s="28">
        <f>VLOOKUP(D122,'0.시설공사비 산정근거'!$A$150:$F$166,6,FALSE)</f>
        <v>0.27</v>
      </c>
      <c r="H122" s="28">
        <f>ROUND(G122-(E122-D122)*(G122-I122)/(F122-D122),2)</f>
        <v>0.26</v>
      </c>
      <c r="I122" s="28">
        <f>VLOOKUP(F122,'0.시설공사비 산정근거'!$A$150:$F$166,6,FALSE)</f>
        <v>0.25</v>
      </c>
      <c r="J122" s="29">
        <f>ROUND(E122*H122/100,0)</f>
        <v>20</v>
      </c>
    </row>
    <row r="123" spans="1:10" s="22" customFormat="1" ht="15.95" customHeight="1" x14ac:dyDescent="0.2">
      <c r="A123" s="18" t="s">
        <v>590</v>
      </c>
      <c r="B123" s="425" t="s">
        <v>77</v>
      </c>
      <c r="C123" s="425"/>
      <c r="D123" s="20"/>
      <c r="E123" s="20"/>
      <c r="F123" s="20"/>
      <c r="G123" s="20"/>
      <c r="H123" s="20"/>
      <c r="I123" s="20"/>
      <c r="J123" s="21">
        <f>SUM(J124:J127)</f>
        <v>163</v>
      </c>
    </row>
    <row r="124" spans="1:10" s="22" customFormat="1" ht="15.95" customHeight="1" x14ac:dyDescent="0.2">
      <c r="A124" s="23" t="str">
        <f>A123</f>
        <v>아포처리분구</v>
      </c>
      <c r="B124" s="364" t="s">
        <v>78</v>
      </c>
      <c r="C124" s="364"/>
      <c r="D124" s="27">
        <f t="shared" si="10"/>
        <v>2000</v>
      </c>
      <c r="E124" s="27">
        <f>I71</f>
        <v>2537</v>
      </c>
      <c r="F124" s="27">
        <f t="shared" ref="F124" si="33">ROUNDUP(E124,-3)</f>
        <v>3000</v>
      </c>
      <c r="G124" s="28">
        <f>VLOOKUP(D124,'0.시설공사비 산정근거'!$A$150:$F$166,2,FALSE)</f>
        <v>1.55</v>
      </c>
      <c r="H124" s="28">
        <f>ROUND(G124-(E124-D124)*(G124-I124)/(F124-D124),2)</f>
        <v>1.52</v>
      </c>
      <c r="I124" s="28">
        <f>VLOOKUP(F124,'0.시설공사비 산정근거'!$A$150:$F$166,2,FALSE)</f>
        <v>1.5</v>
      </c>
      <c r="J124" s="29">
        <f>ROUND(E124*H124/100,0)</f>
        <v>39</v>
      </c>
    </row>
    <row r="125" spans="1:10" s="22" customFormat="1" ht="15.95" customHeight="1" x14ac:dyDescent="0.2">
      <c r="A125" s="24" t="str">
        <f t="shared" ref="A125:A127" si="34">A124</f>
        <v>아포처리분구</v>
      </c>
      <c r="B125" s="364" t="s">
        <v>79</v>
      </c>
      <c r="C125" s="364"/>
      <c r="D125" s="27">
        <f t="shared" si="18"/>
        <v>2000</v>
      </c>
      <c r="E125" s="27">
        <f t="shared" ref="E125:E127" si="35">E124</f>
        <v>2537</v>
      </c>
      <c r="F125" s="27">
        <f t="shared" si="20"/>
        <v>3000</v>
      </c>
      <c r="G125" s="28">
        <f>VLOOKUP(D125,'0.시설공사비 산정근거'!$A$150:$F$166,3,FALSE)</f>
        <v>3.11</v>
      </c>
      <c r="H125" s="28">
        <f>ROUND(G125-(E125-D125)*(G125-I125)/(F125-D125),2)</f>
        <v>3.05</v>
      </c>
      <c r="I125" s="28">
        <f>VLOOKUP(F125,'0.시설공사비 산정근거'!$A$150:$F$166,3,FALSE)</f>
        <v>3</v>
      </c>
      <c r="J125" s="29">
        <f>ROUND(E125*H125/100,0)</f>
        <v>77</v>
      </c>
    </row>
    <row r="126" spans="1:10" s="22" customFormat="1" ht="15.95" customHeight="1" x14ac:dyDescent="0.2">
      <c r="A126" s="24" t="str">
        <f t="shared" si="34"/>
        <v>아포처리분구</v>
      </c>
      <c r="B126" s="364" t="s">
        <v>62</v>
      </c>
      <c r="C126" s="364"/>
      <c r="D126" s="27">
        <f t="shared" si="18"/>
        <v>2000</v>
      </c>
      <c r="E126" s="27">
        <f t="shared" si="35"/>
        <v>2537</v>
      </c>
      <c r="F126" s="27">
        <f t="shared" si="20"/>
        <v>3000</v>
      </c>
      <c r="G126" s="28">
        <f>VLOOKUP(D126,'0.시설공사비 산정근거'!$A$150:$F$166,4,FALSE)</f>
        <v>1.53</v>
      </c>
      <c r="H126" s="28">
        <f>ROUND(G126-(E126-D126)*(G126-I126)/(F126-D126),2)</f>
        <v>1.5</v>
      </c>
      <c r="I126" s="28">
        <f>VLOOKUP(F126,'0.시설공사비 산정근거'!$A$150:$F$166,4,FALSE)</f>
        <v>1.48</v>
      </c>
      <c r="J126" s="29">
        <f>ROUND(E126*H126/100,0)</f>
        <v>38</v>
      </c>
    </row>
    <row r="127" spans="1:10" s="22" customFormat="1" ht="15.95" customHeight="1" x14ac:dyDescent="0.2">
      <c r="A127" s="24" t="str">
        <f t="shared" si="34"/>
        <v>아포처리분구</v>
      </c>
      <c r="B127" s="475" t="s">
        <v>81</v>
      </c>
      <c r="C127" s="475"/>
      <c r="D127" s="91">
        <f t="shared" si="21"/>
        <v>2000</v>
      </c>
      <c r="E127" s="91">
        <f t="shared" si="35"/>
        <v>2537</v>
      </c>
      <c r="F127" s="27">
        <f t="shared" si="20"/>
        <v>3000</v>
      </c>
      <c r="G127" s="92">
        <f>VLOOKUP(D127,'0.시설공사비 산정근거'!$A$150:$F$166,6,FALSE)</f>
        <v>0.36</v>
      </c>
      <c r="H127" s="92">
        <f>ROUND(G127-(E127-D127)*(G127-I127)/(F127-D127),2)</f>
        <v>0.36</v>
      </c>
      <c r="I127" s="92">
        <f>VLOOKUP(F127,'0.시설공사비 산정근거'!$A$150:$F$166,6,FALSE)</f>
        <v>0.36</v>
      </c>
      <c r="J127" s="93">
        <f>ROUND(E127*H127/100,0)</f>
        <v>9</v>
      </c>
    </row>
    <row r="128" spans="1:10" s="22" customFormat="1" ht="15.95" customHeight="1" x14ac:dyDescent="0.2">
      <c r="A128" s="18" t="s">
        <v>597</v>
      </c>
      <c r="B128" s="425" t="s">
        <v>77</v>
      </c>
      <c r="C128" s="425"/>
      <c r="D128" s="20"/>
      <c r="E128" s="20"/>
      <c r="F128" s="20"/>
      <c r="G128" s="20"/>
      <c r="H128" s="20"/>
      <c r="I128" s="20"/>
      <c r="J128" s="21">
        <f>SUM(J129:J132)</f>
        <v>97</v>
      </c>
    </row>
    <row r="129" spans="1:10" s="22" customFormat="1" ht="15.95" customHeight="1" x14ac:dyDescent="0.2">
      <c r="A129" s="23" t="str">
        <f>A128</f>
        <v>대신처리분구</v>
      </c>
      <c r="B129" s="364" t="s">
        <v>78</v>
      </c>
      <c r="C129" s="364"/>
      <c r="D129" s="27">
        <f t="shared" ref="D129" si="36">ROUNDDOWN(E129,-3)</f>
        <v>1000</v>
      </c>
      <c r="E129" s="27">
        <f>I79</f>
        <v>1385</v>
      </c>
      <c r="F129" s="27">
        <f t="shared" ref="F129" si="37">ROUNDUP(E129,-3)</f>
        <v>2000</v>
      </c>
      <c r="G129" s="28">
        <f>VLOOKUP(D129,'0.시설공사비 산정근거'!$A$150:$F$166,2,FALSE)</f>
        <v>1.69</v>
      </c>
      <c r="H129" s="28">
        <f>ROUND(G129-(E129-D129)*(G129-I129)/(F129-D129),2)</f>
        <v>1.64</v>
      </c>
      <c r="I129" s="28">
        <f>VLOOKUP(F129,'0.시설공사비 산정근거'!$A$150:$F$166,2,FALSE)</f>
        <v>1.55</v>
      </c>
      <c r="J129" s="29">
        <f>ROUND(E129*H129/100,0)</f>
        <v>23</v>
      </c>
    </row>
    <row r="130" spans="1:10" s="22" customFormat="1" ht="15.95" customHeight="1" x14ac:dyDescent="0.2">
      <c r="A130" s="24" t="str">
        <f t="shared" ref="A130:A132" si="38">A129</f>
        <v>대신처리분구</v>
      </c>
      <c r="B130" s="364" t="s">
        <v>79</v>
      </c>
      <c r="C130" s="364"/>
      <c r="D130" s="27">
        <f t="shared" ref="D130:F132" si="39">D129</f>
        <v>1000</v>
      </c>
      <c r="E130" s="27">
        <f t="shared" si="39"/>
        <v>1385</v>
      </c>
      <c r="F130" s="27">
        <f t="shared" si="39"/>
        <v>2000</v>
      </c>
      <c r="G130" s="28">
        <f>VLOOKUP(D130,'0.시설공사비 산정근거'!$A$150:$F$166,3,FALSE)</f>
        <v>3.38</v>
      </c>
      <c r="H130" s="28">
        <f>ROUND(G130-(E130-D130)*(G130-I130)/(F130-D130),2)</f>
        <v>3.28</v>
      </c>
      <c r="I130" s="28">
        <f>VLOOKUP(F130,'0.시설공사비 산정근거'!$A$150:$F$166,3,FALSE)</f>
        <v>3.11</v>
      </c>
      <c r="J130" s="29">
        <f>ROUND(E130*H130/100,0)</f>
        <v>45</v>
      </c>
    </row>
    <row r="131" spans="1:10" s="22" customFormat="1" ht="15.95" customHeight="1" x14ac:dyDescent="0.2">
      <c r="A131" s="24" t="str">
        <f t="shared" si="38"/>
        <v>대신처리분구</v>
      </c>
      <c r="B131" s="364" t="s">
        <v>62</v>
      </c>
      <c r="C131" s="364"/>
      <c r="D131" s="27">
        <f t="shared" si="39"/>
        <v>1000</v>
      </c>
      <c r="E131" s="27">
        <f t="shared" si="39"/>
        <v>1385</v>
      </c>
      <c r="F131" s="27">
        <f t="shared" si="39"/>
        <v>2000</v>
      </c>
      <c r="G131" s="28">
        <f>VLOOKUP(D131,'0.시설공사비 산정근거'!$A$150:$F$166,4,FALSE)</f>
        <v>1.66</v>
      </c>
      <c r="H131" s="28">
        <f>ROUND(G131-(E131-D131)*(G131-I131)/(F131-D131),2)</f>
        <v>1.61</v>
      </c>
      <c r="I131" s="28">
        <f>VLOOKUP(F131,'0.시설공사비 산정근거'!$A$150:$F$166,4,FALSE)</f>
        <v>1.53</v>
      </c>
      <c r="J131" s="29">
        <f>ROUND(E131*H131/100,0)</f>
        <v>22</v>
      </c>
    </row>
    <row r="132" spans="1:10" s="22" customFormat="1" ht="15.95" customHeight="1" x14ac:dyDescent="0.2">
      <c r="A132" s="86" t="str">
        <f t="shared" si="38"/>
        <v>대신처리분구</v>
      </c>
      <c r="B132" s="366" t="s">
        <v>81</v>
      </c>
      <c r="C132" s="366"/>
      <c r="D132" s="40">
        <f t="shared" ref="D132" si="40">D130</f>
        <v>1000</v>
      </c>
      <c r="E132" s="40">
        <f t="shared" si="39"/>
        <v>1385</v>
      </c>
      <c r="F132" s="40">
        <f t="shared" si="39"/>
        <v>2000</v>
      </c>
      <c r="G132" s="41">
        <f>VLOOKUP(D132,'0.시설공사비 산정근거'!$A$150:$F$166,6,FALSE)</f>
        <v>0.63</v>
      </c>
      <c r="H132" s="41">
        <f>ROUND(G132-(E132-D132)*(G132-I132)/(F132-D132),2)</f>
        <v>0.53</v>
      </c>
      <c r="I132" s="41">
        <f>VLOOKUP(F132,'0.시설공사비 산정근거'!$A$150:$F$166,6,FALSE)</f>
        <v>0.36</v>
      </c>
      <c r="J132" s="42">
        <f>ROUND(E132*H132/100,0)</f>
        <v>7</v>
      </c>
    </row>
    <row r="134" spans="1:10" ht="15.95" customHeight="1" x14ac:dyDescent="0.2">
      <c r="A134" s="5" t="s">
        <v>211</v>
      </c>
      <c r="B134" s="5"/>
    </row>
    <row r="135" spans="1:10" ht="23.25" thickBot="1" x14ac:dyDescent="0.25">
      <c r="A135" s="255" t="s">
        <v>132</v>
      </c>
      <c r="B135" s="256"/>
      <c r="C135" s="256"/>
      <c r="D135" s="256"/>
      <c r="E135" s="51" t="s">
        <v>160</v>
      </c>
      <c r="F135" s="51" t="s">
        <v>200</v>
      </c>
      <c r="G135" s="51" t="s">
        <v>201</v>
      </c>
      <c r="H135" s="51" t="s">
        <v>202</v>
      </c>
      <c r="I135" s="51" t="s">
        <v>203</v>
      </c>
      <c r="J135" s="169" t="s">
        <v>137</v>
      </c>
    </row>
    <row r="136" spans="1:10" ht="15.95" customHeight="1" thickTop="1" x14ac:dyDescent="0.2">
      <c r="A136" s="333" t="s">
        <v>186</v>
      </c>
      <c r="B136" s="342" t="s">
        <v>186</v>
      </c>
      <c r="C136" s="342"/>
      <c r="D136" s="342"/>
      <c r="E136" s="101">
        <f t="shared" ref="E136:E199" si="41">SUM(F136:I136)</f>
        <v>25046</v>
      </c>
      <c r="F136" s="101">
        <f>F137+F138</f>
        <v>12826</v>
      </c>
      <c r="G136" s="101">
        <f>G137+G138</f>
        <v>12220</v>
      </c>
      <c r="H136" s="101">
        <f>H137+H138</f>
        <v>0</v>
      </c>
      <c r="I136" s="101">
        <f>I137+I138</f>
        <v>0</v>
      </c>
      <c r="J136" s="102"/>
    </row>
    <row r="137" spans="1:10" ht="15.95" customHeight="1" x14ac:dyDescent="0.2">
      <c r="A137" s="334"/>
      <c r="B137" s="335" t="s">
        <v>196</v>
      </c>
      <c r="C137" s="335"/>
      <c r="D137" s="335"/>
      <c r="E137" s="174">
        <f t="shared" si="41"/>
        <v>23541</v>
      </c>
      <c r="F137" s="174">
        <f>F144+F151+F158+F165+F172+F179+F187+F194+F201</f>
        <v>12039</v>
      </c>
      <c r="G137" s="253">
        <f t="shared" ref="G137:I137" si="42">G144+G151+G158+G165+G172+G179+G187+G194+G201</f>
        <v>11502</v>
      </c>
      <c r="H137" s="253">
        <f t="shared" si="42"/>
        <v>0</v>
      </c>
      <c r="I137" s="253">
        <f t="shared" si="42"/>
        <v>0</v>
      </c>
      <c r="J137" s="98"/>
    </row>
    <row r="138" spans="1:10" ht="15.95" customHeight="1" x14ac:dyDescent="0.2">
      <c r="A138" s="334"/>
      <c r="B138" s="335" t="s">
        <v>197</v>
      </c>
      <c r="C138" s="330" t="s">
        <v>236</v>
      </c>
      <c r="D138" s="330"/>
      <c r="E138" s="174">
        <f t="shared" si="41"/>
        <v>1505</v>
      </c>
      <c r="F138" s="174">
        <f t="shared" ref="F138:I138" si="43">SUM(F139:F142)</f>
        <v>787</v>
      </c>
      <c r="G138" s="174">
        <f t="shared" si="43"/>
        <v>718</v>
      </c>
      <c r="H138" s="174">
        <f t="shared" si="43"/>
        <v>0</v>
      </c>
      <c r="I138" s="174">
        <f t="shared" si="43"/>
        <v>0</v>
      </c>
      <c r="J138" s="98"/>
    </row>
    <row r="139" spans="1:10" ht="15.95" customHeight="1" x14ac:dyDescent="0.2">
      <c r="A139" s="334"/>
      <c r="B139" s="335"/>
      <c r="C139" s="364" t="s">
        <v>78</v>
      </c>
      <c r="D139" s="364"/>
      <c r="E139" s="174">
        <f t="shared" si="41"/>
        <v>359</v>
      </c>
      <c r="F139" s="253">
        <f t="shared" ref="F139:I139" si="44">F146+F153+F160+F167+F174+F181+F189+F196+F203</f>
        <v>187</v>
      </c>
      <c r="G139" s="253">
        <f t="shared" si="44"/>
        <v>172</v>
      </c>
      <c r="H139" s="253">
        <f t="shared" si="44"/>
        <v>0</v>
      </c>
      <c r="I139" s="253">
        <f t="shared" si="44"/>
        <v>0</v>
      </c>
      <c r="J139" s="98"/>
    </row>
    <row r="140" spans="1:10" ht="15.95" customHeight="1" x14ac:dyDescent="0.2">
      <c r="A140" s="334"/>
      <c r="B140" s="335"/>
      <c r="C140" s="364" t="s">
        <v>79</v>
      </c>
      <c r="D140" s="364"/>
      <c r="E140" s="174">
        <f t="shared" si="41"/>
        <v>715</v>
      </c>
      <c r="F140" s="253">
        <f t="shared" ref="F140:I140" si="45">F147+F154+F161+F168+F175+F182+F190+F197+F204</f>
        <v>373</v>
      </c>
      <c r="G140" s="253">
        <f t="shared" si="45"/>
        <v>342</v>
      </c>
      <c r="H140" s="253">
        <f t="shared" si="45"/>
        <v>0</v>
      </c>
      <c r="I140" s="253">
        <f t="shared" si="45"/>
        <v>0</v>
      </c>
      <c r="J140" s="98"/>
    </row>
    <row r="141" spans="1:10" ht="15.95" customHeight="1" x14ac:dyDescent="0.2">
      <c r="A141" s="334"/>
      <c r="B141" s="335"/>
      <c r="C141" s="364" t="s">
        <v>80</v>
      </c>
      <c r="D141" s="364"/>
      <c r="E141" s="174">
        <f t="shared" si="41"/>
        <v>350</v>
      </c>
      <c r="F141" s="253">
        <f t="shared" ref="F141:I141" si="46">F148+F155+F162+F169+F176+F183+F191+F198+F205</f>
        <v>182</v>
      </c>
      <c r="G141" s="253">
        <f t="shared" si="46"/>
        <v>168</v>
      </c>
      <c r="H141" s="253">
        <f t="shared" si="46"/>
        <v>0</v>
      </c>
      <c r="I141" s="253">
        <f t="shared" si="46"/>
        <v>0</v>
      </c>
      <c r="J141" s="98"/>
    </row>
    <row r="142" spans="1:10" ht="15.95" customHeight="1" x14ac:dyDescent="0.2">
      <c r="A142" s="334"/>
      <c r="B142" s="335"/>
      <c r="C142" s="364" t="s">
        <v>81</v>
      </c>
      <c r="D142" s="364"/>
      <c r="E142" s="174">
        <f t="shared" si="41"/>
        <v>81</v>
      </c>
      <c r="F142" s="253">
        <f t="shared" ref="F142:I142" si="47">F149+F156+F163+F170+F177+F184+F192+F199+F206</f>
        <v>45</v>
      </c>
      <c r="G142" s="253">
        <f t="shared" si="47"/>
        <v>36</v>
      </c>
      <c r="H142" s="253">
        <f t="shared" si="47"/>
        <v>0</v>
      </c>
      <c r="I142" s="253">
        <f t="shared" si="47"/>
        <v>0</v>
      </c>
      <c r="J142" s="98"/>
    </row>
    <row r="143" spans="1:10" ht="15.95" customHeight="1" x14ac:dyDescent="0.2">
      <c r="A143" s="334" t="s">
        <v>219</v>
      </c>
      <c r="B143" s="335" t="s">
        <v>85</v>
      </c>
      <c r="C143" s="335"/>
      <c r="D143" s="335"/>
      <c r="E143" s="174">
        <f t="shared" si="41"/>
        <v>3962</v>
      </c>
      <c r="F143" s="174">
        <f>F144+F145</f>
        <v>3962</v>
      </c>
      <c r="G143" s="174">
        <f>G144+G145</f>
        <v>0</v>
      </c>
      <c r="H143" s="174">
        <f>H144+H145</f>
        <v>0</v>
      </c>
      <c r="I143" s="174">
        <f>I144+I145</f>
        <v>0</v>
      </c>
      <c r="J143" s="98"/>
    </row>
    <row r="144" spans="1:10" ht="15.95" customHeight="1" x14ac:dyDescent="0.2">
      <c r="A144" s="334"/>
      <c r="B144" s="335" t="s">
        <v>86</v>
      </c>
      <c r="C144" s="335"/>
      <c r="D144" s="335"/>
      <c r="E144" s="174">
        <f t="shared" si="41"/>
        <v>3728</v>
      </c>
      <c r="F144" s="174">
        <f>I20</f>
        <v>3728</v>
      </c>
      <c r="G144" s="174">
        <v>0</v>
      </c>
      <c r="H144" s="174">
        <v>0</v>
      </c>
      <c r="I144" s="174">
        <v>0</v>
      </c>
      <c r="J144" s="98"/>
    </row>
    <row r="145" spans="1:10" ht="15.95" customHeight="1" x14ac:dyDescent="0.2">
      <c r="A145" s="334"/>
      <c r="B145" s="335" t="s">
        <v>87</v>
      </c>
      <c r="C145" s="330" t="s">
        <v>236</v>
      </c>
      <c r="D145" s="330"/>
      <c r="E145" s="174">
        <f t="shared" si="41"/>
        <v>234</v>
      </c>
      <c r="F145" s="174">
        <f>SUM(F146:F149)</f>
        <v>234</v>
      </c>
      <c r="G145" s="174">
        <f t="shared" ref="G145:I145" si="48">SUM(G146:G149)</f>
        <v>0</v>
      </c>
      <c r="H145" s="174">
        <f t="shared" si="48"/>
        <v>0</v>
      </c>
      <c r="I145" s="174">
        <f t="shared" si="48"/>
        <v>0</v>
      </c>
      <c r="J145" s="98"/>
    </row>
    <row r="146" spans="1:10" ht="15.95" customHeight="1" x14ac:dyDescent="0.2">
      <c r="A146" s="334"/>
      <c r="B146" s="335"/>
      <c r="C146" s="364" t="s">
        <v>78</v>
      </c>
      <c r="D146" s="364"/>
      <c r="E146" s="174">
        <f t="shared" si="41"/>
        <v>56</v>
      </c>
      <c r="F146" s="174">
        <f>J89</f>
        <v>56</v>
      </c>
      <c r="G146" s="174">
        <v>0</v>
      </c>
      <c r="H146" s="174">
        <v>0</v>
      </c>
      <c r="I146" s="174">
        <v>0</v>
      </c>
      <c r="J146" s="98"/>
    </row>
    <row r="147" spans="1:10" ht="15.95" customHeight="1" x14ac:dyDescent="0.2">
      <c r="A147" s="334"/>
      <c r="B147" s="335"/>
      <c r="C147" s="364" t="s">
        <v>79</v>
      </c>
      <c r="D147" s="364"/>
      <c r="E147" s="174">
        <f t="shared" si="41"/>
        <v>111</v>
      </c>
      <c r="F147" s="174">
        <f>J90</f>
        <v>111</v>
      </c>
      <c r="G147" s="174">
        <v>0</v>
      </c>
      <c r="H147" s="174">
        <v>0</v>
      </c>
      <c r="I147" s="174">
        <v>0</v>
      </c>
      <c r="J147" s="98"/>
    </row>
    <row r="148" spans="1:10" ht="15.95" customHeight="1" x14ac:dyDescent="0.2">
      <c r="A148" s="334"/>
      <c r="B148" s="335"/>
      <c r="C148" s="364" t="s">
        <v>62</v>
      </c>
      <c r="D148" s="364"/>
      <c r="E148" s="174">
        <f t="shared" si="41"/>
        <v>55</v>
      </c>
      <c r="F148" s="174">
        <f>J91</f>
        <v>55</v>
      </c>
      <c r="G148" s="174">
        <v>0</v>
      </c>
      <c r="H148" s="174">
        <v>0</v>
      </c>
      <c r="I148" s="174">
        <v>0</v>
      </c>
      <c r="J148" s="98"/>
    </row>
    <row r="149" spans="1:10" ht="15.95" customHeight="1" x14ac:dyDescent="0.2">
      <c r="A149" s="334"/>
      <c r="B149" s="335"/>
      <c r="C149" s="364" t="s">
        <v>81</v>
      </c>
      <c r="D149" s="364"/>
      <c r="E149" s="174">
        <f t="shared" si="41"/>
        <v>12</v>
      </c>
      <c r="F149" s="174">
        <f>J92</f>
        <v>12</v>
      </c>
      <c r="G149" s="174">
        <v>0</v>
      </c>
      <c r="H149" s="174">
        <v>0</v>
      </c>
      <c r="I149" s="174">
        <v>0</v>
      </c>
      <c r="J149" s="98"/>
    </row>
    <row r="150" spans="1:10" ht="15.95" customHeight="1" x14ac:dyDescent="0.2">
      <c r="A150" s="334" t="s">
        <v>220</v>
      </c>
      <c r="B150" s="335" t="s">
        <v>85</v>
      </c>
      <c r="C150" s="335"/>
      <c r="D150" s="335"/>
      <c r="E150" s="174">
        <f t="shared" si="41"/>
        <v>2728</v>
      </c>
      <c r="F150" s="174">
        <f>F151+F152</f>
        <v>2728</v>
      </c>
      <c r="G150" s="174">
        <f>G151+G152</f>
        <v>0</v>
      </c>
      <c r="H150" s="174">
        <f>H151+H152</f>
        <v>0</v>
      </c>
      <c r="I150" s="174">
        <f>I151+I152</f>
        <v>0</v>
      </c>
      <c r="J150" s="98"/>
    </row>
    <row r="151" spans="1:10" ht="15.95" customHeight="1" x14ac:dyDescent="0.2">
      <c r="A151" s="334"/>
      <c r="B151" s="335" t="s">
        <v>86</v>
      </c>
      <c r="C151" s="335"/>
      <c r="D151" s="335"/>
      <c r="E151" s="174">
        <f t="shared" si="41"/>
        <v>2564</v>
      </c>
      <c r="F151" s="174">
        <f>I28</f>
        <v>2564</v>
      </c>
      <c r="G151" s="174">
        <f t="shared" ref="G151:I151" si="49">SUM(G152:G153)</f>
        <v>0</v>
      </c>
      <c r="H151" s="174">
        <f t="shared" si="49"/>
        <v>0</v>
      </c>
      <c r="I151" s="174">
        <f t="shared" si="49"/>
        <v>0</v>
      </c>
      <c r="J151" s="98"/>
    </row>
    <row r="152" spans="1:10" ht="15.95" customHeight="1" x14ac:dyDescent="0.2">
      <c r="A152" s="334"/>
      <c r="B152" s="335" t="s">
        <v>87</v>
      </c>
      <c r="C152" s="330" t="s">
        <v>236</v>
      </c>
      <c r="D152" s="330"/>
      <c r="E152" s="174">
        <f t="shared" si="41"/>
        <v>164</v>
      </c>
      <c r="F152" s="174">
        <f>SUM(F153:F156)</f>
        <v>164</v>
      </c>
      <c r="G152" s="174">
        <f t="shared" ref="G152" si="50">SUM(G153:G156)</f>
        <v>0</v>
      </c>
      <c r="H152" s="174">
        <f t="shared" ref="H152" si="51">SUM(H153:H156)</f>
        <v>0</v>
      </c>
      <c r="I152" s="174">
        <f t="shared" ref="I152" si="52">SUM(I153:I156)</f>
        <v>0</v>
      </c>
      <c r="J152" s="98"/>
    </row>
    <row r="153" spans="1:10" ht="15.95" customHeight="1" x14ac:dyDescent="0.2">
      <c r="A153" s="334"/>
      <c r="B153" s="335"/>
      <c r="C153" s="364" t="s">
        <v>78</v>
      </c>
      <c r="D153" s="364"/>
      <c r="E153" s="174">
        <f t="shared" si="41"/>
        <v>39</v>
      </c>
      <c r="F153" s="174">
        <f>J94</f>
        <v>39</v>
      </c>
      <c r="G153" s="174">
        <v>0</v>
      </c>
      <c r="H153" s="174">
        <v>0</v>
      </c>
      <c r="I153" s="174">
        <v>0</v>
      </c>
      <c r="J153" s="98"/>
    </row>
    <row r="154" spans="1:10" ht="15.95" customHeight="1" x14ac:dyDescent="0.2">
      <c r="A154" s="334"/>
      <c r="B154" s="335"/>
      <c r="C154" s="364" t="s">
        <v>79</v>
      </c>
      <c r="D154" s="364"/>
      <c r="E154" s="174">
        <f t="shared" si="41"/>
        <v>78</v>
      </c>
      <c r="F154" s="174">
        <f>J95</f>
        <v>78</v>
      </c>
      <c r="G154" s="174">
        <v>0</v>
      </c>
      <c r="H154" s="174">
        <v>0</v>
      </c>
      <c r="I154" s="174">
        <v>0</v>
      </c>
      <c r="J154" s="98"/>
    </row>
    <row r="155" spans="1:10" ht="15.95" customHeight="1" x14ac:dyDescent="0.2">
      <c r="A155" s="334"/>
      <c r="B155" s="335"/>
      <c r="C155" s="364" t="s">
        <v>62</v>
      </c>
      <c r="D155" s="364"/>
      <c r="E155" s="174">
        <f t="shared" si="41"/>
        <v>38</v>
      </c>
      <c r="F155" s="174">
        <f>J96</f>
        <v>38</v>
      </c>
      <c r="G155" s="174">
        <v>0</v>
      </c>
      <c r="H155" s="174">
        <v>0</v>
      </c>
      <c r="I155" s="174">
        <v>0</v>
      </c>
      <c r="J155" s="98"/>
    </row>
    <row r="156" spans="1:10" ht="15.95" customHeight="1" x14ac:dyDescent="0.2">
      <c r="A156" s="334"/>
      <c r="B156" s="335"/>
      <c r="C156" s="364" t="s">
        <v>81</v>
      </c>
      <c r="D156" s="364"/>
      <c r="E156" s="174">
        <f t="shared" si="41"/>
        <v>9</v>
      </c>
      <c r="F156" s="174">
        <f>J97</f>
        <v>9</v>
      </c>
      <c r="G156" s="174">
        <v>0</v>
      </c>
      <c r="H156" s="174">
        <v>0</v>
      </c>
      <c r="I156" s="174">
        <v>0</v>
      </c>
      <c r="J156" s="98"/>
    </row>
    <row r="157" spans="1:10" ht="15.95" customHeight="1" x14ac:dyDescent="0.2">
      <c r="A157" s="334" t="s">
        <v>221</v>
      </c>
      <c r="B157" s="335" t="s">
        <v>85</v>
      </c>
      <c r="C157" s="335"/>
      <c r="D157" s="335"/>
      <c r="E157" s="174">
        <f t="shared" si="41"/>
        <v>1960</v>
      </c>
      <c r="F157" s="174">
        <f>F158+F159</f>
        <v>1960</v>
      </c>
      <c r="G157" s="174">
        <f>G158+G159</f>
        <v>0</v>
      </c>
      <c r="H157" s="174">
        <f>H158+H159</f>
        <v>0</v>
      </c>
      <c r="I157" s="174">
        <f>I158+I159</f>
        <v>0</v>
      </c>
      <c r="J157" s="98"/>
    </row>
    <row r="158" spans="1:10" ht="15.95" customHeight="1" x14ac:dyDescent="0.2">
      <c r="A158" s="334"/>
      <c r="B158" s="335" t="s">
        <v>86</v>
      </c>
      <c r="C158" s="335"/>
      <c r="D158" s="335"/>
      <c r="E158" s="174">
        <f t="shared" si="41"/>
        <v>1838</v>
      </c>
      <c r="F158" s="174">
        <f>I36</f>
        <v>1838</v>
      </c>
      <c r="G158" s="174">
        <v>0</v>
      </c>
      <c r="H158" s="174">
        <v>0</v>
      </c>
      <c r="I158" s="174">
        <v>0</v>
      </c>
      <c r="J158" s="98"/>
    </row>
    <row r="159" spans="1:10" ht="15.95" customHeight="1" x14ac:dyDescent="0.2">
      <c r="A159" s="334"/>
      <c r="B159" s="335" t="s">
        <v>87</v>
      </c>
      <c r="C159" s="330" t="s">
        <v>236</v>
      </c>
      <c r="D159" s="330"/>
      <c r="E159" s="174">
        <f t="shared" si="41"/>
        <v>122</v>
      </c>
      <c r="F159" s="174">
        <f>SUM(F160:F163)</f>
        <v>122</v>
      </c>
      <c r="G159" s="174">
        <f t="shared" ref="G159" si="53">SUM(G160:G163)</f>
        <v>0</v>
      </c>
      <c r="H159" s="174">
        <f t="shared" ref="H159" si="54">SUM(H160:H163)</f>
        <v>0</v>
      </c>
      <c r="I159" s="174">
        <f t="shared" ref="I159" si="55">SUM(I160:I163)</f>
        <v>0</v>
      </c>
      <c r="J159" s="98"/>
    </row>
    <row r="160" spans="1:10" ht="15.95" customHeight="1" x14ac:dyDescent="0.2">
      <c r="A160" s="334"/>
      <c r="B160" s="335"/>
      <c r="C160" s="364" t="s">
        <v>78</v>
      </c>
      <c r="D160" s="364"/>
      <c r="E160" s="174">
        <f t="shared" si="41"/>
        <v>29</v>
      </c>
      <c r="F160" s="174">
        <f>J99</f>
        <v>29</v>
      </c>
      <c r="G160" s="174">
        <v>0</v>
      </c>
      <c r="H160" s="174">
        <v>0</v>
      </c>
      <c r="I160" s="174">
        <v>0</v>
      </c>
      <c r="J160" s="98"/>
    </row>
    <row r="161" spans="1:10" ht="15.95" customHeight="1" x14ac:dyDescent="0.2">
      <c r="A161" s="334"/>
      <c r="B161" s="335"/>
      <c r="C161" s="364" t="s">
        <v>79</v>
      </c>
      <c r="D161" s="364"/>
      <c r="E161" s="174">
        <f t="shared" si="41"/>
        <v>58</v>
      </c>
      <c r="F161" s="174">
        <f>J100</f>
        <v>58</v>
      </c>
      <c r="G161" s="174">
        <v>0</v>
      </c>
      <c r="H161" s="174">
        <v>0</v>
      </c>
      <c r="I161" s="174">
        <v>0</v>
      </c>
      <c r="J161" s="98"/>
    </row>
    <row r="162" spans="1:10" ht="15.95" customHeight="1" x14ac:dyDescent="0.2">
      <c r="A162" s="334"/>
      <c r="B162" s="335"/>
      <c r="C162" s="364" t="s">
        <v>62</v>
      </c>
      <c r="D162" s="364"/>
      <c r="E162" s="174">
        <f t="shared" si="41"/>
        <v>28</v>
      </c>
      <c r="F162" s="174">
        <f>J101</f>
        <v>28</v>
      </c>
      <c r="G162" s="174">
        <v>0</v>
      </c>
      <c r="H162" s="174">
        <v>0</v>
      </c>
      <c r="I162" s="174">
        <v>0</v>
      </c>
      <c r="J162" s="98"/>
    </row>
    <row r="163" spans="1:10" ht="15.95" customHeight="1" x14ac:dyDescent="0.2">
      <c r="A163" s="334"/>
      <c r="B163" s="335"/>
      <c r="C163" s="364" t="s">
        <v>81</v>
      </c>
      <c r="D163" s="364"/>
      <c r="E163" s="174">
        <f t="shared" si="41"/>
        <v>7</v>
      </c>
      <c r="F163" s="174">
        <f>J102</f>
        <v>7</v>
      </c>
      <c r="G163" s="174">
        <v>0</v>
      </c>
      <c r="H163" s="174">
        <v>0</v>
      </c>
      <c r="I163" s="174">
        <v>0</v>
      </c>
      <c r="J163" s="98"/>
    </row>
    <row r="164" spans="1:10" ht="15.95" customHeight="1" x14ac:dyDescent="0.2">
      <c r="A164" s="334" t="s">
        <v>222</v>
      </c>
      <c r="B164" s="335" t="s">
        <v>85</v>
      </c>
      <c r="C164" s="335"/>
      <c r="D164" s="335"/>
      <c r="E164" s="174">
        <f t="shared" si="41"/>
        <v>1206</v>
      </c>
      <c r="F164" s="174">
        <f>F165+F166</f>
        <v>1206</v>
      </c>
      <c r="G164" s="174">
        <f>G165+G166</f>
        <v>0</v>
      </c>
      <c r="H164" s="174">
        <f>H165+H166</f>
        <v>0</v>
      </c>
      <c r="I164" s="174">
        <f>I165+I166</f>
        <v>0</v>
      </c>
      <c r="J164" s="98"/>
    </row>
    <row r="165" spans="1:10" ht="15.95" customHeight="1" x14ac:dyDescent="0.2">
      <c r="A165" s="334"/>
      <c r="B165" s="335" t="s">
        <v>86</v>
      </c>
      <c r="C165" s="335"/>
      <c r="D165" s="335"/>
      <c r="E165" s="174">
        <f t="shared" si="41"/>
        <v>1124</v>
      </c>
      <c r="F165" s="174">
        <f>I42</f>
        <v>1124</v>
      </c>
      <c r="G165" s="174">
        <v>0</v>
      </c>
      <c r="H165" s="174">
        <v>0</v>
      </c>
      <c r="I165" s="174">
        <v>0</v>
      </c>
      <c r="J165" s="98"/>
    </row>
    <row r="166" spans="1:10" ht="15.95" customHeight="1" x14ac:dyDescent="0.2">
      <c r="A166" s="334"/>
      <c r="B166" s="335" t="s">
        <v>87</v>
      </c>
      <c r="C166" s="330" t="s">
        <v>236</v>
      </c>
      <c r="D166" s="330"/>
      <c r="E166" s="174">
        <f t="shared" si="41"/>
        <v>82</v>
      </c>
      <c r="F166" s="174">
        <f>SUM(F167:F170)</f>
        <v>82</v>
      </c>
      <c r="G166" s="174">
        <f t="shared" ref="G166" si="56">SUM(G167:G170)</f>
        <v>0</v>
      </c>
      <c r="H166" s="174">
        <f t="shared" ref="H166" si="57">SUM(H167:H170)</f>
        <v>0</v>
      </c>
      <c r="I166" s="174">
        <f t="shared" ref="I166" si="58">SUM(I167:I170)</f>
        <v>0</v>
      </c>
      <c r="J166" s="98"/>
    </row>
    <row r="167" spans="1:10" ht="15.95" customHeight="1" x14ac:dyDescent="0.2">
      <c r="A167" s="334"/>
      <c r="B167" s="335"/>
      <c r="C167" s="364" t="s">
        <v>78</v>
      </c>
      <c r="D167" s="364"/>
      <c r="E167" s="174">
        <f t="shared" si="41"/>
        <v>19</v>
      </c>
      <c r="F167" s="174">
        <f>J104</f>
        <v>19</v>
      </c>
      <c r="G167" s="174">
        <v>0</v>
      </c>
      <c r="H167" s="174">
        <v>0</v>
      </c>
      <c r="I167" s="174">
        <v>0</v>
      </c>
      <c r="J167" s="98"/>
    </row>
    <row r="168" spans="1:10" ht="15.95" customHeight="1" x14ac:dyDescent="0.2">
      <c r="A168" s="334"/>
      <c r="B168" s="335"/>
      <c r="C168" s="364" t="s">
        <v>79</v>
      </c>
      <c r="D168" s="364"/>
      <c r="E168" s="174">
        <f t="shared" si="41"/>
        <v>38</v>
      </c>
      <c r="F168" s="174">
        <f>J105</f>
        <v>38</v>
      </c>
      <c r="G168" s="174">
        <v>0</v>
      </c>
      <c r="H168" s="174">
        <v>0</v>
      </c>
      <c r="I168" s="174">
        <v>0</v>
      </c>
      <c r="J168" s="98"/>
    </row>
    <row r="169" spans="1:10" ht="15.95" customHeight="1" x14ac:dyDescent="0.2">
      <c r="A169" s="334"/>
      <c r="B169" s="335"/>
      <c r="C169" s="364" t="s">
        <v>62</v>
      </c>
      <c r="D169" s="364"/>
      <c r="E169" s="174">
        <f t="shared" si="41"/>
        <v>18</v>
      </c>
      <c r="F169" s="174">
        <f>J106</f>
        <v>18</v>
      </c>
      <c r="G169" s="174">
        <v>0</v>
      </c>
      <c r="H169" s="174">
        <v>0</v>
      </c>
      <c r="I169" s="174">
        <v>0</v>
      </c>
      <c r="J169" s="98"/>
    </row>
    <row r="170" spans="1:10" ht="15.95" customHeight="1" x14ac:dyDescent="0.2">
      <c r="A170" s="334"/>
      <c r="B170" s="335"/>
      <c r="C170" s="364" t="s">
        <v>81</v>
      </c>
      <c r="D170" s="364"/>
      <c r="E170" s="174">
        <f t="shared" si="41"/>
        <v>7</v>
      </c>
      <c r="F170" s="174">
        <f>J107</f>
        <v>7</v>
      </c>
      <c r="G170" s="174">
        <v>0</v>
      </c>
      <c r="H170" s="174">
        <v>0</v>
      </c>
      <c r="I170" s="174">
        <v>0</v>
      </c>
      <c r="J170" s="98"/>
    </row>
    <row r="171" spans="1:10" ht="15.95" customHeight="1" x14ac:dyDescent="0.2">
      <c r="A171" s="334" t="s">
        <v>223</v>
      </c>
      <c r="B171" s="335" t="s">
        <v>85</v>
      </c>
      <c r="C171" s="335"/>
      <c r="D171" s="335"/>
      <c r="E171" s="174">
        <f t="shared" si="41"/>
        <v>185</v>
      </c>
      <c r="F171" s="174">
        <f>F172+F173</f>
        <v>185</v>
      </c>
      <c r="G171" s="174">
        <f t="shared" ref="G171:I171" si="59">G172+G173</f>
        <v>0</v>
      </c>
      <c r="H171" s="174">
        <f t="shared" si="59"/>
        <v>0</v>
      </c>
      <c r="I171" s="174">
        <f t="shared" si="59"/>
        <v>0</v>
      </c>
      <c r="J171" s="98"/>
    </row>
    <row r="172" spans="1:10" ht="15.95" customHeight="1" x14ac:dyDescent="0.2">
      <c r="A172" s="334"/>
      <c r="B172" s="335" t="s">
        <v>86</v>
      </c>
      <c r="C172" s="335"/>
      <c r="D172" s="335"/>
      <c r="E172" s="174">
        <f t="shared" si="41"/>
        <v>168</v>
      </c>
      <c r="F172" s="174">
        <f>I48</f>
        <v>168</v>
      </c>
      <c r="G172" s="174">
        <v>0</v>
      </c>
      <c r="H172" s="174">
        <v>0</v>
      </c>
      <c r="I172" s="174">
        <v>0</v>
      </c>
      <c r="J172" s="98"/>
    </row>
    <row r="173" spans="1:10" ht="15.95" customHeight="1" x14ac:dyDescent="0.2">
      <c r="A173" s="334"/>
      <c r="B173" s="335" t="s">
        <v>87</v>
      </c>
      <c r="C173" s="330" t="s">
        <v>236</v>
      </c>
      <c r="D173" s="330"/>
      <c r="E173" s="174">
        <f t="shared" si="41"/>
        <v>17</v>
      </c>
      <c r="F173" s="174">
        <f>SUM(F174:F177)</f>
        <v>17</v>
      </c>
      <c r="G173" s="174">
        <f t="shared" ref="G173" si="60">SUM(G174:G177)</f>
        <v>0</v>
      </c>
      <c r="H173" s="174">
        <f t="shared" ref="H173" si="61">SUM(H174:H177)</f>
        <v>0</v>
      </c>
      <c r="I173" s="174">
        <f t="shared" ref="I173" si="62">SUM(I174:I177)</f>
        <v>0</v>
      </c>
      <c r="J173" s="98"/>
    </row>
    <row r="174" spans="1:10" ht="15.95" customHeight="1" x14ac:dyDescent="0.2">
      <c r="A174" s="334"/>
      <c r="B174" s="335"/>
      <c r="C174" s="364" t="s">
        <v>78</v>
      </c>
      <c r="D174" s="364"/>
      <c r="E174" s="174">
        <f t="shared" si="41"/>
        <v>4</v>
      </c>
      <c r="F174" s="174">
        <f>J109</f>
        <v>4</v>
      </c>
      <c r="G174" s="174">
        <v>0</v>
      </c>
      <c r="H174" s="174">
        <v>0</v>
      </c>
      <c r="I174" s="174">
        <v>0</v>
      </c>
      <c r="J174" s="98"/>
    </row>
    <row r="175" spans="1:10" ht="15.95" customHeight="1" x14ac:dyDescent="0.2">
      <c r="A175" s="334"/>
      <c r="B175" s="335"/>
      <c r="C175" s="364" t="s">
        <v>79</v>
      </c>
      <c r="D175" s="364"/>
      <c r="E175" s="174">
        <f t="shared" si="41"/>
        <v>8</v>
      </c>
      <c r="F175" s="174">
        <f>J110</f>
        <v>8</v>
      </c>
      <c r="G175" s="174">
        <v>0</v>
      </c>
      <c r="H175" s="174">
        <v>0</v>
      </c>
      <c r="I175" s="174">
        <v>0</v>
      </c>
      <c r="J175" s="98"/>
    </row>
    <row r="176" spans="1:10" ht="15.95" customHeight="1" x14ac:dyDescent="0.2">
      <c r="A176" s="334"/>
      <c r="B176" s="335"/>
      <c r="C176" s="364" t="s">
        <v>62</v>
      </c>
      <c r="D176" s="364"/>
      <c r="E176" s="174">
        <f t="shared" si="41"/>
        <v>4</v>
      </c>
      <c r="F176" s="174">
        <f>J111</f>
        <v>4</v>
      </c>
      <c r="G176" s="174">
        <v>0</v>
      </c>
      <c r="H176" s="174">
        <v>0</v>
      </c>
      <c r="I176" s="174">
        <v>0</v>
      </c>
      <c r="J176" s="98"/>
    </row>
    <row r="177" spans="1:10" ht="15.95" customHeight="1" x14ac:dyDescent="0.2">
      <c r="A177" s="334"/>
      <c r="B177" s="335"/>
      <c r="C177" s="364" t="s">
        <v>81</v>
      </c>
      <c r="D177" s="364"/>
      <c r="E177" s="174">
        <f t="shared" si="41"/>
        <v>1</v>
      </c>
      <c r="F177" s="174">
        <f>J112</f>
        <v>1</v>
      </c>
      <c r="G177" s="174">
        <v>0</v>
      </c>
      <c r="H177" s="174">
        <v>0</v>
      </c>
      <c r="I177" s="174">
        <v>0</v>
      </c>
      <c r="J177" s="98"/>
    </row>
    <row r="178" spans="1:10" ht="15.95" customHeight="1" x14ac:dyDescent="0.2">
      <c r="A178" s="334" t="s">
        <v>592</v>
      </c>
      <c r="B178" s="335" t="s">
        <v>85</v>
      </c>
      <c r="C178" s="335"/>
      <c r="D178" s="335"/>
      <c r="E178" s="224">
        <f t="shared" si="41"/>
        <v>2785</v>
      </c>
      <c r="F178" s="224">
        <f>F179+F180</f>
        <v>2785</v>
      </c>
      <c r="G178" s="224">
        <f t="shared" ref="G178:I178" si="63">G179+G180</f>
        <v>0</v>
      </c>
      <c r="H178" s="224">
        <f t="shared" si="63"/>
        <v>0</v>
      </c>
      <c r="I178" s="224">
        <f t="shared" si="63"/>
        <v>0</v>
      </c>
      <c r="J178" s="214"/>
    </row>
    <row r="179" spans="1:10" ht="15.95" customHeight="1" x14ac:dyDescent="0.2">
      <c r="A179" s="334"/>
      <c r="B179" s="335" t="s">
        <v>86</v>
      </c>
      <c r="C179" s="335"/>
      <c r="D179" s="335"/>
      <c r="E179" s="224">
        <f t="shared" si="41"/>
        <v>2617</v>
      </c>
      <c r="F179" s="224">
        <f>I53</f>
        <v>2617</v>
      </c>
      <c r="G179" s="224">
        <v>0</v>
      </c>
      <c r="H179" s="224">
        <v>0</v>
      </c>
      <c r="I179" s="224">
        <v>0</v>
      </c>
      <c r="J179" s="214"/>
    </row>
    <row r="180" spans="1:10" ht="15.95" customHeight="1" x14ac:dyDescent="0.2">
      <c r="A180" s="334"/>
      <c r="B180" s="335" t="s">
        <v>87</v>
      </c>
      <c r="C180" s="330" t="s">
        <v>236</v>
      </c>
      <c r="D180" s="330"/>
      <c r="E180" s="224">
        <f t="shared" si="41"/>
        <v>168</v>
      </c>
      <c r="F180" s="224">
        <f>SUM(F181:F184)</f>
        <v>168</v>
      </c>
      <c r="G180" s="224">
        <f t="shared" ref="G180:I180" si="64">SUM(G181:G184)</f>
        <v>0</v>
      </c>
      <c r="H180" s="224">
        <f t="shared" si="64"/>
        <v>0</v>
      </c>
      <c r="I180" s="224">
        <f t="shared" si="64"/>
        <v>0</v>
      </c>
      <c r="J180" s="214"/>
    </row>
    <row r="181" spans="1:10" ht="15.95" customHeight="1" x14ac:dyDescent="0.2">
      <c r="A181" s="334"/>
      <c r="B181" s="335"/>
      <c r="C181" s="364" t="s">
        <v>78</v>
      </c>
      <c r="D181" s="364"/>
      <c r="E181" s="224">
        <f t="shared" si="41"/>
        <v>40</v>
      </c>
      <c r="F181" s="224">
        <f>J114</f>
        <v>40</v>
      </c>
      <c r="G181" s="224">
        <v>0</v>
      </c>
      <c r="H181" s="224">
        <v>0</v>
      </c>
      <c r="I181" s="224">
        <v>0</v>
      </c>
      <c r="J181" s="214"/>
    </row>
    <row r="182" spans="1:10" ht="15.95" customHeight="1" x14ac:dyDescent="0.2">
      <c r="A182" s="334"/>
      <c r="B182" s="335"/>
      <c r="C182" s="364" t="s">
        <v>79</v>
      </c>
      <c r="D182" s="364"/>
      <c r="E182" s="224">
        <f t="shared" si="41"/>
        <v>80</v>
      </c>
      <c r="F182" s="224">
        <f>J115</f>
        <v>80</v>
      </c>
      <c r="G182" s="224">
        <v>0</v>
      </c>
      <c r="H182" s="224">
        <v>0</v>
      </c>
      <c r="I182" s="224">
        <v>0</v>
      </c>
      <c r="J182" s="214"/>
    </row>
    <row r="183" spans="1:10" ht="15.95" customHeight="1" x14ac:dyDescent="0.2">
      <c r="A183" s="334"/>
      <c r="B183" s="335"/>
      <c r="C183" s="364" t="s">
        <v>62</v>
      </c>
      <c r="D183" s="364"/>
      <c r="E183" s="224">
        <f t="shared" si="41"/>
        <v>39</v>
      </c>
      <c r="F183" s="224">
        <f>J116</f>
        <v>39</v>
      </c>
      <c r="G183" s="224">
        <v>0</v>
      </c>
      <c r="H183" s="224">
        <v>0</v>
      </c>
      <c r="I183" s="224">
        <v>0</v>
      </c>
      <c r="J183" s="214"/>
    </row>
    <row r="184" spans="1:10" ht="15.95" customHeight="1" x14ac:dyDescent="0.2">
      <c r="A184" s="340"/>
      <c r="B184" s="341"/>
      <c r="C184" s="366" t="s">
        <v>81</v>
      </c>
      <c r="D184" s="366"/>
      <c r="E184" s="223">
        <f t="shared" si="41"/>
        <v>9</v>
      </c>
      <c r="F184" s="223">
        <f>J117</f>
        <v>9</v>
      </c>
      <c r="G184" s="223">
        <v>0</v>
      </c>
      <c r="H184" s="223">
        <v>0</v>
      </c>
      <c r="I184" s="223">
        <v>0</v>
      </c>
      <c r="J184" s="212"/>
    </row>
    <row r="185" spans="1:10" ht="23.25" thickBot="1" x14ac:dyDescent="0.25">
      <c r="A185" s="255" t="s">
        <v>66</v>
      </c>
      <c r="B185" s="256"/>
      <c r="C185" s="256"/>
      <c r="D185" s="256"/>
      <c r="E185" s="51" t="s">
        <v>160</v>
      </c>
      <c r="F185" s="51" t="s">
        <v>200</v>
      </c>
      <c r="G185" s="51" t="s">
        <v>201</v>
      </c>
      <c r="H185" s="51" t="s">
        <v>202</v>
      </c>
      <c r="I185" s="51" t="s">
        <v>203</v>
      </c>
      <c r="J185" s="207" t="s">
        <v>137</v>
      </c>
    </row>
    <row r="186" spans="1:10" ht="15.95" customHeight="1" thickTop="1" x14ac:dyDescent="0.2">
      <c r="A186" s="333" t="s">
        <v>230</v>
      </c>
      <c r="B186" s="342" t="s">
        <v>85</v>
      </c>
      <c r="C186" s="342"/>
      <c r="D186" s="342"/>
      <c r="E186" s="101">
        <f t="shared" si="41"/>
        <v>8038</v>
      </c>
      <c r="F186" s="101">
        <f t="shared" ref="F186:I186" si="65">F187+F188</f>
        <v>0</v>
      </c>
      <c r="G186" s="101">
        <f t="shared" si="65"/>
        <v>8038</v>
      </c>
      <c r="H186" s="101">
        <f t="shared" si="65"/>
        <v>0</v>
      </c>
      <c r="I186" s="101">
        <f t="shared" si="65"/>
        <v>0</v>
      </c>
      <c r="J186" s="213"/>
    </row>
    <row r="187" spans="1:10" ht="15.95" customHeight="1" x14ac:dyDescent="0.2">
      <c r="A187" s="334"/>
      <c r="B187" s="335" t="s">
        <v>86</v>
      </c>
      <c r="C187" s="335"/>
      <c r="D187" s="335"/>
      <c r="E187" s="224">
        <f t="shared" si="41"/>
        <v>7580</v>
      </c>
      <c r="F187" s="224">
        <v>0</v>
      </c>
      <c r="G187" s="224">
        <f>I61</f>
        <v>7580</v>
      </c>
      <c r="H187" s="224">
        <v>0</v>
      </c>
      <c r="I187" s="224">
        <v>0</v>
      </c>
      <c r="J187" s="214"/>
    </row>
    <row r="188" spans="1:10" ht="15.95" customHeight="1" x14ac:dyDescent="0.2">
      <c r="A188" s="334"/>
      <c r="B188" s="335" t="s">
        <v>87</v>
      </c>
      <c r="C188" s="330" t="s">
        <v>236</v>
      </c>
      <c r="D188" s="330"/>
      <c r="E188" s="224">
        <f t="shared" si="41"/>
        <v>458</v>
      </c>
      <c r="F188" s="224">
        <f t="shared" ref="F188" si="66">SUM(F189:F192)</f>
        <v>0</v>
      </c>
      <c r="G188" s="224">
        <f>SUM(G189:G192)</f>
        <v>458</v>
      </c>
      <c r="H188" s="224">
        <f t="shared" ref="H188:I188" si="67">SUM(H189:H192)</f>
        <v>0</v>
      </c>
      <c r="I188" s="224">
        <f t="shared" si="67"/>
        <v>0</v>
      </c>
      <c r="J188" s="214"/>
    </row>
    <row r="189" spans="1:10" ht="15.95" customHeight="1" x14ac:dyDescent="0.2">
      <c r="A189" s="334"/>
      <c r="B189" s="335"/>
      <c r="C189" s="364" t="s">
        <v>78</v>
      </c>
      <c r="D189" s="364"/>
      <c r="E189" s="224">
        <f t="shared" si="41"/>
        <v>110</v>
      </c>
      <c r="F189" s="224">
        <v>0</v>
      </c>
      <c r="G189" s="224">
        <f>J119</f>
        <v>110</v>
      </c>
      <c r="H189" s="224">
        <v>0</v>
      </c>
      <c r="I189" s="224">
        <v>0</v>
      </c>
      <c r="J189" s="214"/>
    </row>
    <row r="190" spans="1:10" ht="15.95" customHeight="1" x14ac:dyDescent="0.2">
      <c r="A190" s="334"/>
      <c r="B190" s="335"/>
      <c r="C190" s="364" t="s">
        <v>79</v>
      </c>
      <c r="D190" s="364"/>
      <c r="E190" s="224">
        <f t="shared" si="41"/>
        <v>220</v>
      </c>
      <c r="F190" s="224">
        <v>0</v>
      </c>
      <c r="G190" s="224">
        <f>J120</f>
        <v>220</v>
      </c>
      <c r="H190" s="224">
        <v>0</v>
      </c>
      <c r="I190" s="224">
        <v>0</v>
      </c>
      <c r="J190" s="214"/>
    </row>
    <row r="191" spans="1:10" ht="15.95" customHeight="1" x14ac:dyDescent="0.2">
      <c r="A191" s="334"/>
      <c r="B191" s="335"/>
      <c r="C191" s="364" t="s">
        <v>62</v>
      </c>
      <c r="D191" s="364"/>
      <c r="E191" s="224">
        <f t="shared" si="41"/>
        <v>108</v>
      </c>
      <c r="F191" s="224">
        <v>0</v>
      </c>
      <c r="G191" s="224">
        <f>J121</f>
        <v>108</v>
      </c>
      <c r="H191" s="224">
        <v>0</v>
      </c>
      <c r="I191" s="224">
        <v>0</v>
      </c>
      <c r="J191" s="214"/>
    </row>
    <row r="192" spans="1:10" ht="15.95" customHeight="1" x14ac:dyDescent="0.2">
      <c r="A192" s="334"/>
      <c r="B192" s="335"/>
      <c r="C192" s="364" t="s">
        <v>81</v>
      </c>
      <c r="D192" s="364"/>
      <c r="E192" s="224">
        <f t="shared" si="41"/>
        <v>20</v>
      </c>
      <c r="F192" s="224">
        <v>0</v>
      </c>
      <c r="G192" s="224">
        <f>J122</f>
        <v>20</v>
      </c>
      <c r="H192" s="224">
        <v>0</v>
      </c>
      <c r="I192" s="224">
        <v>0</v>
      </c>
      <c r="J192" s="214"/>
    </row>
    <row r="193" spans="1:10" ht="15.95" customHeight="1" x14ac:dyDescent="0.2">
      <c r="A193" s="334" t="s">
        <v>590</v>
      </c>
      <c r="B193" s="335" t="s">
        <v>85</v>
      </c>
      <c r="C193" s="335"/>
      <c r="D193" s="335"/>
      <c r="E193" s="224">
        <f t="shared" si="41"/>
        <v>2700</v>
      </c>
      <c r="F193" s="224">
        <f t="shared" ref="F193:I193" si="68">F194+F195</f>
        <v>0</v>
      </c>
      <c r="G193" s="224">
        <f t="shared" si="68"/>
        <v>2700</v>
      </c>
      <c r="H193" s="224">
        <f t="shared" si="68"/>
        <v>0</v>
      </c>
      <c r="I193" s="224">
        <f t="shared" si="68"/>
        <v>0</v>
      </c>
      <c r="J193" s="214"/>
    </row>
    <row r="194" spans="1:10" ht="15.95" customHeight="1" x14ac:dyDescent="0.2">
      <c r="A194" s="334"/>
      <c r="B194" s="335" t="s">
        <v>86</v>
      </c>
      <c r="C194" s="335"/>
      <c r="D194" s="335"/>
      <c r="E194" s="224">
        <f t="shared" si="41"/>
        <v>2537</v>
      </c>
      <c r="F194" s="224">
        <v>0</v>
      </c>
      <c r="G194" s="224">
        <f>I71</f>
        <v>2537</v>
      </c>
      <c r="H194" s="224">
        <v>0</v>
      </c>
      <c r="I194" s="224">
        <v>0</v>
      </c>
      <c r="J194" s="214"/>
    </row>
    <row r="195" spans="1:10" ht="15.95" customHeight="1" x14ac:dyDescent="0.2">
      <c r="A195" s="334"/>
      <c r="B195" s="335" t="s">
        <v>87</v>
      </c>
      <c r="C195" s="330" t="s">
        <v>236</v>
      </c>
      <c r="D195" s="330"/>
      <c r="E195" s="224">
        <f t="shared" si="41"/>
        <v>163</v>
      </c>
      <c r="F195" s="224">
        <f t="shared" ref="F195" si="69">SUM(F196:F199)</f>
        <v>0</v>
      </c>
      <c r="G195" s="224">
        <f>SUM(G196:G199)</f>
        <v>163</v>
      </c>
      <c r="H195" s="224">
        <f t="shared" ref="H195:I195" si="70">SUM(H196:H199)</f>
        <v>0</v>
      </c>
      <c r="I195" s="224">
        <f t="shared" si="70"/>
        <v>0</v>
      </c>
      <c r="J195" s="214"/>
    </row>
    <row r="196" spans="1:10" ht="15.95" customHeight="1" x14ac:dyDescent="0.2">
      <c r="A196" s="334"/>
      <c r="B196" s="335"/>
      <c r="C196" s="364" t="s">
        <v>78</v>
      </c>
      <c r="D196" s="364"/>
      <c r="E196" s="224">
        <f t="shared" si="41"/>
        <v>39</v>
      </c>
      <c r="F196" s="224">
        <v>0</v>
      </c>
      <c r="G196" s="224">
        <f>J124</f>
        <v>39</v>
      </c>
      <c r="H196" s="224">
        <v>0</v>
      </c>
      <c r="I196" s="224">
        <v>0</v>
      </c>
      <c r="J196" s="214"/>
    </row>
    <row r="197" spans="1:10" ht="15.95" customHeight="1" x14ac:dyDescent="0.2">
      <c r="A197" s="334"/>
      <c r="B197" s="335"/>
      <c r="C197" s="364" t="s">
        <v>79</v>
      </c>
      <c r="D197" s="364"/>
      <c r="E197" s="224">
        <f t="shared" si="41"/>
        <v>77</v>
      </c>
      <c r="F197" s="224">
        <v>0</v>
      </c>
      <c r="G197" s="224">
        <f>J125</f>
        <v>77</v>
      </c>
      <c r="H197" s="224">
        <v>0</v>
      </c>
      <c r="I197" s="224">
        <v>0</v>
      </c>
      <c r="J197" s="214"/>
    </row>
    <row r="198" spans="1:10" ht="15.95" customHeight="1" x14ac:dyDescent="0.2">
      <c r="A198" s="334"/>
      <c r="B198" s="335"/>
      <c r="C198" s="364" t="s">
        <v>62</v>
      </c>
      <c r="D198" s="364"/>
      <c r="E198" s="224">
        <f t="shared" si="41"/>
        <v>38</v>
      </c>
      <c r="F198" s="224">
        <v>0</v>
      </c>
      <c r="G198" s="224">
        <f>J126</f>
        <v>38</v>
      </c>
      <c r="H198" s="224">
        <v>0</v>
      </c>
      <c r="I198" s="224">
        <v>0</v>
      </c>
      <c r="J198" s="214"/>
    </row>
    <row r="199" spans="1:10" ht="15.95" customHeight="1" x14ac:dyDescent="0.2">
      <c r="A199" s="476"/>
      <c r="B199" s="477"/>
      <c r="C199" s="475" t="s">
        <v>81</v>
      </c>
      <c r="D199" s="475"/>
      <c r="E199" s="478">
        <f t="shared" si="41"/>
        <v>9</v>
      </c>
      <c r="F199" s="478">
        <v>0</v>
      </c>
      <c r="G199" s="478">
        <f>J127</f>
        <v>9</v>
      </c>
      <c r="H199" s="478">
        <v>0</v>
      </c>
      <c r="I199" s="478">
        <v>0</v>
      </c>
      <c r="J199" s="479"/>
    </row>
    <row r="200" spans="1:10" ht="15.95" customHeight="1" x14ac:dyDescent="0.2">
      <c r="A200" s="334" t="s">
        <v>597</v>
      </c>
      <c r="B200" s="335" t="s">
        <v>85</v>
      </c>
      <c r="C200" s="335"/>
      <c r="D200" s="335"/>
      <c r="E200" s="253">
        <f t="shared" ref="E200:E206" si="71">SUM(F200:I200)</f>
        <v>1482</v>
      </c>
      <c r="F200" s="253">
        <f t="shared" ref="F200:I200" si="72">F201+F202</f>
        <v>0</v>
      </c>
      <c r="G200" s="253">
        <f t="shared" si="72"/>
        <v>1482</v>
      </c>
      <c r="H200" s="253">
        <f t="shared" si="72"/>
        <v>0</v>
      </c>
      <c r="I200" s="253">
        <f t="shared" si="72"/>
        <v>0</v>
      </c>
      <c r="J200" s="251"/>
    </row>
    <row r="201" spans="1:10" ht="15.95" customHeight="1" x14ac:dyDescent="0.2">
      <c r="A201" s="334"/>
      <c r="B201" s="335" t="s">
        <v>86</v>
      </c>
      <c r="C201" s="335"/>
      <c r="D201" s="335"/>
      <c r="E201" s="253">
        <f t="shared" si="71"/>
        <v>1385</v>
      </c>
      <c r="F201" s="253">
        <v>0</v>
      </c>
      <c r="G201" s="253">
        <f>I79</f>
        <v>1385</v>
      </c>
      <c r="H201" s="253">
        <v>0</v>
      </c>
      <c r="I201" s="253">
        <v>0</v>
      </c>
      <c r="J201" s="251"/>
    </row>
    <row r="202" spans="1:10" ht="15.95" customHeight="1" x14ac:dyDescent="0.2">
      <c r="A202" s="334"/>
      <c r="B202" s="335" t="s">
        <v>87</v>
      </c>
      <c r="C202" s="330" t="s">
        <v>236</v>
      </c>
      <c r="D202" s="330"/>
      <c r="E202" s="253">
        <f t="shared" si="71"/>
        <v>97</v>
      </c>
      <c r="F202" s="253">
        <f t="shared" ref="F202" si="73">SUM(F203:F206)</f>
        <v>0</v>
      </c>
      <c r="G202" s="253">
        <f>SUM(G203:G206)</f>
        <v>97</v>
      </c>
      <c r="H202" s="253">
        <f t="shared" ref="H202:I202" si="74">SUM(H203:H206)</f>
        <v>0</v>
      </c>
      <c r="I202" s="253">
        <f t="shared" si="74"/>
        <v>0</v>
      </c>
      <c r="J202" s="251"/>
    </row>
    <row r="203" spans="1:10" ht="15.95" customHeight="1" x14ac:dyDescent="0.2">
      <c r="A203" s="334"/>
      <c r="B203" s="335"/>
      <c r="C203" s="364" t="s">
        <v>78</v>
      </c>
      <c r="D203" s="364"/>
      <c r="E203" s="253">
        <f t="shared" si="71"/>
        <v>23</v>
      </c>
      <c r="F203" s="253">
        <v>0</v>
      </c>
      <c r="G203" s="253">
        <f>J129</f>
        <v>23</v>
      </c>
      <c r="H203" s="253">
        <v>0</v>
      </c>
      <c r="I203" s="253">
        <v>0</v>
      </c>
      <c r="J203" s="251"/>
    </row>
    <row r="204" spans="1:10" ht="15.95" customHeight="1" x14ac:dyDescent="0.2">
      <c r="A204" s="334"/>
      <c r="B204" s="335"/>
      <c r="C204" s="364" t="s">
        <v>79</v>
      </c>
      <c r="D204" s="364"/>
      <c r="E204" s="253">
        <f t="shared" si="71"/>
        <v>45</v>
      </c>
      <c r="F204" s="253">
        <v>0</v>
      </c>
      <c r="G204" s="253">
        <f t="shared" ref="G204:G206" si="75">J130</f>
        <v>45</v>
      </c>
      <c r="H204" s="253">
        <v>0</v>
      </c>
      <c r="I204" s="253">
        <v>0</v>
      </c>
      <c r="J204" s="251"/>
    </row>
    <row r="205" spans="1:10" ht="15.95" customHeight="1" x14ac:dyDescent="0.2">
      <c r="A205" s="334"/>
      <c r="B205" s="335"/>
      <c r="C205" s="364" t="s">
        <v>62</v>
      </c>
      <c r="D205" s="364"/>
      <c r="E205" s="253">
        <f t="shared" si="71"/>
        <v>22</v>
      </c>
      <c r="F205" s="253">
        <v>0</v>
      </c>
      <c r="G205" s="253">
        <f t="shared" si="75"/>
        <v>22</v>
      </c>
      <c r="H205" s="253">
        <v>0</v>
      </c>
      <c r="I205" s="253">
        <v>0</v>
      </c>
      <c r="J205" s="251"/>
    </row>
    <row r="206" spans="1:10" ht="15.95" customHeight="1" x14ac:dyDescent="0.2">
      <c r="A206" s="340"/>
      <c r="B206" s="341"/>
      <c r="C206" s="366" t="s">
        <v>81</v>
      </c>
      <c r="D206" s="366"/>
      <c r="E206" s="252">
        <f t="shared" si="71"/>
        <v>7</v>
      </c>
      <c r="F206" s="252">
        <v>0</v>
      </c>
      <c r="G206" s="252">
        <f t="shared" si="75"/>
        <v>7</v>
      </c>
      <c r="H206" s="252">
        <v>0</v>
      </c>
      <c r="I206" s="252">
        <v>0</v>
      </c>
      <c r="J206" s="250"/>
    </row>
    <row r="208" spans="1:10" ht="15.95" customHeight="1" x14ac:dyDescent="0.2">
      <c r="A208" s="5" t="s">
        <v>145</v>
      </c>
      <c r="B208" s="5"/>
    </row>
    <row r="209" spans="1:10" ht="15.95" customHeight="1" x14ac:dyDescent="0.2">
      <c r="A209" s="5" t="s">
        <v>146</v>
      </c>
      <c r="B209" s="5"/>
      <c r="C209" s="4"/>
      <c r="D209" s="4"/>
      <c r="E209" s="4"/>
      <c r="F209" s="4"/>
    </row>
    <row r="210" spans="1:10" s="2" customFormat="1" ht="15.95" customHeight="1" x14ac:dyDescent="0.2">
      <c r="A210" s="2" t="s">
        <v>147</v>
      </c>
      <c r="G210" s="10"/>
    </row>
    <row r="211" spans="1:10" s="2" customFormat="1" ht="52.5" customHeight="1" thickBot="1" x14ac:dyDescent="0.25">
      <c r="A211" s="186" t="s">
        <v>493</v>
      </c>
      <c r="B211" s="171" t="s">
        <v>474</v>
      </c>
      <c r="C211" s="171" t="s">
        <v>475</v>
      </c>
      <c r="D211" s="171" t="s">
        <v>476</v>
      </c>
      <c r="E211" s="171" t="s">
        <v>480</v>
      </c>
      <c r="F211" s="171" t="s">
        <v>477</v>
      </c>
      <c r="G211" s="171" t="s">
        <v>478</v>
      </c>
      <c r="H211" s="171" t="s">
        <v>479</v>
      </c>
      <c r="I211" s="171" t="s">
        <v>481</v>
      </c>
      <c r="J211" s="172" t="s">
        <v>482</v>
      </c>
    </row>
    <row r="212" spans="1:10" s="2" customFormat="1" ht="30" customHeight="1" thickTop="1" x14ac:dyDescent="0.2">
      <c r="A212" s="192" t="s">
        <v>509</v>
      </c>
      <c r="B212" s="209">
        <v>12307</v>
      </c>
      <c r="C212" s="209">
        <v>5010</v>
      </c>
      <c r="D212" s="173">
        <v>2850</v>
      </c>
      <c r="E212" s="173">
        <f>E186</f>
        <v>8038</v>
      </c>
      <c r="F212" s="187" t="s">
        <v>485</v>
      </c>
      <c r="G212" s="173">
        <v>5167</v>
      </c>
      <c r="H212" s="168">
        <v>2103</v>
      </c>
      <c r="I212" s="173">
        <f>ROUND(E212*H212/D212,0)</f>
        <v>5931</v>
      </c>
      <c r="J212" s="191">
        <f>ROUND(I212*100/E212,1)</f>
        <v>73.8</v>
      </c>
    </row>
    <row r="213" spans="1:10" s="2" customFormat="1" ht="30" customHeight="1" x14ac:dyDescent="0.2">
      <c r="A213" s="163"/>
      <c r="B213" s="188"/>
      <c r="C213" s="188"/>
      <c r="D213" s="188"/>
      <c r="E213" s="188"/>
      <c r="F213" s="189"/>
      <c r="G213" s="188"/>
      <c r="H213" s="190"/>
      <c r="I213" s="188"/>
      <c r="J213" s="109"/>
    </row>
    <row r="214" spans="1:10" ht="15.95" customHeight="1" x14ac:dyDescent="0.2">
      <c r="A214" s="5" t="s">
        <v>204</v>
      </c>
      <c r="B214" s="5"/>
      <c r="C214" s="4"/>
      <c r="D214" s="4"/>
      <c r="E214" s="4"/>
      <c r="F214" s="4"/>
    </row>
    <row r="215" spans="1:10" ht="15.95" customHeight="1" x14ac:dyDescent="0.2">
      <c r="A215" s="2" t="s">
        <v>159</v>
      </c>
      <c r="G215" s="10"/>
      <c r="H215" s="2"/>
      <c r="I215" s="2"/>
    </row>
    <row r="216" spans="1:10" ht="15.95" customHeight="1" thickBot="1" x14ac:dyDescent="0.25">
      <c r="A216" s="255" t="s">
        <v>161</v>
      </c>
      <c r="B216" s="256"/>
      <c r="C216" s="256"/>
      <c r="D216" s="256"/>
      <c r="E216" s="256" t="s">
        <v>206</v>
      </c>
      <c r="F216" s="256"/>
      <c r="G216" s="256"/>
      <c r="H216" s="256" t="s">
        <v>137</v>
      </c>
      <c r="I216" s="256"/>
      <c r="J216" s="267"/>
    </row>
    <row r="217" spans="1:10" ht="15.95" customHeight="1" thickTop="1" x14ac:dyDescent="0.2">
      <c r="A217" s="290" t="s">
        <v>232</v>
      </c>
      <c r="B217" s="389"/>
      <c r="C217" s="283" t="s">
        <v>233</v>
      </c>
      <c r="D217" s="283"/>
      <c r="E217" s="347">
        <v>70</v>
      </c>
      <c r="F217" s="347"/>
      <c r="G217" s="347"/>
      <c r="H217" s="283" t="s">
        <v>275</v>
      </c>
      <c r="I217" s="283"/>
      <c r="J217" s="293"/>
    </row>
    <row r="219" spans="1:10" ht="15.95" customHeight="1" x14ac:dyDescent="0.2">
      <c r="A219" s="5" t="s">
        <v>215</v>
      </c>
      <c r="B219" s="5"/>
      <c r="C219" s="4"/>
      <c r="D219" s="4"/>
      <c r="E219" s="4"/>
      <c r="F219" s="4"/>
    </row>
    <row r="220" spans="1:10" ht="15.95" customHeight="1" x14ac:dyDescent="0.2">
      <c r="A220" s="379" t="s">
        <v>132</v>
      </c>
      <c r="B220" s="351"/>
      <c r="C220" s="351"/>
      <c r="D220" s="351" t="s">
        <v>158</v>
      </c>
      <c r="E220" s="351"/>
      <c r="F220" s="351"/>
      <c r="G220" s="351"/>
      <c r="H220" s="351" t="s">
        <v>137</v>
      </c>
      <c r="I220" s="351"/>
      <c r="J220" s="352"/>
    </row>
    <row r="221" spans="1:10" ht="15.95" customHeight="1" thickBot="1" x14ac:dyDescent="0.25">
      <c r="A221" s="380"/>
      <c r="B221" s="353"/>
      <c r="C221" s="353"/>
      <c r="D221" s="167" t="s">
        <v>85</v>
      </c>
      <c r="E221" s="167" t="s">
        <v>208</v>
      </c>
      <c r="F221" s="167" t="s">
        <v>209</v>
      </c>
      <c r="G221" s="167" t="s">
        <v>157</v>
      </c>
      <c r="H221" s="353"/>
      <c r="I221" s="353"/>
      <c r="J221" s="354"/>
    </row>
    <row r="222" spans="1:10" ht="15.95" customHeight="1" thickTop="1" x14ac:dyDescent="0.2">
      <c r="A222" s="394" t="s">
        <v>231</v>
      </c>
      <c r="B222" s="395"/>
      <c r="C222" s="349"/>
      <c r="D222" s="173">
        <f>E136</f>
        <v>25046</v>
      </c>
      <c r="E222" s="173">
        <f>ROUND((D222-G222)*E217/100,0)</f>
        <v>13381</v>
      </c>
      <c r="F222" s="173">
        <f>D222-E222-G222</f>
        <v>5734</v>
      </c>
      <c r="G222" s="173">
        <f>I212</f>
        <v>5931</v>
      </c>
      <c r="H222" s="349"/>
      <c r="I222" s="349"/>
      <c r="J222" s="350"/>
    </row>
    <row r="224" spans="1:10" ht="15.95" customHeight="1" x14ac:dyDescent="0.2">
      <c r="A224" s="5" t="s">
        <v>216</v>
      </c>
      <c r="B224" s="5"/>
    </row>
    <row r="225" spans="1:10" ht="23.25" thickBot="1" x14ac:dyDescent="0.25">
      <c r="A225" s="255" t="s">
        <v>132</v>
      </c>
      <c r="B225" s="256"/>
      <c r="C225" s="256"/>
      <c r="D225" s="51" t="s">
        <v>160</v>
      </c>
      <c r="E225" s="51" t="s">
        <v>200</v>
      </c>
      <c r="F225" s="51" t="s">
        <v>201</v>
      </c>
      <c r="G225" s="51" t="s">
        <v>202</v>
      </c>
      <c r="H225" s="51" t="s">
        <v>203</v>
      </c>
      <c r="I225" s="355" t="s">
        <v>137</v>
      </c>
      <c r="J225" s="356"/>
    </row>
    <row r="226" spans="1:10" ht="15.95" customHeight="1" thickTop="1" x14ac:dyDescent="0.2">
      <c r="A226" s="333" t="s">
        <v>186</v>
      </c>
      <c r="B226" s="342"/>
      <c r="C226" s="339"/>
      <c r="D226" s="101">
        <f>SUM(E226:H226)</f>
        <v>25046</v>
      </c>
      <c r="E226" s="101">
        <f>F136</f>
        <v>12826</v>
      </c>
      <c r="F226" s="101">
        <f>G136</f>
        <v>12220</v>
      </c>
      <c r="G226" s="101">
        <f>H136</f>
        <v>0</v>
      </c>
      <c r="H226" s="101">
        <f>I136</f>
        <v>0</v>
      </c>
      <c r="I226" s="357"/>
      <c r="J226" s="358"/>
    </row>
    <row r="227" spans="1:10" ht="15.95" customHeight="1" x14ac:dyDescent="0.2">
      <c r="A227" s="334" t="s">
        <v>208</v>
      </c>
      <c r="B227" s="335"/>
      <c r="C227" s="330"/>
      <c r="D227" s="174">
        <f t="shared" ref="D227:D229" si="76">SUM(E227:H227)</f>
        <v>13380</v>
      </c>
      <c r="E227" s="174">
        <f>ROUND((E226-E229)*$E$217/100,0)</f>
        <v>8978</v>
      </c>
      <c r="F227" s="174">
        <f>ROUND((F226-F229)*$E$217/100,0)</f>
        <v>4402</v>
      </c>
      <c r="G227" s="174">
        <v>0</v>
      </c>
      <c r="H227" s="174">
        <v>0</v>
      </c>
      <c r="I227" s="359"/>
      <c r="J227" s="360"/>
    </row>
    <row r="228" spans="1:10" ht="15.95" customHeight="1" x14ac:dyDescent="0.2">
      <c r="A228" s="334" t="s">
        <v>209</v>
      </c>
      <c r="B228" s="335"/>
      <c r="C228" s="330"/>
      <c r="D228" s="174">
        <f t="shared" si="76"/>
        <v>5735</v>
      </c>
      <c r="E228" s="174">
        <f>E226-E227-E229</f>
        <v>3848</v>
      </c>
      <c r="F228" s="174">
        <f>F226-F227-F229</f>
        <v>1887</v>
      </c>
      <c r="G228" s="174">
        <v>0</v>
      </c>
      <c r="H228" s="174">
        <v>0</v>
      </c>
      <c r="I228" s="359"/>
      <c r="J228" s="360"/>
    </row>
    <row r="229" spans="1:10" ht="15.95" customHeight="1" x14ac:dyDescent="0.2">
      <c r="A229" s="340" t="s">
        <v>214</v>
      </c>
      <c r="B229" s="341"/>
      <c r="C229" s="343"/>
      <c r="D229" s="175">
        <f t="shared" si="76"/>
        <v>5931</v>
      </c>
      <c r="E229" s="175">
        <v>0</v>
      </c>
      <c r="F229" s="175">
        <f>G222</f>
        <v>5931</v>
      </c>
      <c r="G229" s="175">
        <v>0</v>
      </c>
      <c r="H229" s="175">
        <v>0</v>
      </c>
      <c r="I229" s="344"/>
      <c r="J229" s="345"/>
    </row>
  </sheetData>
  <mergeCells count="425">
    <mergeCell ref="A200:A206"/>
    <mergeCell ref="B200:D200"/>
    <mergeCell ref="B201:D201"/>
    <mergeCell ref="B202:B206"/>
    <mergeCell ref="C202:D202"/>
    <mergeCell ref="C203:D203"/>
    <mergeCell ref="C204:D204"/>
    <mergeCell ref="C205:D205"/>
    <mergeCell ref="C206:D206"/>
    <mergeCell ref="E82:F82"/>
    <mergeCell ref="G82:H82"/>
    <mergeCell ref="I82:J82"/>
    <mergeCell ref="A83:B83"/>
    <mergeCell ref="C83:D83"/>
    <mergeCell ref="E83:F83"/>
    <mergeCell ref="G83:H83"/>
    <mergeCell ref="I83:J83"/>
    <mergeCell ref="B128:C128"/>
    <mergeCell ref="B145:B149"/>
    <mergeCell ref="B152:B156"/>
    <mergeCell ref="A157:A163"/>
    <mergeCell ref="C14:D14"/>
    <mergeCell ref="A78:B78"/>
    <mergeCell ref="C78:D78"/>
    <mergeCell ref="E78:F78"/>
    <mergeCell ref="G78:H78"/>
    <mergeCell ref="I78:J78"/>
    <mergeCell ref="A79:B79"/>
    <mergeCell ref="C79:D79"/>
    <mergeCell ref="E79:F79"/>
    <mergeCell ref="G79:H79"/>
    <mergeCell ref="I79:J79"/>
    <mergeCell ref="A80:B80"/>
    <mergeCell ref="C80:D80"/>
    <mergeCell ref="E80:F80"/>
    <mergeCell ref="G80:H80"/>
    <mergeCell ref="I80:J80"/>
    <mergeCell ref="A81:B81"/>
    <mergeCell ref="C81:D81"/>
    <mergeCell ref="E81:F81"/>
    <mergeCell ref="G81:H81"/>
    <mergeCell ref="I81:J81"/>
    <mergeCell ref="E72:F72"/>
    <mergeCell ref="G72:H72"/>
    <mergeCell ref="I72:J72"/>
    <mergeCell ref="A185:D185"/>
    <mergeCell ref="E73:F73"/>
    <mergeCell ref="G73:H73"/>
    <mergeCell ref="I73:J73"/>
    <mergeCell ref="A74:B74"/>
    <mergeCell ref="C74:D74"/>
    <mergeCell ref="E74:F74"/>
    <mergeCell ref="G74:H74"/>
    <mergeCell ref="I74:J74"/>
    <mergeCell ref="A75:B75"/>
    <mergeCell ref="C75:D75"/>
    <mergeCell ref="E75:F75"/>
    <mergeCell ref="G75:H75"/>
    <mergeCell ref="I75:J75"/>
    <mergeCell ref="A171:A177"/>
    <mergeCell ref="A178:A184"/>
    <mergeCell ref="A143:A149"/>
    <mergeCell ref="A164:A170"/>
    <mergeCell ref="B166:B170"/>
    <mergeCell ref="A150:A156"/>
    <mergeCell ref="B159:B163"/>
    <mergeCell ref="E57:F57"/>
    <mergeCell ref="G57:H57"/>
    <mergeCell ref="I57:J57"/>
    <mergeCell ref="E70:F70"/>
    <mergeCell ref="G70:H70"/>
    <mergeCell ref="I70:J70"/>
    <mergeCell ref="A71:B71"/>
    <mergeCell ref="C71:D71"/>
    <mergeCell ref="E71:F71"/>
    <mergeCell ref="G71:H71"/>
    <mergeCell ref="I71:J71"/>
    <mergeCell ref="C199:D199"/>
    <mergeCell ref="E52:F52"/>
    <mergeCell ref="G52:H52"/>
    <mergeCell ref="I52:J52"/>
    <mergeCell ref="A53:B53"/>
    <mergeCell ref="C53:D53"/>
    <mergeCell ref="E53:F53"/>
    <mergeCell ref="G53:H53"/>
    <mergeCell ref="I53:J53"/>
    <mergeCell ref="A54:B54"/>
    <mergeCell ref="C54:D54"/>
    <mergeCell ref="E54:F54"/>
    <mergeCell ref="G54:H54"/>
    <mergeCell ref="I54:J54"/>
    <mergeCell ref="E55:F55"/>
    <mergeCell ref="G55:H55"/>
    <mergeCell ref="I55:J55"/>
    <mergeCell ref="A56:B56"/>
    <mergeCell ref="C56:D56"/>
    <mergeCell ref="E56:F56"/>
    <mergeCell ref="G56:H56"/>
    <mergeCell ref="I56:J56"/>
    <mergeCell ref="A57:B57"/>
    <mergeCell ref="C57:D57"/>
    <mergeCell ref="B151:D151"/>
    <mergeCell ref="C152:D152"/>
    <mergeCell ref="C153:D153"/>
    <mergeCell ref="A226:C226"/>
    <mergeCell ref="A227:C227"/>
    <mergeCell ref="A228:C228"/>
    <mergeCell ref="A229:C229"/>
    <mergeCell ref="A220:C221"/>
    <mergeCell ref="D220:G220"/>
    <mergeCell ref="A222:C222"/>
    <mergeCell ref="A225:C225"/>
    <mergeCell ref="A186:A192"/>
    <mergeCell ref="B188:B192"/>
    <mergeCell ref="C217:D217"/>
    <mergeCell ref="A217:B217"/>
    <mergeCell ref="A216:D216"/>
    <mergeCell ref="A193:A199"/>
    <mergeCell ref="B193:D193"/>
    <mergeCell ref="B194:D194"/>
    <mergeCell ref="B195:B199"/>
    <mergeCell ref="C195:D195"/>
    <mergeCell ref="C196:D196"/>
    <mergeCell ref="C197:D197"/>
    <mergeCell ref="C198:D198"/>
    <mergeCell ref="C154:D154"/>
    <mergeCell ref="C155:D155"/>
    <mergeCell ref="C156:D156"/>
    <mergeCell ref="B157:D157"/>
    <mergeCell ref="B158:D158"/>
    <mergeCell ref="C159:D159"/>
    <mergeCell ref="C160:D160"/>
    <mergeCell ref="A136:A142"/>
    <mergeCell ref="B138:B142"/>
    <mergeCell ref="B136:D136"/>
    <mergeCell ref="B137:D137"/>
    <mergeCell ref="C138:D138"/>
    <mergeCell ref="C139:D139"/>
    <mergeCell ref="C140:D140"/>
    <mergeCell ref="C141:D141"/>
    <mergeCell ref="C142:D142"/>
    <mergeCell ref="B143:D143"/>
    <mergeCell ref="B144:D144"/>
    <mergeCell ref="C145:D145"/>
    <mergeCell ref="C146:D146"/>
    <mergeCell ref="C147:D147"/>
    <mergeCell ref="C148:D148"/>
    <mergeCell ref="C149:D149"/>
    <mergeCell ref="B150:D150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18:C118"/>
    <mergeCell ref="B119:C119"/>
    <mergeCell ref="I21:J21"/>
    <mergeCell ref="I22:J22"/>
    <mergeCell ref="I23:J23"/>
    <mergeCell ref="D86:F86"/>
    <mergeCell ref="G86:I86"/>
    <mergeCell ref="J86:J87"/>
    <mergeCell ref="I24:J24"/>
    <mergeCell ref="C27:D27"/>
    <mergeCell ref="E27:F27"/>
    <mergeCell ref="G27:H27"/>
    <mergeCell ref="I27:J27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J5:J6"/>
    <mergeCell ref="H5:I5"/>
    <mergeCell ref="C7:D7"/>
    <mergeCell ref="C8:D8"/>
    <mergeCell ref="C9:D9"/>
    <mergeCell ref="C5:D6"/>
    <mergeCell ref="E5:G5"/>
    <mergeCell ref="A16:C16"/>
    <mergeCell ref="H16:I16"/>
    <mergeCell ref="C10:D10"/>
    <mergeCell ref="C15:D15"/>
    <mergeCell ref="C11:D11"/>
    <mergeCell ref="A5:A6"/>
    <mergeCell ref="B5:B6"/>
    <mergeCell ref="C12:D12"/>
    <mergeCell ref="C13:D13"/>
    <mergeCell ref="I19:J19"/>
    <mergeCell ref="C28:D28"/>
    <mergeCell ref="E28:F28"/>
    <mergeCell ref="G28:H28"/>
    <mergeCell ref="I28:J28"/>
    <mergeCell ref="C19:D19"/>
    <mergeCell ref="C20:D20"/>
    <mergeCell ref="C21:D21"/>
    <mergeCell ref="C22:D22"/>
    <mergeCell ref="C23:D23"/>
    <mergeCell ref="C24:D24"/>
    <mergeCell ref="E19:F19"/>
    <mergeCell ref="E20:F20"/>
    <mergeCell ref="E21:F21"/>
    <mergeCell ref="E22:F22"/>
    <mergeCell ref="E23:F23"/>
    <mergeCell ref="E24:F24"/>
    <mergeCell ref="I20:J20"/>
    <mergeCell ref="G19:H19"/>
    <mergeCell ref="G20:H20"/>
    <mergeCell ref="G21:H21"/>
    <mergeCell ref="G22:H22"/>
    <mergeCell ref="G23:H23"/>
    <mergeCell ref="G24:H24"/>
    <mergeCell ref="E36:F36"/>
    <mergeCell ref="G36:H36"/>
    <mergeCell ref="I36:J36"/>
    <mergeCell ref="C37:D37"/>
    <mergeCell ref="E37:F37"/>
    <mergeCell ref="G37:H37"/>
    <mergeCell ref="I37:J37"/>
    <mergeCell ref="G31:H31"/>
    <mergeCell ref="I31:J31"/>
    <mergeCell ref="C32:D32"/>
    <mergeCell ref="E32:F32"/>
    <mergeCell ref="G32:H32"/>
    <mergeCell ref="I32:J32"/>
    <mergeCell ref="C35:D35"/>
    <mergeCell ref="E35:F35"/>
    <mergeCell ref="G35:H35"/>
    <mergeCell ref="I35:J35"/>
    <mergeCell ref="E31:F31"/>
    <mergeCell ref="C36:D36"/>
    <mergeCell ref="G49:H49"/>
    <mergeCell ref="I49:J49"/>
    <mergeCell ref="C38:D38"/>
    <mergeCell ref="E38:F38"/>
    <mergeCell ref="G38:H38"/>
    <mergeCell ref="I38:J38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E64:F64"/>
    <mergeCell ref="G64:H64"/>
    <mergeCell ref="I64:J64"/>
    <mergeCell ref="C67:D67"/>
    <mergeCell ref="E67:F67"/>
    <mergeCell ref="G67:H67"/>
    <mergeCell ref="I67:J67"/>
    <mergeCell ref="C65:D65"/>
    <mergeCell ref="E65:F65"/>
    <mergeCell ref="G65:H65"/>
    <mergeCell ref="I65:J65"/>
    <mergeCell ref="C66:D66"/>
    <mergeCell ref="E66:F66"/>
    <mergeCell ref="G66:H66"/>
    <mergeCell ref="I66:J66"/>
    <mergeCell ref="E63:F63"/>
    <mergeCell ref="G63:H63"/>
    <mergeCell ref="I63:J63"/>
    <mergeCell ref="C47:D47"/>
    <mergeCell ref="E47:F47"/>
    <mergeCell ref="G47:H47"/>
    <mergeCell ref="I47:J47"/>
    <mergeCell ref="C48:D48"/>
    <mergeCell ref="E48:F48"/>
    <mergeCell ref="G48:H48"/>
    <mergeCell ref="I48:J48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E49:F49"/>
    <mergeCell ref="A19:B19"/>
    <mergeCell ref="A20:B20"/>
    <mergeCell ref="A21:B21"/>
    <mergeCell ref="A22:B22"/>
    <mergeCell ref="A23:B23"/>
    <mergeCell ref="A24:B24"/>
    <mergeCell ref="A27:B27"/>
    <mergeCell ref="A28:B28"/>
    <mergeCell ref="A29:B29"/>
    <mergeCell ref="A30:B30"/>
    <mergeCell ref="A31:B31"/>
    <mergeCell ref="A32:B32"/>
    <mergeCell ref="A35:B35"/>
    <mergeCell ref="A36:B36"/>
    <mergeCell ref="A37:B37"/>
    <mergeCell ref="A38:B38"/>
    <mergeCell ref="A41:B41"/>
    <mergeCell ref="A42:B42"/>
    <mergeCell ref="A43:B43"/>
    <mergeCell ref="A44:B44"/>
    <mergeCell ref="A60:B60"/>
    <mergeCell ref="A61:B61"/>
    <mergeCell ref="A62:B62"/>
    <mergeCell ref="A63:B63"/>
    <mergeCell ref="A64:B64"/>
    <mergeCell ref="A65:B65"/>
    <mergeCell ref="A66:B66"/>
    <mergeCell ref="A52:B52"/>
    <mergeCell ref="A55:B55"/>
    <mergeCell ref="A67:B67"/>
    <mergeCell ref="A47:B47"/>
    <mergeCell ref="A48:B48"/>
    <mergeCell ref="A49:B49"/>
    <mergeCell ref="A86:C87"/>
    <mergeCell ref="C49:D49"/>
    <mergeCell ref="C64:D64"/>
    <mergeCell ref="C63:D63"/>
    <mergeCell ref="C52:D52"/>
    <mergeCell ref="C55:D55"/>
    <mergeCell ref="A70:B70"/>
    <mergeCell ref="C70:D70"/>
    <mergeCell ref="A73:B73"/>
    <mergeCell ref="C73:D73"/>
    <mergeCell ref="A72:B72"/>
    <mergeCell ref="C72:D72"/>
    <mergeCell ref="A82:B82"/>
    <mergeCell ref="C82:D82"/>
    <mergeCell ref="B120:C120"/>
    <mergeCell ref="B121:C121"/>
    <mergeCell ref="B122:C122"/>
    <mergeCell ref="B108:C108"/>
    <mergeCell ref="B109:C109"/>
    <mergeCell ref="B110:C110"/>
    <mergeCell ref="B111:C111"/>
    <mergeCell ref="B112:C112"/>
    <mergeCell ref="A135:D135"/>
    <mergeCell ref="B123:C123"/>
    <mergeCell ref="B124:C124"/>
    <mergeCell ref="B125:C125"/>
    <mergeCell ref="B126:C126"/>
    <mergeCell ref="B127:C127"/>
    <mergeCell ref="B113:C113"/>
    <mergeCell ref="B114:C114"/>
    <mergeCell ref="B115:C115"/>
    <mergeCell ref="B116:C116"/>
    <mergeCell ref="B117:C117"/>
    <mergeCell ref="B129:C129"/>
    <mergeCell ref="B130:C130"/>
    <mergeCell ref="B131:C131"/>
    <mergeCell ref="B132:C132"/>
    <mergeCell ref="C161:D161"/>
    <mergeCell ref="C162:D162"/>
    <mergeCell ref="C163:D163"/>
    <mergeCell ref="B164:D164"/>
    <mergeCell ref="B165:D165"/>
    <mergeCell ref="C166:D166"/>
    <mergeCell ref="C167:D167"/>
    <mergeCell ref="C168:D168"/>
    <mergeCell ref="C169:D169"/>
    <mergeCell ref="C170:D170"/>
    <mergeCell ref="C188:D188"/>
    <mergeCell ref="C189:D189"/>
    <mergeCell ref="C190:D190"/>
    <mergeCell ref="C191:D191"/>
    <mergeCell ref="C192:D192"/>
    <mergeCell ref="B171:D171"/>
    <mergeCell ref="B172:D172"/>
    <mergeCell ref="C173:D173"/>
    <mergeCell ref="C174:D174"/>
    <mergeCell ref="C175:D175"/>
    <mergeCell ref="C176:D176"/>
    <mergeCell ref="C177:D177"/>
    <mergeCell ref="B186:D186"/>
    <mergeCell ref="B187:D187"/>
    <mergeCell ref="B173:B177"/>
    <mergeCell ref="B178:D178"/>
    <mergeCell ref="B179:D179"/>
    <mergeCell ref="B180:B184"/>
    <mergeCell ref="C180:D180"/>
    <mergeCell ref="C181:D181"/>
    <mergeCell ref="C182:D182"/>
    <mergeCell ref="C183:D183"/>
    <mergeCell ref="C184:D184"/>
    <mergeCell ref="H222:J222"/>
    <mergeCell ref="H220:J221"/>
    <mergeCell ref="I225:J225"/>
    <mergeCell ref="I226:J226"/>
    <mergeCell ref="I227:J227"/>
    <mergeCell ref="I228:J228"/>
    <mergeCell ref="I229:J229"/>
    <mergeCell ref="E216:G216"/>
    <mergeCell ref="E217:G217"/>
    <mergeCell ref="H216:J216"/>
    <mergeCell ref="H217:J21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rowBreaks count="3" manualBreakCount="3">
    <brk id="50" max="9" man="1"/>
    <brk id="84" max="9" man="1"/>
    <brk id="13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zoomScale="130" zoomScaleNormal="115" zoomScaleSheetLayoutView="130" workbookViewId="0">
      <selection activeCell="H25" sqref="H25"/>
    </sheetView>
  </sheetViews>
  <sheetFormatPr defaultRowHeight="15.95" customHeight="1" x14ac:dyDescent="0.2"/>
  <cols>
    <col min="1" max="6" width="8.88671875" style="2" customWidth="1"/>
    <col min="7" max="9" width="8.88671875" style="14" customWidth="1"/>
    <col min="10" max="16384" width="8.88671875" style="14"/>
  </cols>
  <sheetData>
    <row r="1" spans="1:9" ht="15.95" customHeight="1" x14ac:dyDescent="0.2">
      <c r="A1" s="5" t="s">
        <v>519</v>
      </c>
      <c r="B1" s="5"/>
    </row>
    <row r="2" spans="1:9" ht="15.95" customHeight="1" x14ac:dyDescent="0.2">
      <c r="A2" s="5" t="s">
        <v>90</v>
      </c>
      <c r="B2" s="5"/>
      <c r="C2" s="4"/>
      <c r="D2" s="4"/>
      <c r="E2" s="4"/>
      <c r="F2" s="4"/>
    </row>
    <row r="3" spans="1:9" ht="15.95" customHeight="1" x14ac:dyDescent="0.2">
      <c r="A3" s="2" t="s">
        <v>253</v>
      </c>
      <c r="B3" s="5"/>
      <c r="C3" s="4"/>
      <c r="D3" s="4"/>
      <c r="E3" s="4"/>
      <c r="F3" s="4"/>
    </row>
    <row r="4" spans="1:9" ht="15.95" customHeight="1" x14ac:dyDescent="0.2">
      <c r="A4" s="5" t="s">
        <v>329</v>
      </c>
      <c r="B4" s="5"/>
      <c r="C4" s="4"/>
      <c r="D4" s="4"/>
      <c r="E4" s="4"/>
      <c r="F4" s="4"/>
    </row>
    <row r="5" spans="1:9" ht="15.95" customHeight="1" x14ac:dyDescent="0.2">
      <c r="A5" s="284" t="s">
        <v>243</v>
      </c>
      <c r="B5" s="286" t="s">
        <v>244</v>
      </c>
      <c r="C5" s="286" t="s">
        <v>245</v>
      </c>
      <c r="D5" s="286"/>
      <c r="E5" s="286"/>
      <c r="F5" s="286"/>
      <c r="G5" s="286"/>
      <c r="H5" s="286"/>
      <c r="I5" s="280"/>
    </row>
    <row r="6" spans="1:9" ht="15.95" customHeight="1" thickBot="1" x14ac:dyDescent="0.25">
      <c r="A6" s="285"/>
      <c r="B6" s="287"/>
      <c r="C6" s="140" t="s">
        <v>246</v>
      </c>
      <c r="D6" s="140" t="s">
        <v>247</v>
      </c>
      <c r="E6" s="140" t="s">
        <v>248</v>
      </c>
      <c r="F6" s="140" t="s">
        <v>249</v>
      </c>
      <c r="G6" s="140" t="s">
        <v>250</v>
      </c>
      <c r="H6" s="140" t="s">
        <v>251</v>
      </c>
      <c r="I6" s="137" t="s">
        <v>252</v>
      </c>
    </row>
    <row r="7" spans="1:9" ht="15.95" customHeight="1" thickTop="1" x14ac:dyDescent="0.2">
      <c r="A7" s="272" t="s">
        <v>259</v>
      </c>
      <c r="B7" s="138" t="s">
        <v>390</v>
      </c>
      <c r="C7" s="115">
        <f>SUM(D7:I7)</f>
        <v>4559.2</v>
      </c>
      <c r="D7" s="115">
        <f t="shared" ref="D7:I7" si="0">SUM(D8:D14)</f>
        <v>1715.4</v>
      </c>
      <c r="E7" s="115">
        <f t="shared" si="0"/>
        <v>643.4</v>
      </c>
      <c r="F7" s="115">
        <f t="shared" si="0"/>
        <v>722.6</v>
      </c>
      <c r="G7" s="115">
        <f t="shared" si="0"/>
        <v>872.1</v>
      </c>
      <c r="H7" s="115">
        <f t="shared" si="0"/>
        <v>605.70000000000005</v>
      </c>
      <c r="I7" s="117">
        <f t="shared" si="0"/>
        <v>0</v>
      </c>
    </row>
    <row r="8" spans="1:9" ht="15.95" customHeight="1" x14ac:dyDescent="0.2">
      <c r="A8" s="275"/>
      <c r="B8" s="64">
        <v>300</v>
      </c>
      <c r="C8" s="115">
        <v>168.3</v>
      </c>
      <c r="D8" s="115" t="s">
        <v>330</v>
      </c>
      <c r="E8" s="115">
        <v>67.7</v>
      </c>
      <c r="F8" s="115" t="s">
        <v>330</v>
      </c>
      <c r="G8" s="115" t="s">
        <v>330</v>
      </c>
      <c r="H8" s="115">
        <v>100.6</v>
      </c>
      <c r="I8" s="117" t="s">
        <v>330</v>
      </c>
    </row>
    <row r="9" spans="1:9" ht="15.95" customHeight="1" x14ac:dyDescent="0.2">
      <c r="A9" s="275"/>
      <c r="B9" s="64">
        <v>400</v>
      </c>
      <c r="C9" s="115">
        <v>264.39999999999998</v>
      </c>
      <c r="D9" s="115">
        <v>158.19999999999999</v>
      </c>
      <c r="E9" s="115">
        <v>106.2</v>
      </c>
      <c r="F9" s="115" t="s">
        <v>330</v>
      </c>
      <c r="G9" s="115" t="s">
        <v>330</v>
      </c>
      <c r="H9" s="115" t="s">
        <v>330</v>
      </c>
      <c r="I9" s="117" t="s">
        <v>330</v>
      </c>
    </row>
    <row r="10" spans="1:9" ht="15.95" customHeight="1" x14ac:dyDescent="0.2">
      <c r="A10" s="275"/>
      <c r="B10" s="64">
        <v>500</v>
      </c>
      <c r="C10" s="115">
        <v>722.6</v>
      </c>
      <c r="D10" s="115" t="s">
        <v>330</v>
      </c>
      <c r="E10" s="115" t="s">
        <v>330</v>
      </c>
      <c r="F10" s="115">
        <v>722.6</v>
      </c>
      <c r="G10" s="115" t="s">
        <v>330</v>
      </c>
      <c r="H10" s="115" t="s">
        <v>330</v>
      </c>
      <c r="I10" s="117" t="s">
        <v>330</v>
      </c>
    </row>
    <row r="11" spans="1:9" ht="15.95" customHeight="1" x14ac:dyDescent="0.2">
      <c r="A11" s="275"/>
      <c r="B11" s="64">
        <v>600</v>
      </c>
      <c r="C11" s="115">
        <v>1681.1</v>
      </c>
      <c r="D11" s="115">
        <v>1211.5999999999999</v>
      </c>
      <c r="E11" s="115">
        <v>469.5</v>
      </c>
      <c r="F11" s="115" t="s">
        <v>330</v>
      </c>
      <c r="G11" s="115" t="s">
        <v>330</v>
      </c>
      <c r="H11" s="115" t="s">
        <v>330</v>
      </c>
      <c r="I11" s="117" t="s">
        <v>330</v>
      </c>
    </row>
    <row r="12" spans="1:9" ht="15.95" customHeight="1" x14ac:dyDescent="0.2">
      <c r="A12" s="275"/>
      <c r="B12" s="64">
        <v>700</v>
      </c>
      <c r="C12" s="115">
        <v>239.3</v>
      </c>
      <c r="D12" s="115">
        <v>195.7</v>
      </c>
      <c r="E12" s="115" t="s">
        <v>330</v>
      </c>
      <c r="F12" s="115" t="s">
        <v>330</v>
      </c>
      <c r="G12" s="115">
        <v>43.6</v>
      </c>
      <c r="H12" s="115" t="s">
        <v>330</v>
      </c>
      <c r="I12" s="117" t="s">
        <v>330</v>
      </c>
    </row>
    <row r="13" spans="1:9" ht="15.95" customHeight="1" x14ac:dyDescent="0.2">
      <c r="A13" s="275"/>
      <c r="B13" s="64">
        <v>900</v>
      </c>
      <c r="C13" s="115">
        <v>149.9</v>
      </c>
      <c r="D13" s="115">
        <v>149.9</v>
      </c>
      <c r="E13" s="115" t="s">
        <v>330</v>
      </c>
      <c r="F13" s="115" t="s">
        <v>330</v>
      </c>
      <c r="G13" s="115" t="s">
        <v>330</v>
      </c>
      <c r="H13" s="115" t="s">
        <v>330</v>
      </c>
      <c r="I13" s="117" t="s">
        <v>330</v>
      </c>
    </row>
    <row r="14" spans="1:9" ht="15.95" customHeight="1" x14ac:dyDescent="0.2">
      <c r="A14" s="265"/>
      <c r="B14" s="66">
        <v>1000</v>
      </c>
      <c r="C14" s="116">
        <v>1333.6</v>
      </c>
      <c r="D14" s="116" t="s">
        <v>330</v>
      </c>
      <c r="E14" s="116" t="s">
        <v>330</v>
      </c>
      <c r="F14" s="116" t="s">
        <v>330</v>
      </c>
      <c r="G14" s="116">
        <v>828.5</v>
      </c>
      <c r="H14" s="116">
        <v>505.1</v>
      </c>
      <c r="I14" s="118" t="s">
        <v>330</v>
      </c>
    </row>
    <row r="15" spans="1:9" ht="15.95" customHeight="1" x14ac:dyDescent="0.2">
      <c r="A15" s="417"/>
      <c r="B15" s="417"/>
      <c r="C15" s="417"/>
      <c r="D15" s="16"/>
      <c r="E15" s="16"/>
      <c r="F15" s="17"/>
      <c r="G15" s="15"/>
      <c r="H15" s="418"/>
      <c r="I15" s="418"/>
    </row>
    <row r="16" spans="1:9" ht="15.95" customHeight="1" x14ac:dyDescent="0.2">
      <c r="A16" s="5" t="s">
        <v>331</v>
      </c>
      <c r="B16" s="5"/>
      <c r="C16" s="4"/>
      <c r="D16" s="4"/>
      <c r="E16" s="4"/>
      <c r="F16" s="4"/>
    </row>
    <row r="17" spans="1:9" ht="15.95" customHeight="1" x14ac:dyDescent="0.2">
      <c r="A17" s="284" t="s">
        <v>161</v>
      </c>
      <c r="B17" s="286" t="s">
        <v>234</v>
      </c>
      <c r="C17" s="286" t="s">
        <v>242</v>
      </c>
      <c r="D17" s="286"/>
      <c r="E17" s="286"/>
      <c r="F17" s="286"/>
      <c r="G17" s="286"/>
      <c r="H17" s="286"/>
      <c r="I17" s="337" t="s">
        <v>164</v>
      </c>
    </row>
    <row r="18" spans="1:9" ht="15.95" customHeight="1" thickBot="1" x14ac:dyDescent="0.25">
      <c r="A18" s="285"/>
      <c r="B18" s="287"/>
      <c r="C18" s="140" t="s">
        <v>186</v>
      </c>
      <c r="D18" s="140" t="s">
        <v>339</v>
      </c>
      <c r="E18" s="140" t="s">
        <v>340</v>
      </c>
      <c r="F18" s="140" t="s">
        <v>341</v>
      </c>
      <c r="G18" s="140" t="s">
        <v>342</v>
      </c>
      <c r="H18" s="140" t="s">
        <v>343</v>
      </c>
      <c r="I18" s="338"/>
    </row>
    <row r="19" spans="1:9" ht="15.95" customHeight="1" thickTop="1" x14ac:dyDescent="0.2">
      <c r="A19" s="272" t="s">
        <v>258</v>
      </c>
      <c r="B19" s="138" t="s">
        <v>390</v>
      </c>
      <c r="C19" s="115">
        <f t="shared" ref="C19:C29" si="1">SUM(D19:H19,C33:H33)</f>
        <v>6404.9000000000005</v>
      </c>
      <c r="D19" s="115">
        <f>SUM(D20:D29)</f>
        <v>467.2</v>
      </c>
      <c r="E19" s="115">
        <f>SUM(E20:E29)</f>
        <v>16.7</v>
      </c>
      <c r="F19" s="115">
        <f>SUM(F20:F29)</f>
        <v>293.10000000000002</v>
      </c>
      <c r="G19" s="115">
        <f>SUM(G20:G29)</f>
        <v>164</v>
      </c>
      <c r="H19" s="115">
        <f>SUM(H20:H29)</f>
        <v>1391</v>
      </c>
      <c r="I19" s="104"/>
    </row>
    <row r="20" spans="1:9" ht="15.95" customHeight="1" x14ac:dyDescent="0.2">
      <c r="A20" s="275"/>
      <c r="B20" s="64">
        <v>150</v>
      </c>
      <c r="C20" s="115">
        <f t="shared" si="1"/>
        <v>76.900000000000006</v>
      </c>
      <c r="D20" s="115">
        <v>19.399999999999999</v>
      </c>
      <c r="E20" s="115" t="s">
        <v>330</v>
      </c>
      <c r="F20" s="115" t="s">
        <v>330</v>
      </c>
      <c r="G20" s="115" t="s">
        <v>330</v>
      </c>
      <c r="H20" s="115" t="s">
        <v>330</v>
      </c>
      <c r="I20" s="105"/>
    </row>
    <row r="21" spans="1:9" ht="15.95" customHeight="1" x14ac:dyDescent="0.2">
      <c r="A21" s="275"/>
      <c r="B21" s="64">
        <v>200</v>
      </c>
      <c r="C21" s="115">
        <f t="shared" si="1"/>
        <v>1094.3</v>
      </c>
      <c r="D21" s="115" t="s">
        <v>330</v>
      </c>
      <c r="E21" s="115" t="s">
        <v>330</v>
      </c>
      <c r="F21" s="115" t="s">
        <v>330</v>
      </c>
      <c r="G21" s="115">
        <v>94.8</v>
      </c>
      <c r="H21" s="115">
        <v>422.3</v>
      </c>
      <c r="I21" s="105"/>
    </row>
    <row r="22" spans="1:9" ht="15.95" customHeight="1" x14ac:dyDescent="0.2">
      <c r="A22" s="275"/>
      <c r="B22" s="64">
        <v>250</v>
      </c>
      <c r="C22" s="115">
        <f t="shared" si="1"/>
        <v>1239.4999999999998</v>
      </c>
      <c r="D22" s="115">
        <v>198.7</v>
      </c>
      <c r="E22" s="115" t="s">
        <v>330</v>
      </c>
      <c r="F22" s="115">
        <v>293.10000000000002</v>
      </c>
      <c r="G22" s="115" t="s">
        <v>330</v>
      </c>
      <c r="H22" s="115">
        <v>5.5</v>
      </c>
      <c r="I22" s="105"/>
    </row>
    <row r="23" spans="1:9" ht="15.95" customHeight="1" x14ac:dyDescent="0.2">
      <c r="A23" s="275"/>
      <c r="B23" s="64">
        <v>300</v>
      </c>
      <c r="C23" s="115">
        <f t="shared" si="1"/>
        <v>1508.9</v>
      </c>
      <c r="D23" s="115">
        <v>249.1</v>
      </c>
      <c r="E23" s="115" t="s">
        <v>330</v>
      </c>
      <c r="F23" s="115" t="s">
        <v>330</v>
      </c>
      <c r="G23" s="115">
        <v>69.2</v>
      </c>
      <c r="H23" s="115">
        <v>326</v>
      </c>
      <c r="I23" s="105"/>
    </row>
    <row r="24" spans="1:9" ht="15.95" customHeight="1" x14ac:dyDescent="0.2">
      <c r="A24" s="275"/>
      <c r="B24" s="64">
        <v>350</v>
      </c>
      <c r="C24" s="115">
        <f t="shared" si="1"/>
        <v>26.3</v>
      </c>
      <c r="D24" s="115">
        <v>0</v>
      </c>
      <c r="E24" s="115" t="s">
        <v>332</v>
      </c>
      <c r="F24" s="115" t="s">
        <v>332</v>
      </c>
      <c r="G24" s="115" t="s">
        <v>332</v>
      </c>
      <c r="H24" s="115" t="s">
        <v>332</v>
      </c>
      <c r="I24" s="105"/>
    </row>
    <row r="25" spans="1:9" ht="15.95" customHeight="1" x14ac:dyDescent="0.2">
      <c r="A25" s="275"/>
      <c r="B25" s="64">
        <v>400</v>
      </c>
      <c r="C25" s="115">
        <f t="shared" si="1"/>
        <v>984</v>
      </c>
      <c r="D25" s="115" t="s">
        <v>330</v>
      </c>
      <c r="E25" s="115">
        <v>16.7</v>
      </c>
      <c r="F25" s="115" t="s">
        <v>330</v>
      </c>
      <c r="G25" s="115" t="s">
        <v>330</v>
      </c>
      <c r="H25" s="115">
        <v>295.7</v>
      </c>
      <c r="I25" s="105"/>
    </row>
    <row r="26" spans="1:9" ht="15.95" customHeight="1" x14ac:dyDescent="0.2">
      <c r="A26" s="275"/>
      <c r="B26" s="64">
        <v>450</v>
      </c>
      <c r="C26" s="115">
        <f t="shared" si="1"/>
        <v>322.5</v>
      </c>
      <c r="D26" s="115" t="s">
        <v>330</v>
      </c>
      <c r="E26" s="115" t="s">
        <v>330</v>
      </c>
      <c r="F26" s="115" t="s">
        <v>330</v>
      </c>
      <c r="G26" s="115" t="s">
        <v>330</v>
      </c>
      <c r="H26" s="115" t="s">
        <v>330</v>
      </c>
      <c r="I26" s="105"/>
    </row>
    <row r="27" spans="1:9" ht="15.95" customHeight="1" x14ac:dyDescent="0.2">
      <c r="A27" s="275"/>
      <c r="B27" s="64">
        <v>500</v>
      </c>
      <c r="C27" s="115">
        <f t="shared" si="1"/>
        <v>388</v>
      </c>
      <c r="D27" s="115" t="s">
        <v>330</v>
      </c>
      <c r="E27" s="115" t="s">
        <v>330</v>
      </c>
      <c r="F27" s="115" t="s">
        <v>330</v>
      </c>
      <c r="G27" s="115" t="s">
        <v>330</v>
      </c>
      <c r="H27" s="115">
        <v>341.5</v>
      </c>
      <c r="I27" s="105"/>
    </row>
    <row r="28" spans="1:9" ht="15.95" customHeight="1" x14ac:dyDescent="0.2">
      <c r="A28" s="275"/>
      <c r="B28" s="64">
        <v>600</v>
      </c>
      <c r="C28" s="115">
        <f t="shared" si="1"/>
        <v>276.5</v>
      </c>
      <c r="D28" s="115" t="s">
        <v>330</v>
      </c>
      <c r="E28" s="115" t="s">
        <v>330</v>
      </c>
      <c r="F28" s="115" t="s">
        <v>330</v>
      </c>
      <c r="G28" s="115" t="s">
        <v>330</v>
      </c>
      <c r="H28" s="115" t="s">
        <v>330</v>
      </c>
      <c r="I28" s="105"/>
    </row>
    <row r="29" spans="1:9" ht="15.95" customHeight="1" x14ac:dyDescent="0.2">
      <c r="A29" s="265"/>
      <c r="B29" s="66">
        <v>700</v>
      </c>
      <c r="C29" s="116">
        <f t="shared" si="1"/>
        <v>488</v>
      </c>
      <c r="D29" s="116" t="s">
        <v>330</v>
      </c>
      <c r="E29" s="116" t="s">
        <v>330</v>
      </c>
      <c r="F29" s="116" t="s">
        <v>330</v>
      </c>
      <c r="G29" s="116" t="s">
        <v>330</v>
      </c>
      <c r="H29" s="116" t="s">
        <v>330</v>
      </c>
      <c r="I29" s="106"/>
    </row>
    <row r="30" spans="1:9" ht="15.95" customHeight="1" x14ac:dyDescent="0.2">
      <c r="A30" s="57"/>
      <c r="B30" s="108"/>
      <c r="C30" s="109"/>
      <c r="D30" s="109"/>
      <c r="E30" s="110"/>
      <c r="F30" s="110"/>
      <c r="G30" s="111"/>
      <c r="H30" s="112"/>
      <c r="I30" s="113"/>
    </row>
    <row r="31" spans="1:9" ht="15.95" customHeight="1" x14ac:dyDescent="0.2">
      <c r="A31" s="284" t="s">
        <v>66</v>
      </c>
      <c r="B31" s="286" t="s">
        <v>234</v>
      </c>
      <c r="C31" s="286" t="s">
        <v>242</v>
      </c>
      <c r="D31" s="286"/>
      <c r="E31" s="286"/>
      <c r="F31" s="286"/>
      <c r="G31" s="286"/>
      <c r="H31" s="286"/>
      <c r="I31" s="337" t="s">
        <v>137</v>
      </c>
    </row>
    <row r="32" spans="1:9" ht="15.95" customHeight="1" thickBot="1" x14ac:dyDescent="0.25">
      <c r="A32" s="285"/>
      <c r="B32" s="287"/>
      <c r="C32" s="140" t="s">
        <v>333</v>
      </c>
      <c r="D32" s="140" t="s">
        <v>237</v>
      </c>
      <c r="E32" s="32" t="s">
        <v>334</v>
      </c>
      <c r="F32" s="32" t="s">
        <v>335</v>
      </c>
      <c r="G32" s="144" t="s">
        <v>336</v>
      </c>
      <c r="H32" s="144" t="s">
        <v>337</v>
      </c>
      <c r="I32" s="338"/>
    </row>
    <row r="33" spans="1:9" ht="15.95" customHeight="1" thickTop="1" x14ac:dyDescent="0.2">
      <c r="A33" s="272" t="s">
        <v>258</v>
      </c>
      <c r="B33" s="138" t="s">
        <v>390</v>
      </c>
      <c r="C33" s="115">
        <f t="shared" ref="C33:H33" si="2">SUM(C34:C43)</f>
        <v>30.7</v>
      </c>
      <c r="D33" s="115">
        <f t="shared" si="2"/>
        <v>486.8</v>
      </c>
      <c r="E33" s="115">
        <f t="shared" si="2"/>
        <v>158.10000000000002</v>
      </c>
      <c r="F33" s="115">
        <f t="shared" si="2"/>
        <v>2080</v>
      </c>
      <c r="G33" s="115">
        <f t="shared" si="2"/>
        <v>578.6</v>
      </c>
      <c r="H33" s="115">
        <f t="shared" si="2"/>
        <v>738.69999999999993</v>
      </c>
      <c r="I33" s="104"/>
    </row>
    <row r="34" spans="1:9" ht="15.95" customHeight="1" x14ac:dyDescent="0.2">
      <c r="A34" s="275"/>
      <c r="B34" s="64">
        <v>150</v>
      </c>
      <c r="C34" s="115" t="s">
        <v>330</v>
      </c>
      <c r="D34" s="115" t="s">
        <v>330</v>
      </c>
      <c r="E34" s="115" t="s">
        <v>330</v>
      </c>
      <c r="F34" s="115" t="s">
        <v>330</v>
      </c>
      <c r="G34" s="115" t="s">
        <v>330</v>
      </c>
      <c r="H34" s="115">
        <v>57.5</v>
      </c>
      <c r="I34" s="105"/>
    </row>
    <row r="35" spans="1:9" ht="15.95" customHeight="1" x14ac:dyDescent="0.2">
      <c r="A35" s="275"/>
      <c r="B35" s="64">
        <v>200</v>
      </c>
      <c r="C35" s="115" t="s">
        <v>330</v>
      </c>
      <c r="D35" s="115" t="s">
        <v>330</v>
      </c>
      <c r="E35" s="115" t="s">
        <v>330</v>
      </c>
      <c r="F35" s="115">
        <v>563.5</v>
      </c>
      <c r="G35" s="115" t="s">
        <v>330</v>
      </c>
      <c r="H35" s="115">
        <v>13.7</v>
      </c>
      <c r="I35" s="105"/>
    </row>
    <row r="36" spans="1:9" ht="15.95" customHeight="1" x14ac:dyDescent="0.2">
      <c r="A36" s="275"/>
      <c r="B36" s="64">
        <v>250</v>
      </c>
      <c r="C36" s="115" t="s">
        <v>330</v>
      </c>
      <c r="D36" s="115">
        <v>142.6</v>
      </c>
      <c r="E36" s="115">
        <v>17.3</v>
      </c>
      <c r="F36" s="115">
        <v>480</v>
      </c>
      <c r="G36" s="115" t="s">
        <v>330</v>
      </c>
      <c r="H36" s="115">
        <v>102.3</v>
      </c>
      <c r="I36" s="105"/>
    </row>
    <row r="37" spans="1:9" ht="15.95" customHeight="1" x14ac:dyDescent="0.2">
      <c r="A37" s="275"/>
      <c r="B37" s="64">
        <v>300</v>
      </c>
      <c r="C37" s="115">
        <v>30.7</v>
      </c>
      <c r="D37" s="115">
        <v>217</v>
      </c>
      <c r="E37" s="115" t="s">
        <v>330</v>
      </c>
      <c r="F37" s="115">
        <v>30</v>
      </c>
      <c r="G37" s="115">
        <v>48</v>
      </c>
      <c r="H37" s="115">
        <v>538.9</v>
      </c>
      <c r="I37" s="105"/>
    </row>
    <row r="38" spans="1:9" ht="15.95" customHeight="1" x14ac:dyDescent="0.2">
      <c r="A38" s="275"/>
      <c r="B38" s="64">
        <v>350</v>
      </c>
      <c r="C38" s="115" t="s">
        <v>332</v>
      </c>
      <c r="D38" s="115" t="s">
        <v>332</v>
      </c>
      <c r="E38" s="115" t="s">
        <v>332</v>
      </c>
      <c r="F38" s="115" t="s">
        <v>332</v>
      </c>
      <c r="G38" s="115" t="s">
        <v>332</v>
      </c>
      <c r="H38" s="115">
        <v>26.3</v>
      </c>
      <c r="I38" s="105"/>
    </row>
    <row r="39" spans="1:9" ht="15.95" customHeight="1" x14ac:dyDescent="0.2">
      <c r="A39" s="275"/>
      <c r="B39" s="64">
        <v>400</v>
      </c>
      <c r="C39" s="115" t="s">
        <v>330</v>
      </c>
      <c r="D39" s="115">
        <v>127.2</v>
      </c>
      <c r="E39" s="115">
        <v>140.80000000000001</v>
      </c>
      <c r="F39" s="115">
        <v>403.6</v>
      </c>
      <c r="G39" s="115" t="s">
        <v>330</v>
      </c>
      <c r="H39" s="115" t="s">
        <v>332</v>
      </c>
      <c r="I39" s="105"/>
    </row>
    <row r="40" spans="1:9" ht="15.95" customHeight="1" x14ac:dyDescent="0.2">
      <c r="A40" s="275"/>
      <c r="B40" s="64">
        <v>450</v>
      </c>
      <c r="C40" s="115" t="s">
        <v>330</v>
      </c>
      <c r="D40" s="115" t="s">
        <v>330</v>
      </c>
      <c r="E40" s="115" t="s">
        <v>330</v>
      </c>
      <c r="F40" s="115">
        <v>322.5</v>
      </c>
      <c r="G40" s="115" t="s">
        <v>330</v>
      </c>
      <c r="H40" s="115" t="s">
        <v>332</v>
      </c>
      <c r="I40" s="105"/>
    </row>
    <row r="41" spans="1:9" ht="15.95" customHeight="1" x14ac:dyDescent="0.2">
      <c r="A41" s="275"/>
      <c r="B41" s="64">
        <v>500</v>
      </c>
      <c r="C41" s="115" t="s">
        <v>330</v>
      </c>
      <c r="D41" s="115" t="s">
        <v>330</v>
      </c>
      <c r="E41" s="115" t="s">
        <v>330</v>
      </c>
      <c r="F41" s="115">
        <v>3.9</v>
      </c>
      <c r="G41" s="115">
        <v>42.6</v>
      </c>
      <c r="H41" s="115" t="s">
        <v>332</v>
      </c>
      <c r="I41" s="105"/>
    </row>
    <row r="42" spans="1:9" ht="15.95" customHeight="1" x14ac:dyDescent="0.2">
      <c r="A42" s="275"/>
      <c r="B42" s="64">
        <v>600</v>
      </c>
      <c r="C42" s="115" t="s">
        <v>330</v>
      </c>
      <c r="D42" s="115" t="s">
        <v>330</v>
      </c>
      <c r="E42" s="115" t="s">
        <v>330</v>
      </c>
      <c r="F42" s="115">
        <v>276.5</v>
      </c>
      <c r="G42" s="115" t="s">
        <v>330</v>
      </c>
      <c r="H42" s="115" t="s">
        <v>332</v>
      </c>
      <c r="I42" s="105"/>
    </row>
    <row r="43" spans="1:9" ht="15.95" customHeight="1" x14ac:dyDescent="0.2">
      <c r="A43" s="265"/>
      <c r="B43" s="66">
        <v>700</v>
      </c>
      <c r="C43" s="116" t="s">
        <v>330</v>
      </c>
      <c r="D43" s="116" t="s">
        <v>330</v>
      </c>
      <c r="E43" s="116" t="s">
        <v>330</v>
      </c>
      <c r="F43" s="116" t="s">
        <v>330</v>
      </c>
      <c r="G43" s="116">
        <v>488</v>
      </c>
      <c r="H43" s="116" t="s">
        <v>332</v>
      </c>
      <c r="I43" s="106"/>
    </row>
    <row r="44" spans="1:9" ht="15.95" customHeight="1" x14ac:dyDescent="0.2">
      <c r="A44" s="57"/>
      <c r="B44" s="108"/>
      <c r="C44" s="147"/>
      <c r="D44" s="147"/>
      <c r="E44" s="147"/>
      <c r="F44" s="147"/>
      <c r="G44" s="147"/>
      <c r="H44" s="147"/>
      <c r="I44" s="113"/>
    </row>
    <row r="45" spans="1:9" ht="15.95" customHeight="1" x14ac:dyDescent="0.2">
      <c r="A45" s="5" t="s">
        <v>350</v>
      </c>
      <c r="B45" s="5"/>
      <c r="C45" s="4"/>
      <c r="D45" s="4"/>
      <c r="E45" s="4"/>
      <c r="F45" s="4"/>
    </row>
    <row r="46" spans="1:9" ht="15.95" customHeight="1" x14ac:dyDescent="0.2">
      <c r="A46" s="284" t="s">
        <v>66</v>
      </c>
      <c r="B46" s="286" t="s">
        <v>234</v>
      </c>
      <c r="C46" s="286" t="s">
        <v>242</v>
      </c>
      <c r="D46" s="286"/>
      <c r="E46" s="286"/>
      <c r="F46" s="286"/>
      <c r="G46" s="286"/>
      <c r="H46" s="428" t="s">
        <v>137</v>
      </c>
      <c r="I46" s="337"/>
    </row>
    <row r="47" spans="1:9" ht="15.95" customHeight="1" thickBot="1" x14ac:dyDescent="0.25">
      <c r="A47" s="285"/>
      <c r="B47" s="287"/>
      <c r="C47" s="140" t="s">
        <v>85</v>
      </c>
      <c r="D47" s="140" t="s">
        <v>339</v>
      </c>
      <c r="E47" s="140" t="s">
        <v>340</v>
      </c>
      <c r="F47" s="140" t="s">
        <v>387</v>
      </c>
      <c r="G47" s="140" t="s">
        <v>333</v>
      </c>
      <c r="H47" s="440"/>
      <c r="I47" s="338"/>
    </row>
    <row r="48" spans="1:9" ht="15.95" customHeight="1" thickTop="1" x14ac:dyDescent="0.2">
      <c r="A48" s="272" t="s">
        <v>388</v>
      </c>
      <c r="B48" s="70" t="s">
        <v>391</v>
      </c>
      <c r="C48" s="114">
        <f>SUM(D48:G48)</f>
        <v>14637.999999999998</v>
      </c>
      <c r="D48" s="114">
        <f>SUM(D49:D97)</f>
        <v>3605.5</v>
      </c>
      <c r="E48" s="114">
        <f t="shared" ref="E48:G48" si="3">SUM(E49:E97)</f>
        <v>158.00000000000003</v>
      </c>
      <c r="F48" s="114">
        <f t="shared" si="3"/>
        <v>8032.5999999999995</v>
      </c>
      <c r="G48" s="114">
        <f t="shared" si="3"/>
        <v>2841.8999999999996</v>
      </c>
      <c r="H48" s="441"/>
      <c r="I48" s="442"/>
    </row>
    <row r="49" spans="1:9" ht="15.95" customHeight="1" x14ac:dyDescent="0.2">
      <c r="A49" s="275"/>
      <c r="B49" s="64">
        <v>200</v>
      </c>
      <c r="C49" s="115">
        <f t="shared" ref="C49:C97" si="4">SUM(D49:G49)</f>
        <v>73.3</v>
      </c>
      <c r="D49" s="115">
        <v>0</v>
      </c>
      <c r="E49" s="115">
        <v>0</v>
      </c>
      <c r="F49" s="115">
        <v>73.3</v>
      </c>
      <c r="G49" s="115">
        <v>0</v>
      </c>
      <c r="H49" s="436"/>
      <c r="I49" s="437"/>
    </row>
    <row r="50" spans="1:9" ht="15.95" customHeight="1" x14ac:dyDescent="0.2">
      <c r="A50" s="275"/>
      <c r="B50" s="64">
        <v>300</v>
      </c>
      <c r="C50" s="115">
        <f t="shared" si="4"/>
        <v>204.99999999999997</v>
      </c>
      <c r="D50" s="115">
        <v>3.1</v>
      </c>
      <c r="E50" s="115">
        <v>0</v>
      </c>
      <c r="F50" s="115">
        <v>198.79999999999998</v>
      </c>
      <c r="G50" s="115">
        <v>3.1</v>
      </c>
      <c r="H50" s="436"/>
      <c r="I50" s="437"/>
    </row>
    <row r="51" spans="1:9" ht="15.95" customHeight="1" x14ac:dyDescent="0.2">
      <c r="A51" s="275"/>
      <c r="B51" s="64">
        <v>400</v>
      </c>
      <c r="C51" s="115">
        <f t="shared" si="4"/>
        <v>252</v>
      </c>
      <c r="D51" s="115">
        <v>176</v>
      </c>
      <c r="E51" s="115">
        <v>0</v>
      </c>
      <c r="F51" s="115">
        <v>14.5</v>
      </c>
      <c r="G51" s="115">
        <v>61.499999999999993</v>
      </c>
      <c r="H51" s="436"/>
      <c r="I51" s="437"/>
    </row>
    <row r="52" spans="1:9" ht="15.95" customHeight="1" x14ac:dyDescent="0.2">
      <c r="A52" s="275"/>
      <c r="B52" s="64">
        <v>450</v>
      </c>
      <c r="C52" s="115">
        <f t="shared" si="4"/>
        <v>190.09999999999997</v>
      </c>
      <c r="D52" s="115">
        <v>173.89999999999998</v>
      </c>
      <c r="E52" s="115">
        <v>0</v>
      </c>
      <c r="F52" s="115">
        <v>0</v>
      </c>
      <c r="G52" s="115">
        <v>16.2</v>
      </c>
      <c r="H52" s="436"/>
      <c r="I52" s="437"/>
    </row>
    <row r="53" spans="1:9" ht="15.95" customHeight="1" x14ac:dyDescent="0.2">
      <c r="A53" s="275"/>
      <c r="B53" s="64">
        <v>500</v>
      </c>
      <c r="C53" s="115">
        <f t="shared" si="4"/>
        <v>796.09999999999991</v>
      </c>
      <c r="D53" s="115">
        <v>141.1</v>
      </c>
      <c r="E53" s="115">
        <v>43.3</v>
      </c>
      <c r="F53" s="115">
        <v>474</v>
      </c>
      <c r="G53" s="115">
        <v>137.69999999999999</v>
      </c>
      <c r="H53" s="436"/>
      <c r="I53" s="437"/>
    </row>
    <row r="54" spans="1:9" ht="15.95" customHeight="1" x14ac:dyDescent="0.2">
      <c r="A54" s="275"/>
      <c r="B54" s="64">
        <v>600</v>
      </c>
      <c r="C54" s="115">
        <f t="shared" si="4"/>
        <v>1380.1</v>
      </c>
      <c r="D54" s="115">
        <v>427.5</v>
      </c>
      <c r="E54" s="115">
        <v>0</v>
      </c>
      <c r="F54" s="115">
        <v>662.1</v>
      </c>
      <c r="G54" s="115">
        <v>290.5</v>
      </c>
      <c r="H54" s="436"/>
      <c r="I54" s="437"/>
    </row>
    <row r="55" spans="1:9" ht="15.95" customHeight="1" x14ac:dyDescent="0.2">
      <c r="A55" s="275"/>
      <c r="B55" s="64">
        <v>700</v>
      </c>
      <c r="C55" s="115">
        <f t="shared" si="4"/>
        <v>1361</v>
      </c>
      <c r="D55" s="115">
        <v>683.59999999999991</v>
      </c>
      <c r="E55" s="115">
        <v>0</v>
      </c>
      <c r="F55" s="115">
        <v>542.99999999999989</v>
      </c>
      <c r="G55" s="115">
        <v>134.4</v>
      </c>
      <c r="H55" s="436"/>
      <c r="I55" s="437"/>
    </row>
    <row r="56" spans="1:9" ht="15.95" customHeight="1" x14ac:dyDescent="0.2">
      <c r="A56" s="275"/>
      <c r="B56" s="64">
        <v>800</v>
      </c>
      <c r="C56" s="115">
        <f t="shared" si="4"/>
        <v>797.3</v>
      </c>
      <c r="D56" s="115">
        <v>53.9</v>
      </c>
      <c r="E56" s="115">
        <v>103.80000000000001</v>
      </c>
      <c r="F56" s="115">
        <v>526.4</v>
      </c>
      <c r="G56" s="115">
        <v>113.19999999999999</v>
      </c>
      <c r="H56" s="436"/>
      <c r="I56" s="437"/>
    </row>
    <row r="57" spans="1:9" ht="15.95" customHeight="1" x14ac:dyDescent="0.2">
      <c r="A57" s="275"/>
      <c r="B57" s="64">
        <v>900</v>
      </c>
      <c r="C57" s="115">
        <f t="shared" si="4"/>
        <v>341.70000000000005</v>
      </c>
      <c r="D57" s="115">
        <v>32.699999999999996</v>
      </c>
      <c r="E57" s="115">
        <v>10.9</v>
      </c>
      <c r="F57" s="115">
        <v>298.10000000000002</v>
      </c>
      <c r="G57" s="115">
        <v>0</v>
      </c>
      <c r="H57" s="436"/>
      <c r="I57" s="437"/>
    </row>
    <row r="58" spans="1:9" ht="15.95" customHeight="1" x14ac:dyDescent="0.2">
      <c r="A58" s="275"/>
      <c r="B58" s="64">
        <v>1000</v>
      </c>
      <c r="C58" s="115">
        <f t="shared" si="4"/>
        <v>1195</v>
      </c>
      <c r="D58" s="115">
        <v>1.8</v>
      </c>
      <c r="E58" s="115">
        <v>0</v>
      </c>
      <c r="F58" s="115">
        <v>1164.4000000000001</v>
      </c>
      <c r="G58" s="115">
        <v>28.8</v>
      </c>
      <c r="H58" s="436"/>
      <c r="I58" s="437"/>
    </row>
    <row r="59" spans="1:9" ht="15.95" customHeight="1" x14ac:dyDescent="0.2">
      <c r="A59" s="275"/>
      <c r="B59" s="64">
        <v>1200</v>
      </c>
      <c r="C59" s="115">
        <f t="shared" si="4"/>
        <v>712.49999999999989</v>
      </c>
      <c r="D59" s="115">
        <v>131.39999999999998</v>
      </c>
      <c r="E59" s="115">
        <v>0</v>
      </c>
      <c r="F59" s="115">
        <v>581.09999999999991</v>
      </c>
      <c r="G59" s="115">
        <v>0</v>
      </c>
      <c r="H59" s="436"/>
      <c r="I59" s="437"/>
    </row>
    <row r="60" spans="1:9" ht="15.95" customHeight="1" x14ac:dyDescent="0.2">
      <c r="A60" s="275"/>
      <c r="B60" s="64">
        <v>1300</v>
      </c>
      <c r="C60" s="115">
        <f t="shared" si="4"/>
        <v>94.7</v>
      </c>
      <c r="D60" s="115">
        <v>66.400000000000006</v>
      </c>
      <c r="E60" s="115">
        <v>0</v>
      </c>
      <c r="F60" s="115">
        <v>28.3</v>
      </c>
      <c r="G60" s="115">
        <v>0</v>
      </c>
      <c r="H60" s="436"/>
      <c r="I60" s="437"/>
    </row>
    <row r="61" spans="1:9" ht="15.95" customHeight="1" x14ac:dyDescent="0.2">
      <c r="A61" s="275"/>
      <c r="B61" s="64">
        <v>1400</v>
      </c>
      <c r="C61" s="115">
        <f t="shared" si="4"/>
        <v>196.79999999999998</v>
      </c>
      <c r="D61" s="115">
        <v>143.19999999999999</v>
      </c>
      <c r="E61" s="115">
        <v>0</v>
      </c>
      <c r="F61" s="115">
        <v>53.6</v>
      </c>
      <c r="G61" s="115">
        <v>0</v>
      </c>
      <c r="H61" s="436"/>
      <c r="I61" s="437"/>
    </row>
    <row r="62" spans="1:9" ht="15.95" customHeight="1" x14ac:dyDescent="0.2">
      <c r="A62" s="275"/>
      <c r="B62" s="64">
        <v>1500</v>
      </c>
      <c r="C62" s="115">
        <f t="shared" si="4"/>
        <v>12</v>
      </c>
      <c r="D62" s="115">
        <v>0</v>
      </c>
      <c r="E62" s="115">
        <v>0</v>
      </c>
      <c r="F62" s="115">
        <v>0</v>
      </c>
      <c r="G62" s="115">
        <v>12</v>
      </c>
      <c r="H62" s="436"/>
      <c r="I62" s="437"/>
    </row>
    <row r="63" spans="1:9" ht="15.95" customHeight="1" x14ac:dyDescent="0.2">
      <c r="A63" s="275"/>
      <c r="B63" s="64" t="s">
        <v>352</v>
      </c>
      <c r="C63" s="115">
        <f t="shared" si="4"/>
        <v>216</v>
      </c>
      <c r="D63" s="115">
        <v>0</v>
      </c>
      <c r="E63" s="115">
        <v>0</v>
      </c>
      <c r="F63" s="115">
        <v>216</v>
      </c>
      <c r="G63" s="115">
        <v>0</v>
      </c>
      <c r="H63" s="436"/>
      <c r="I63" s="437"/>
    </row>
    <row r="64" spans="1:9" ht="15.95" customHeight="1" x14ac:dyDescent="0.2">
      <c r="A64" s="275"/>
      <c r="B64" s="64" t="s">
        <v>353</v>
      </c>
      <c r="C64" s="115">
        <f t="shared" si="4"/>
        <v>21</v>
      </c>
      <c r="D64" s="115">
        <v>0</v>
      </c>
      <c r="E64" s="115">
        <v>0</v>
      </c>
      <c r="F64" s="115">
        <v>21</v>
      </c>
      <c r="G64" s="115">
        <v>0</v>
      </c>
      <c r="H64" s="436"/>
      <c r="I64" s="437"/>
    </row>
    <row r="65" spans="1:9" ht="15.95" customHeight="1" x14ac:dyDescent="0.2">
      <c r="A65" s="275"/>
      <c r="B65" s="64" t="s">
        <v>354</v>
      </c>
      <c r="C65" s="115">
        <f t="shared" si="4"/>
        <v>65.400000000000006</v>
      </c>
      <c r="D65" s="115">
        <v>0</v>
      </c>
      <c r="E65" s="115">
        <v>0</v>
      </c>
      <c r="F65" s="115">
        <v>65.400000000000006</v>
      </c>
      <c r="G65" s="115">
        <v>0</v>
      </c>
      <c r="H65" s="436"/>
      <c r="I65" s="437"/>
    </row>
    <row r="66" spans="1:9" ht="15.95" customHeight="1" x14ac:dyDescent="0.2">
      <c r="A66" s="275"/>
      <c r="B66" s="64" t="s">
        <v>355</v>
      </c>
      <c r="C66" s="115">
        <f t="shared" si="4"/>
        <v>36.6</v>
      </c>
      <c r="D66" s="115">
        <v>0</v>
      </c>
      <c r="E66" s="115">
        <v>0</v>
      </c>
      <c r="F66" s="115">
        <v>36.6</v>
      </c>
      <c r="G66" s="115">
        <v>0</v>
      </c>
      <c r="H66" s="436"/>
      <c r="I66" s="437"/>
    </row>
    <row r="67" spans="1:9" ht="15.95" customHeight="1" x14ac:dyDescent="0.2">
      <c r="A67" s="275"/>
      <c r="B67" s="64" t="s">
        <v>356</v>
      </c>
      <c r="C67" s="115">
        <f t="shared" si="4"/>
        <v>231.7</v>
      </c>
      <c r="D67" s="115">
        <v>0</v>
      </c>
      <c r="E67" s="115">
        <v>0</v>
      </c>
      <c r="F67" s="115">
        <v>231.7</v>
      </c>
      <c r="G67" s="115">
        <v>0</v>
      </c>
      <c r="H67" s="436"/>
      <c r="I67" s="437"/>
    </row>
    <row r="68" spans="1:9" ht="15.95" customHeight="1" x14ac:dyDescent="0.2">
      <c r="A68" s="275"/>
      <c r="B68" s="64" t="s">
        <v>357</v>
      </c>
      <c r="C68" s="115">
        <f t="shared" si="4"/>
        <v>95.6</v>
      </c>
      <c r="D68" s="115">
        <v>0</v>
      </c>
      <c r="E68" s="115">
        <v>0</v>
      </c>
      <c r="F68" s="115">
        <v>0</v>
      </c>
      <c r="G68" s="115">
        <v>95.6</v>
      </c>
      <c r="H68" s="436"/>
      <c r="I68" s="437"/>
    </row>
    <row r="69" spans="1:9" ht="15.95" customHeight="1" x14ac:dyDescent="0.2">
      <c r="A69" s="275"/>
      <c r="B69" s="64" t="s">
        <v>358</v>
      </c>
      <c r="C69" s="115">
        <f t="shared" si="4"/>
        <v>122.10000000000001</v>
      </c>
      <c r="D69" s="115">
        <v>0</v>
      </c>
      <c r="E69" s="115">
        <v>0</v>
      </c>
      <c r="F69" s="115">
        <v>122.10000000000001</v>
      </c>
      <c r="G69" s="115">
        <v>0</v>
      </c>
      <c r="H69" s="436"/>
      <c r="I69" s="437"/>
    </row>
    <row r="70" spans="1:9" ht="15.95" customHeight="1" x14ac:dyDescent="0.2">
      <c r="A70" s="275"/>
      <c r="B70" s="64" t="s">
        <v>359</v>
      </c>
      <c r="C70" s="115">
        <f t="shared" si="4"/>
        <v>109.6</v>
      </c>
      <c r="D70" s="115">
        <v>0</v>
      </c>
      <c r="E70" s="115">
        <v>0</v>
      </c>
      <c r="F70" s="115">
        <v>109.6</v>
      </c>
      <c r="G70" s="115">
        <v>0</v>
      </c>
      <c r="H70" s="436"/>
      <c r="I70" s="437"/>
    </row>
    <row r="71" spans="1:9" ht="15.95" customHeight="1" x14ac:dyDescent="0.2">
      <c r="A71" s="275"/>
      <c r="B71" s="64" t="s">
        <v>360</v>
      </c>
      <c r="C71" s="115">
        <f t="shared" si="4"/>
        <v>134.19999999999999</v>
      </c>
      <c r="D71" s="115">
        <v>0</v>
      </c>
      <c r="E71" s="115">
        <v>0</v>
      </c>
      <c r="F71" s="115">
        <v>134.19999999999999</v>
      </c>
      <c r="G71" s="115">
        <v>0</v>
      </c>
      <c r="H71" s="436"/>
      <c r="I71" s="437"/>
    </row>
    <row r="72" spans="1:9" ht="15.95" customHeight="1" x14ac:dyDescent="0.2">
      <c r="A72" s="275"/>
      <c r="B72" s="64" t="s">
        <v>361</v>
      </c>
      <c r="C72" s="115">
        <f t="shared" si="4"/>
        <v>147.19999999999999</v>
      </c>
      <c r="D72" s="115">
        <v>0</v>
      </c>
      <c r="E72" s="115">
        <v>0</v>
      </c>
      <c r="F72" s="115">
        <v>147.19999999999999</v>
      </c>
      <c r="G72" s="115">
        <v>0</v>
      </c>
      <c r="H72" s="436"/>
      <c r="I72" s="437"/>
    </row>
    <row r="73" spans="1:9" ht="15.95" customHeight="1" x14ac:dyDescent="0.2">
      <c r="A73" s="275"/>
      <c r="B73" s="64" t="s">
        <v>362</v>
      </c>
      <c r="C73" s="115">
        <f t="shared" si="4"/>
        <v>234.1</v>
      </c>
      <c r="D73" s="115">
        <v>234.1</v>
      </c>
      <c r="E73" s="115">
        <v>0</v>
      </c>
      <c r="F73" s="115">
        <v>0</v>
      </c>
      <c r="G73" s="115">
        <v>0</v>
      </c>
      <c r="H73" s="436"/>
      <c r="I73" s="437"/>
    </row>
    <row r="74" spans="1:9" ht="15.95" customHeight="1" x14ac:dyDescent="0.2">
      <c r="A74" s="275"/>
      <c r="B74" s="64" t="s">
        <v>363</v>
      </c>
      <c r="C74" s="115">
        <f t="shared" si="4"/>
        <v>477.6</v>
      </c>
      <c r="D74" s="115">
        <v>22.8</v>
      </c>
      <c r="E74" s="115">
        <v>0</v>
      </c>
      <c r="F74" s="115">
        <v>454.8</v>
      </c>
      <c r="G74" s="115">
        <v>0</v>
      </c>
      <c r="H74" s="436"/>
      <c r="I74" s="437"/>
    </row>
    <row r="75" spans="1:9" ht="15.95" customHeight="1" x14ac:dyDescent="0.2">
      <c r="A75" s="275"/>
      <c r="B75" s="64" t="s">
        <v>364</v>
      </c>
      <c r="C75" s="115">
        <f t="shared" si="4"/>
        <v>99.8</v>
      </c>
      <c r="D75" s="115">
        <v>0</v>
      </c>
      <c r="E75" s="115">
        <v>0</v>
      </c>
      <c r="F75" s="115">
        <v>99.8</v>
      </c>
      <c r="G75" s="115">
        <v>0</v>
      </c>
      <c r="H75" s="436"/>
      <c r="I75" s="437"/>
    </row>
    <row r="76" spans="1:9" ht="15.95" customHeight="1" x14ac:dyDescent="0.2">
      <c r="A76" s="275"/>
      <c r="B76" s="64" t="s">
        <v>365</v>
      </c>
      <c r="C76" s="115">
        <f t="shared" si="4"/>
        <v>79.900000000000006</v>
      </c>
      <c r="D76" s="115">
        <v>0</v>
      </c>
      <c r="E76" s="115">
        <v>0</v>
      </c>
      <c r="F76" s="115">
        <v>79.900000000000006</v>
      </c>
      <c r="G76" s="115">
        <v>0</v>
      </c>
      <c r="H76" s="436"/>
      <c r="I76" s="437"/>
    </row>
    <row r="77" spans="1:9" ht="15.95" customHeight="1" x14ac:dyDescent="0.2">
      <c r="A77" s="275"/>
      <c r="B77" s="64" t="s">
        <v>366</v>
      </c>
      <c r="C77" s="115">
        <f t="shared" si="4"/>
        <v>77.2</v>
      </c>
      <c r="D77" s="115">
        <v>0</v>
      </c>
      <c r="E77" s="115">
        <v>0</v>
      </c>
      <c r="F77" s="115">
        <v>77.2</v>
      </c>
      <c r="G77" s="115">
        <v>0</v>
      </c>
      <c r="H77" s="436"/>
      <c r="I77" s="437"/>
    </row>
    <row r="78" spans="1:9" ht="15.95" customHeight="1" x14ac:dyDescent="0.2">
      <c r="A78" s="275"/>
      <c r="B78" s="64" t="s">
        <v>367</v>
      </c>
      <c r="C78" s="115">
        <f t="shared" si="4"/>
        <v>313.29999999999995</v>
      </c>
      <c r="D78" s="115">
        <v>0</v>
      </c>
      <c r="E78" s="115">
        <v>0</v>
      </c>
      <c r="F78" s="115">
        <v>0</v>
      </c>
      <c r="G78" s="115">
        <v>313.29999999999995</v>
      </c>
      <c r="H78" s="436"/>
      <c r="I78" s="437"/>
    </row>
    <row r="79" spans="1:9" ht="15.95" customHeight="1" x14ac:dyDescent="0.2">
      <c r="A79" s="275"/>
      <c r="B79" s="64" t="s">
        <v>368</v>
      </c>
      <c r="C79" s="115">
        <f t="shared" si="4"/>
        <v>44.5</v>
      </c>
      <c r="D79" s="115">
        <v>0</v>
      </c>
      <c r="E79" s="115">
        <v>0</v>
      </c>
      <c r="F79" s="115">
        <v>44.5</v>
      </c>
      <c r="G79" s="115">
        <v>0</v>
      </c>
      <c r="H79" s="436"/>
      <c r="I79" s="437"/>
    </row>
    <row r="80" spans="1:9" ht="15.95" customHeight="1" x14ac:dyDescent="0.2">
      <c r="A80" s="275"/>
      <c r="B80" s="64" t="s">
        <v>369</v>
      </c>
      <c r="C80" s="115">
        <f t="shared" si="4"/>
        <v>676.10000000000014</v>
      </c>
      <c r="D80" s="115">
        <v>0</v>
      </c>
      <c r="E80" s="115">
        <v>0</v>
      </c>
      <c r="F80" s="115">
        <v>568.40000000000009</v>
      </c>
      <c r="G80" s="115">
        <v>107.7</v>
      </c>
      <c r="H80" s="436"/>
      <c r="I80" s="437"/>
    </row>
    <row r="81" spans="1:9" ht="15.95" customHeight="1" x14ac:dyDescent="0.2">
      <c r="A81" s="275"/>
      <c r="B81" s="64" t="s">
        <v>370</v>
      </c>
      <c r="C81" s="115">
        <f t="shared" si="4"/>
        <v>23</v>
      </c>
      <c r="D81" s="115">
        <v>0</v>
      </c>
      <c r="E81" s="115">
        <v>0</v>
      </c>
      <c r="F81" s="115">
        <v>23</v>
      </c>
      <c r="G81" s="115">
        <v>0</v>
      </c>
      <c r="H81" s="436"/>
      <c r="I81" s="437"/>
    </row>
    <row r="82" spans="1:9" ht="15.95" customHeight="1" x14ac:dyDescent="0.2">
      <c r="A82" s="275"/>
      <c r="B82" s="64" t="s">
        <v>371</v>
      </c>
      <c r="C82" s="115">
        <f t="shared" si="4"/>
        <v>99</v>
      </c>
      <c r="D82" s="115">
        <v>0</v>
      </c>
      <c r="E82" s="115">
        <v>0</v>
      </c>
      <c r="F82" s="115">
        <v>99</v>
      </c>
      <c r="G82" s="115">
        <v>0</v>
      </c>
      <c r="H82" s="436"/>
      <c r="I82" s="437"/>
    </row>
    <row r="83" spans="1:9" ht="15.95" customHeight="1" x14ac:dyDescent="0.2">
      <c r="A83" s="275"/>
      <c r="B83" s="64" t="s">
        <v>372</v>
      </c>
      <c r="C83" s="115">
        <f t="shared" si="4"/>
        <v>260.3</v>
      </c>
      <c r="D83" s="115">
        <v>0</v>
      </c>
      <c r="E83" s="115">
        <v>0</v>
      </c>
      <c r="F83" s="115">
        <v>0</v>
      </c>
      <c r="G83" s="115">
        <v>260.3</v>
      </c>
      <c r="H83" s="436"/>
      <c r="I83" s="437"/>
    </row>
    <row r="84" spans="1:9" ht="15.95" customHeight="1" x14ac:dyDescent="0.2">
      <c r="A84" s="275"/>
      <c r="B84" s="64" t="s">
        <v>373</v>
      </c>
      <c r="C84" s="115">
        <f t="shared" si="4"/>
        <v>158.5</v>
      </c>
      <c r="D84" s="115">
        <v>0</v>
      </c>
      <c r="E84" s="115">
        <v>0</v>
      </c>
      <c r="F84" s="115">
        <v>158.5</v>
      </c>
      <c r="G84" s="115">
        <v>0</v>
      </c>
      <c r="H84" s="436"/>
      <c r="I84" s="437"/>
    </row>
    <row r="85" spans="1:9" ht="15.95" customHeight="1" x14ac:dyDescent="0.2">
      <c r="A85" s="275"/>
      <c r="B85" s="64" t="s">
        <v>374</v>
      </c>
      <c r="C85" s="115">
        <f t="shared" si="4"/>
        <v>682.3</v>
      </c>
      <c r="D85" s="115">
        <v>0</v>
      </c>
      <c r="E85" s="115">
        <v>0</v>
      </c>
      <c r="F85" s="115">
        <v>43</v>
      </c>
      <c r="G85" s="115">
        <v>639.29999999999995</v>
      </c>
      <c r="H85" s="436"/>
      <c r="I85" s="437"/>
    </row>
    <row r="86" spans="1:9" ht="15.95" customHeight="1" x14ac:dyDescent="0.2">
      <c r="A86" s="275"/>
      <c r="B86" s="64" t="s">
        <v>375</v>
      </c>
      <c r="C86" s="115">
        <f t="shared" si="4"/>
        <v>20.7</v>
      </c>
      <c r="D86" s="115">
        <v>0</v>
      </c>
      <c r="E86" s="115">
        <v>0</v>
      </c>
      <c r="F86" s="115">
        <v>20.7</v>
      </c>
      <c r="G86" s="115">
        <v>0</v>
      </c>
      <c r="H86" s="436"/>
      <c r="I86" s="437"/>
    </row>
    <row r="87" spans="1:9" ht="15.95" customHeight="1" x14ac:dyDescent="0.2">
      <c r="A87" s="275"/>
      <c r="B87" s="64" t="s">
        <v>376</v>
      </c>
      <c r="C87" s="115">
        <f t="shared" si="4"/>
        <v>201.4</v>
      </c>
      <c r="D87" s="115">
        <v>201.4</v>
      </c>
      <c r="E87" s="115">
        <v>0</v>
      </c>
      <c r="F87" s="115">
        <v>0</v>
      </c>
      <c r="G87" s="115">
        <v>0</v>
      </c>
      <c r="H87" s="436"/>
      <c r="I87" s="437"/>
    </row>
    <row r="88" spans="1:9" ht="15.95" customHeight="1" x14ac:dyDescent="0.2">
      <c r="A88" s="275"/>
      <c r="B88" s="64" t="s">
        <v>377</v>
      </c>
      <c r="C88" s="115">
        <f t="shared" si="4"/>
        <v>86.7</v>
      </c>
      <c r="D88" s="115">
        <v>86.7</v>
      </c>
      <c r="E88" s="115">
        <v>0</v>
      </c>
      <c r="F88" s="115">
        <v>0</v>
      </c>
      <c r="G88" s="115">
        <v>0</v>
      </c>
      <c r="H88" s="436"/>
      <c r="I88" s="437"/>
    </row>
    <row r="89" spans="1:9" ht="15.95" customHeight="1" x14ac:dyDescent="0.2">
      <c r="A89" s="275"/>
      <c r="B89" s="64" t="s">
        <v>378</v>
      </c>
      <c r="C89" s="115">
        <f t="shared" si="4"/>
        <v>268.89999999999998</v>
      </c>
      <c r="D89" s="115">
        <v>0</v>
      </c>
      <c r="E89" s="115">
        <v>0</v>
      </c>
      <c r="F89" s="115">
        <v>268.89999999999998</v>
      </c>
      <c r="G89" s="115">
        <v>0</v>
      </c>
      <c r="H89" s="436"/>
      <c r="I89" s="437"/>
    </row>
    <row r="90" spans="1:9" ht="15.95" customHeight="1" x14ac:dyDescent="0.2">
      <c r="A90" s="275"/>
      <c r="B90" s="64" t="s">
        <v>379</v>
      </c>
      <c r="C90" s="115">
        <f t="shared" si="4"/>
        <v>143.10000000000002</v>
      </c>
      <c r="D90" s="115">
        <v>143.10000000000002</v>
      </c>
      <c r="E90" s="115">
        <v>0</v>
      </c>
      <c r="F90" s="115">
        <v>0</v>
      </c>
      <c r="G90" s="115">
        <v>0</v>
      </c>
      <c r="H90" s="436"/>
      <c r="I90" s="437"/>
    </row>
    <row r="91" spans="1:9" ht="15.95" customHeight="1" x14ac:dyDescent="0.2">
      <c r="A91" s="275"/>
      <c r="B91" s="64" t="s">
        <v>380</v>
      </c>
      <c r="C91" s="115">
        <f t="shared" si="4"/>
        <v>330.1</v>
      </c>
      <c r="D91" s="115">
        <v>0</v>
      </c>
      <c r="E91" s="115">
        <v>0</v>
      </c>
      <c r="F91" s="115">
        <v>0</v>
      </c>
      <c r="G91" s="115">
        <v>330.1</v>
      </c>
      <c r="H91" s="436"/>
      <c r="I91" s="437"/>
    </row>
    <row r="92" spans="1:9" ht="15.95" customHeight="1" x14ac:dyDescent="0.2">
      <c r="A92" s="275"/>
      <c r="B92" s="64" t="s">
        <v>381</v>
      </c>
      <c r="C92" s="115">
        <f t="shared" si="4"/>
        <v>151.30000000000001</v>
      </c>
      <c r="D92" s="115">
        <v>0</v>
      </c>
      <c r="E92" s="115">
        <v>0</v>
      </c>
      <c r="F92" s="115">
        <v>0</v>
      </c>
      <c r="G92" s="115">
        <v>151.30000000000001</v>
      </c>
      <c r="H92" s="436"/>
      <c r="I92" s="437"/>
    </row>
    <row r="93" spans="1:9" ht="15.95" customHeight="1" x14ac:dyDescent="0.2">
      <c r="A93" s="275"/>
      <c r="B93" s="64" t="s">
        <v>382</v>
      </c>
      <c r="C93" s="115">
        <f t="shared" si="4"/>
        <v>35.700000000000003</v>
      </c>
      <c r="D93" s="115">
        <v>35.700000000000003</v>
      </c>
      <c r="E93" s="115">
        <v>0</v>
      </c>
      <c r="F93" s="115">
        <v>0</v>
      </c>
      <c r="G93" s="115">
        <v>0</v>
      </c>
      <c r="H93" s="436"/>
      <c r="I93" s="437"/>
    </row>
    <row r="94" spans="1:9" ht="15.95" customHeight="1" x14ac:dyDescent="0.2">
      <c r="A94" s="275"/>
      <c r="B94" s="64" t="s">
        <v>383</v>
      </c>
      <c r="C94" s="115">
        <f t="shared" si="4"/>
        <v>184.2</v>
      </c>
      <c r="D94" s="115">
        <v>0</v>
      </c>
      <c r="E94" s="115">
        <v>0</v>
      </c>
      <c r="F94" s="115">
        <v>184.2</v>
      </c>
      <c r="G94" s="115">
        <v>0</v>
      </c>
      <c r="H94" s="436"/>
      <c r="I94" s="437"/>
    </row>
    <row r="95" spans="1:9" ht="15.95" customHeight="1" x14ac:dyDescent="0.2">
      <c r="A95" s="275"/>
      <c r="B95" s="64" t="s">
        <v>384</v>
      </c>
      <c r="C95" s="115">
        <f t="shared" si="4"/>
        <v>625</v>
      </c>
      <c r="D95" s="115">
        <v>268.8</v>
      </c>
      <c r="E95" s="115">
        <v>0</v>
      </c>
      <c r="F95" s="115">
        <v>209.3</v>
      </c>
      <c r="G95" s="115">
        <v>146.9</v>
      </c>
      <c r="H95" s="436"/>
      <c r="I95" s="437"/>
    </row>
    <row r="96" spans="1:9" ht="15.95" customHeight="1" x14ac:dyDescent="0.2">
      <c r="A96" s="275"/>
      <c r="B96" s="64" t="s">
        <v>385</v>
      </c>
      <c r="C96" s="115">
        <f t="shared" si="4"/>
        <v>304.59999999999997</v>
      </c>
      <c r="D96" s="115">
        <v>304.59999999999997</v>
      </c>
      <c r="E96" s="115">
        <v>0</v>
      </c>
      <c r="F96" s="115">
        <v>0</v>
      </c>
      <c r="G96" s="115">
        <v>0</v>
      </c>
      <c r="H96" s="436"/>
      <c r="I96" s="437"/>
    </row>
    <row r="97" spans="1:9" ht="15.95" customHeight="1" x14ac:dyDescent="0.2">
      <c r="A97" s="265"/>
      <c r="B97" s="66" t="s">
        <v>386</v>
      </c>
      <c r="C97" s="116">
        <f t="shared" si="4"/>
        <v>273.7</v>
      </c>
      <c r="D97" s="116">
        <v>273.7</v>
      </c>
      <c r="E97" s="116">
        <v>0</v>
      </c>
      <c r="F97" s="116">
        <v>0</v>
      </c>
      <c r="G97" s="116">
        <v>0</v>
      </c>
      <c r="H97" s="438"/>
      <c r="I97" s="439"/>
    </row>
    <row r="98" spans="1:9" ht="15.95" customHeight="1" x14ac:dyDescent="0.2">
      <c r="A98" s="57"/>
      <c r="B98" s="108"/>
      <c r="C98" s="147"/>
      <c r="D98" s="147"/>
      <c r="E98" s="147"/>
      <c r="F98" s="147"/>
      <c r="G98" s="147"/>
      <c r="H98" s="147"/>
      <c r="I98" s="113"/>
    </row>
    <row r="99" spans="1:9" ht="15.95" customHeight="1" x14ac:dyDescent="0.2">
      <c r="A99" s="5" t="s">
        <v>165</v>
      </c>
      <c r="B99" s="5"/>
      <c r="C99" s="4"/>
      <c r="D99" s="4"/>
      <c r="E99" s="4"/>
      <c r="F99" s="4"/>
    </row>
    <row r="100" spans="1:9" ht="15.95" customHeight="1" x14ac:dyDescent="0.2">
      <c r="A100" s="5" t="s">
        <v>329</v>
      </c>
      <c r="B100" s="5"/>
      <c r="C100" s="4"/>
      <c r="D100" s="4"/>
      <c r="E100" s="4"/>
      <c r="F100" s="4"/>
    </row>
    <row r="101" spans="1:9" ht="15.95" customHeight="1" x14ac:dyDescent="0.2">
      <c r="A101" s="2" t="s">
        <v>349</v>
      </c>
      <c r="G101" s="10"/>
      <c r="H101" s="2"/>
      <c r="I101" s="2"/>
    </row>
    <row r="102" spans="1:9" ht="15.95" customHeight="1" thickBot="1" x14ac:dyDescent="0.25">
      <c r="A102" s="88" t="s">
        <v>161</v>
      </c>
      <c r="B102" s="38" t="s">
        <v>234</v>
      </c>
      <c r="C102" s="355" t="s">
        <v>255</v>
      </c>
      <c r="D102" s="355"/>
      <c r="E102" s="355" t="s">
        <v>256</v>
      </c>
      <c r="F102" s="355"/>
      <c r="G102" s="355" t="s">
        <v>257</v>
      </c>
      <c r="H102" s="355"/>
      <c r="I102" s="39" t="s">
        <v>164</v>
      </c>
    </row>
    <row r="103" spans="1:9" ht="15.95" customHeight="1" thickTop="1" x14ac:dyDescent="0.2">
      <c r="A103" s="272" t="s">
        <v>259</v>
      </c>
      <c r="B103" s="76" t="s">
        <v>390</v>
      </c>
      <c r="C103" s="430">
        <f>SUM(C104:D110)</f>
        <v>4559.2</v>
      </c>
      <c r="D103" s="430"/>
      <c r="E103" s="357"/>
      <c r="F103" s="357"/>
      <c r="G103" s="435">
        <f>SUM(G104:H110)</f>
        <v>5038</v>
      </c>
      <c r="H103" s="357"/>
      <c r="I103" s="104"/>
    </row>
    <row r="104" spans="1:9" ht="15.95" customHeight="1" x14ac:dyDescent="0.2">
      <c r="A104" s="275"/>
      <c r="B104" s="64">
        <v>300</v>
      </c>
      <c r="C104" s="430">
        <f t="shared" ref="C104:C110" si="5">C8</f>
        <v>168.3</v>
      </c>
      <c r="D104" s="430"/>
      <c r="E104" s="431">
        <f>VLOOKUP($B104,'0.시설공사비 산정근거'!$B$63:$E$76,3,FALSE)</f>
        <v>486700</v>
      </c>
      <c r="F104" s="431"/>
      <c r="G104" s="431">
        <f>ROUND(C104*E104/10^6,0)</f>
        <v>82</v>
      </c>
      <c r="H104" s="431"/>
      <c r="I104" s="105"/>
    </row>
    <row r="105" spans="1:9" ht="15.95" customHeight="1" x14ac:dyDescent="0.2">
      <c r="A105" s="275"/>
      <c r="B105" s="64">
        <v>400</v>
      </c>
      <c r="C105" s="430">
        <f t="shared" si="5"/>
        <v>264.39999999999998</v>
      </c>
      <c r="D105" s="430"/>
      <c r="E105" s="431">
        <f>VLOOKUP($B105,'0.시설공사비 산정근거'!$B$63:$E$76,3,FALSE)</f>
        <v>620090</v>
      </c>
      <c r="F105" s="431"/>
      <c r="G105" s="431">
        <f t="shared" ref="G105:G110" si="6">ROUND(C105*E105/10^6,0)</f>
        <v>164</v>
      </c>
      <c r="H105" s="431"/>
      <c r="I105" s="105"/>
    </row>
    <row r="106" spans="1:9" ht="15.95" customHeight="1" x14ac:dyDescent="0.2">
      <c r="A106" s="275"/>
      <c r="B106" s="64">
        <v>500</v>
      </c>
      <c r="C106" s="430">
        <f t="shared" si="5"/>
        <v>722.6</v>
      </c>
      <c r="D106" s="430"/>
      <c r="E106" s="431">
        <f>VLOOKUP($B106,'0.시설공사비 산정근거'!$B$63:$E$76,3,FALSE)</f>
        <v>783000</v>
      </c>
      <c r="F106" s="431"/>
      <c r="G106" s="431">
        <f t="shared" si="6"/>
        <v>566</v>
      </c>
      <c r="H106" s="431"/>
      <c r="I106" s="105"/>
    </row>
    <row r="107" spans="1:9" ht="15.95" customHeight="1" x14ac:dyDescent="0.2">
      <c r="A107" s="275"/>
      <c r="B107" s="64">
        <v>600</v>
      </c>
      <c r="C107" s="430">
        <f t="shared" si="5"/>
        <v>1681.1</v>
      </c>
      <c r="D107" s="430"/>
      <c r="E107" s="431">
        <f>VLOOKUP($B107,'0.시설공사비 산정근거'!$B$63:$E$76,3,FALSE)</f>
        <v>912930</v>
      </c>
      <c r="F107" s="431"/>
      <c r="G107" s="431">
        <f t="shared" si="6"/>
        <v>1535</v>
      </c>
      <c r="H107" s="431"/>
      <c r="I107" s="105"/>
    </row>
    <row r="108" spans="1:9" ht="15.95" customHeight="1" x14ac:dyDescent="0.2">
      <c r="A108" s="275"/>
      <c r="B108" s="64">
        <v>700</v>
      </c>
      <c r="C108" s="430">
        <f t="shared" si="5"/>
        <v>239.3</v>
      </c>
      <c r="D108" s="430"/>
      <c r="E108" s="431">
        <f>VLOOKUP($B108,'0.시설공사비 산정근거'!$B$63:$E$76,3,FALSE)</f>
        <v>1044270</v>
      </c>
      <c r="F108" s="431"/>
      <c r="G108" s="431">
        <f t="shared" si="6"/>
        <v>250</v>
      </c>
      <c r="H108" s="431"/>
      <c r="I108" s="105"/>
    </row>
    <row r="109" spans="1:9" ht="15.95" customHeight="1" x14ac:dyDescent="0.2">
      <c r="A109" s="275"/>
      <c r="B109" s="64">
        <v>900</v>
      </c>
      <c r="C109" s="430">
        <f t="shared" si="5"/>
        <v>149.9</v>
      </c>
      <c r="D109" s="430"/>
      <c r="E109" s="431">
        <f>VLOOKUP($B109,'0.시설공사비 산정근거'!$B$63:$E$76,3,FALSE)</f>
        <v>1415810</v>
      </c>
      <c r="F109" s="431"/>
      <c r="G109" s="431">
        <f t="shared" si="6"/>
        <v>212</v>
      </c>
      <c r="H109" s="431"/>
      <c r="I109" s="105"/>
    </row>
    <row r="110" spans="1:9" ht="15.95" customHeight="1" x14ac:dyDescent="0.2">
      <c r="A110" s="265"/>
      <c r="B110" s="66">
        <v>1000</v>
      </c>
      <c r="C110" s="432">
        <f t="shared" si="5"/>
        <v>1333.6</v>
      </c>
      <c r="D110" s="432"/>
      <c r="E110" s="433">
        <f>VLOOKUP($B110,'0.시설공사비 산정근거'!$B$63:$E$76,3,FALSE)</f>
        <v>1671560</v>
      </c>
      <c r="F110" s="433"/>
      <c r="G110" s="433">
        <f t="shared" si="6"/>
        <v>2229</v>
      </c>
      <c r="H110" s="433"/>
      <c r="I110" s="106"/>
    </row>
    <row r="111" spans="1:9" ht="15.95" customHeight="1" x14ac:dyDescent="0.2">
      <c r="A111" s="417"/>
      <c r="B111" s="417"/>
      <c r="C111" s="417"/>
      <c r="D111" s="16"/>
      <c r="E111" s="16"/>
      <c r="F111" s="17"/>
      <c r="G111" s="15"/>
      <c r="H111" s="418"/>
      <c r="I111" s="418"/>
    </row>
    <row r="112" spans="1:9" ht="15.95" customHeight="1" x14ac:dyDescent="0.2">
      <c r="A112" s="5" t="s">
        <v>331</v>
      </c>
      <c r="B112" s="5"/>
      <c r="C112" s="4"/>
      <c r="D112" s="4"/>
      <c r="E112" s="4"/>
      <c r="F112" s="4"/>
    </row>
    <row r="113" spans="1:9" ht="15.95" customHeight="1" x14ac:dyDescent="0.2">
      <c r="A113" s="2" t="s">
        <v>349</v>
      </c>
      <c r="G113" s="10"/>
      <c r="H113" s="2"/>
      <c r="I113" s="2"/>
    </row>
    <row r="114" spans="1:9" ht="15.95" customHeight="1" thickBot="1" x14ac:dyDescent="0.25">
      <c r="A114" s="134" t="s">
        <v>338</v>
      </c>
      <c r="B114" s="135" t="s">
        <v>234</v>
      </c>
      <c r="C114" s="355" t="s">
        <v>268</v>
      </c>
      <c r="D114" s="355"/>
      <c r="E114" s="355" t="s">
        <v>256</v>
      </c>
      <c r="F114" s="355"/>
      <c r="G114" s="355" t="s">
        <v>257</v>
      </c>
      <c r="H114" s="355"/>
      <c r="I114" s="143" t="s">
        <v>164</v>
      </c>
    </row>
    <row r="115" spans="1:9" ht="15.95" customHeight="1" thickTop="1" x14ac:dyDescent="0.2">
      <c r="A115" s="272" t="s">
        <v>258</v>
      </c>
      <c r="B115" s="138" t="s">
        <v>236</v>
      </c>
      <c r="C115" s="430">
        <f>SUM(C116:D125)</f>
        <v>6404.9</v>
      </c>
      <c r="D115" s="430"/>
      <c r="E115" s="357"/>
      <c r="F115" s="357"/>
      <c r="G115" s="435">
        <f>SUM(G116:H125)</f>
        <v>3666</v>
      </c>
      <c r="H115" s="357"/>
      <c r="I115" s="104"/>
    </row>
    <row r="116" spans="1:9" ht="15.95" customHeight="1" x14ac:dyDescent="0.2">
      <c r="A116" s="275"/>
      <c r="B116" s="64">
        <v>150</v>
      </c>
      <c r="C116" s="430">
        <f>C20</f>
        <v>76.900000000000006</v>
      </c>
      <c r="D116" s="430"/>
      <c r="E116" s="431">
        <f>VLOOKUP($B116,'0.시설공사비 산정근거'!$B$63:$E$76,3,FALSE)</f>
        <v>367719</v>
      </c>
      <c r="F116" s="431"/>
      <c r="G116" s="431">
        <f>ROUND(C116*E116/10^6,0)</f>
        <v>28</v>
      </c>
      <c r="H116" s="431"/>
      <c r="I116" s="105"/>
    </row>
    <row r="117" spans="1:9" ht="15.95" customHeight="1" x14ac:dyDescent="0.2">
      <c r="A117" s="275"/>
      <c r="B117" s="64">
        <v>200</v>
      </c>
      <c r="C117" s="430">
        <f t="shared" ref="C117:C125" si="7">C21</f>
        <v>1094.3</v>
      </c>
      <c r="D117" s="430"/>
      <c r="E117" s="431">
        <f>VLOOKUP($B117,'0.시설공사비 산정근거'!$B$63:$E$76,3,FALSE)</f>
        <v>404491</v>
      </c>
      <c r="F117" s="431"/>
      <c r="G117" s="431">
        <f t="shared" ref="G117:G125" si="8">ROUND(C117*E117/10^6,0)</f>
        <v>443</v>
      </c>
      <c r="H117" s="431"/>
      <c r="I117" s="105"/>
    </row>
    <row r="118" spans="1:9" ht="15.95" customHeight="1" x14ac:dyDescent="0.2">
      <c r="A118" s="275"/>
      <c r="B118" s="64">
        <v>250</v>
      </c>
      <c r="C118" s="430">
        <f t="shared" si="7"/>
        <v>1239.4999999999998</v>
      </c>
      <c r="D118" s="430"/>
      <c r="E118" s="431">
        <f>VLOOKUP($B118,'0.시설공사비 산정근거'!$B$63:$E$76,3,FALSE)</f>
        <v>444940</v>
      </c>
      <c r="F118" s="431"/>
      <c r="G118" s="431">
        <f t="shared" si="8"/>
        <v>552</v>
      </c>
      <c r="H118" s="431"/>
      <c r="I118" s="105"/>
    </row>
    <row r="119" spans="1:9" ht="15.95" customHeight="1" x14ac:dyDescent="0.2">
      <c r="A119" s="275"/>
      <c r="B119" s="64">
        <v>300</v>
      </c>
      <c r="C119" s="430">
        <f t="shared" si="7"/>
        <v>1508.9</v>
      </c>
      <c r="D119" s="430"/>
      <c r="E119" s="431">
        <f>VLOOKUP($B119,'0.시설공사비 산정근거'!$B$63:$E$76,3,FALSE)</f>
        <v>486700</v>
      </c>
      <c r="F119" s="431"/>
      <c r="G119" s="431">
        <f t="shared" si="8"/>
        <v>734</v>
      </c>
      <c r="H119" s="431"/>
      <c r="I119" s="105"/>
    </row>
    <row r="120" spans="1:9" ht="15.95" customHeight="1" x14ac:dyDescent="0.2">
      <c r="A120" s="275"/>
      <c r="B120" s="64">
        <v>350</v>
      </c>
      <c r="C120" s="430">
        <f t="shared" si="7"/>
        <v>26.3</v>
      </c>
      <c r="D120" s="430"/>
      <c r="E120" s="431">
        <f>VLOOKUP($B120,'0.시설공사비 산정근거'!$B$63:$E$76,3,FALSE)</f>
        <v>536320</v>
      </c>
      <c r="F120" s="431"/>
      <c r="G120" s="431">
        <f t="shared" si="8"/>
        <v>14</v>
      </c>
      <c r="H120" s="431"/>
      <c r="I120" s="105"/>
    </row>
    <row r="121" spans="1:9" ht="15.95" customHeight="1" x14ac:dyDescent="0.2">
      <c r="A121" s="275"/>
      <c r="B121" s="64">
        <v>400</v>
      </c>
      <c r="C121" s="430">
        <f t="shared" si="7"/>
        <v>984</v>
      </c>
      <c r="D121" s="430"/>
      <c r="E121" s="431">
        <f>VLOOKUP($B121,'0.시설공사비 산정근거'!$B$63:$E$76,3,FALSE)</f>
        <v>620090</v>
      </c>
      <c r="F121" s="431"/>
      <c r="G121" s="431">
        <f t="shared" si="8"/>
        <v>610</v>
      </c>
      <c r="H121" s="431"/>
      <c r="I121" s="105"/>
    </row>
    <row r="122" spans="1:9" ht="15.95" customHeight="1" x14ac:dyDescent="0.2">
      <c r="A122" s="449"/>
      <c r="B122" s="64">
        <v>450</v>
      </c>
      <c r="C122" s="430">
        <f t="shared" si="7"/>
        <v>322.5</v>
      </c>
      <c r="D122" s="430"/>
      <c r="E122" s="431">
        <f>VLOOKUP($B122,'0.시설공사비 산정근거'!$B$63:$E$76,3,FALSE)</f>
        <v>678230</v>
      </c>
      <c r="F122" s="431"/>
      <c r="G122" s="431">
        <f t="shared" ref="G122:G124" si="9">ROUND(C122*E122/10^6,0)</f>
        <v>219</v>
      </c>
      <c r="H122" s="431"/>
      <c r="I122" s="105"/>
    </row>
    <row r="123" spans="1:9" ht="15.95" customHeight="1" x14ac:dyDescent="0.2">
      <c r="A123" s="449"/>
      <c r="B123" s="64">
        <v>500</v>
      </c>
      <c r="C123" s="430">
        <f t="shared" si="7"/>
        <v>388</v>
      </c>
      <c r="D123" s="430"/>
      <c r="E123" s="431">
        <f>VLOOKUP($B123,'0.시설공사비 산정근거'!$B$63:$E$76,3,FALSE)</f>
        <v>783000</v>
      </c>
      <c r="F123" s="431"/>
      <c r="G123" s="431">
        <f t="shared" si="9"/>
        <v>304</v>
      </c>
      <c r="H123" s="431"/>
      <c r="I123" s="105"/>
    </row>
    <row r="124" spans="1:9" ht="15.95" customHeight="1" x14ac:dyDescent="0.2">
      <c r="A124" s="449"/>
      <c r="B124" s="64">
        <v>600</v>
      </c>
      <c r="C124" s="430">
        <f t="shared" si="7"/>
        <v>276.5</v>
      </c>
      <c r="D124" s="430"/>
      <c r="E124" s="431">
        <f>VLOOKUP($B124,'0.시설공사비 산정근거'!$B$63:$E$76,3,FALSE)</f>
        <v>912930</v>
      </c>
      <c r="F124" s="431"/>
      <c r="G124" s="431">
        <f t="shared" si="9"/>
        <v>252</v>
      </c>
      <c r="H124" s="431"/>
      <c r="I124" s="105"/>
    </row>
    <row r="125" spans="1:9" ht="15.95" customHeight="1" x14ac:dyDescent="0.2">
      <c r="A125" s="265"/>
      <c r="B125" s="66">
        <v>700</v>
      </c>
      <c r="C125" s="432">
        <f t="shared" si="7"/>
        <v>488</v>
      </c>
      <c r="D125" s="432"/>
      <c r="E125" s="433">
        <f>VLOOKUP($B125,'0.시설공사비 산정근거'!$B$63:$E$76,3,FALSE)</f>
        <v>1044270</v>
      </c>
      <c r="F125" s="433"/>
      <c r="G125" s="433">
        <f t="shared" si="8"/>
        <v>510</v>
      </c>
      <c r="H125" s="433"/>
      <c r="I125" s="106"/>
    </row>
    <row r="126" spans="1:9" ht="15.95" customHeight="1" x14ac:dyDescent="0.2">
      <c r="A126" s="450"/>
      <c r="B126" s="450"/>
      <c r="C126" s="450"/>
      <c r="D126" s="16"/>
      <c r="E126" s="16"/>
      <c r="F126" s="17"/>
      <c r="G126" s="15"/>
      <c r="H126" s="451"/>
      <c r="I126" s="451"/>
    </row>
    <row r="127" spans="1:9" ht="15.95" customHeight="1" x14ac:dyDescent="0.2">
      <c r="A127" s="5" t="s">
        <v>350</v>
      </c>
      <c r="B127" s="5"/>
      <c r="C127" s="4"/>
      <c r="D127" s="4"/>
      <c r="E127" s="4"/>
      <c r="F127" s="4"/>
    </row>
    <row r="128" spans="1:9" ht="15.95" customHeight="1" x14ac:dyDescent="0.2">
      <c r="A128" s="2" t="s">
        <v>389</v>
      </c>
      <c r="G128" s="10"/>
      <c r="H128" s="2"/>
      <c r="I128" s="2"/>
    </row>
    <row r="129" spans="1:9" ht="15.95" customHeight="1" thickBot="1" x14ac:dyDescent="0.25">
      <c r="A129" s="134" t="s">
        <v>66</v>
      </c>
      <c r="B129" s="135" t="s">
        <v>234</v>
      </c>
      <c r="C129" s="355" t="s">
        <v>268</v>
      </c>
      <c r="D129" s="355"/>
      <c r="E129" s="355" t="s">
        <v>256</v>
      </c>
      <c r="F129" s="355"/>
      <c r="G129" s="355" t="s">
        <v>136</v>
      </c>
      <c r="H129" s="355"/>
      <c r="I129" s="143" t="s">
        <v>137</v>
      </c>
    </row>
    <row r="130" spans="1:9" ht="15.95" customHeight="1" thickTop="1" x14ac:dyDescent="0.2">
      <c r="A130" s="272" t="s">
        <v>388</v>
      </c>
      <c r="B130" s="70" t="s">
        <v>351</v>
      </c>
      <c r="C130" s="430">
        <f>SUM(C131:D179)</f>
        <v>14638.000000000004</v>
      </c>
      <c r="D130" s="430"/>
      <c r="E130" s="357"/>
      <c r="F130" s="357"/>
      <c r="G130" s="435">
        <f>SUM(G131:H179)</f>
        <v>23596</v>
      </c>
      <c r="H130" s="357"/>
      <c r="I130" s="104"/>
    </row>
    <row r="131" spans="1:9" ht="15.95" customHeight="1" x14ac:dyDescent="0.2">
      <c r="A131" s="275"/>
      <c r="B131" s="64">
        <v>200</v>
      </c>
      <c r="C131" s="430">
        <f>C49</f>
        <v>73.3</v>
      </c>
      <c r="D131" s="430"/>
      <c r="E131" s="431">
        <f>VLOOKUP($B131,'0.시설공사비 산정근거'!$B$30:$E$45,3,FALSE)</f>
        <v>430082</v>
      </c>
      <c r="F131" s="431"/>
      <c r="G131" s="431">
        <f>ROUND(C131*E131/10^6,0)</f>
        <v>32</v>
      </c>
      <c r="H131" s="431"/>
      <c r="I131" s="104"/>
    </row>
    <row r="132" spans="1:9" ht="15.95" customHeight="1" x14ac:dyDescent="0.2">
      <c r="A132" s="275"/>
      <c r="B132" s="64">
        <v>300</v>
      </c>
      <c r="C132" s="430">
        <f t="shared" ref="C132:C179" si="10">C50</f>
        <v>204.99999999999997</v>
      </c>
      <c r="D132" s="430"/>
      <c r="E132" s="431">
        <f>VLOOKUP($B132,'0.시설공사비 산정근거'!$B$30:$E$45,3,FALSE)</f>
        <v>518400</v>
      </c>
      <c r="F132" s="431"/>
      <c r="G132" s="435">
        <f t="shared" ref="G132:G179" si="11">ROUND(C132*E132/10^6,0)</f>
        <v>106</v>
      </c>
      <c r="H132" s="357"/>
      <c r="I132" s="104"/>
    </row>
    <row r="133" spans="1:9" ht="15.95" customHeight="1" x14ac:dyDescent="0.2">
      <c r="A133" s="275"/>
      <c r="B133" s="64">
        <v>400</v>
      </c>
      <c r="C133" s="430">
        <f t="shared" si="10"/>
        <v>252</v>
      </c>
      <c r="D133" s="430"/>
      <c r="E133" s="431">
        <f>VLOOKUP($B133,'0.시설공사비 산정근거'!$B$30:$E$45,3,FALSE)</f>
        <v>584120</v>
      </c>
      <c r="F133" s="431"/>
      <c r="G133" s="435">
        <f t="shared" si="11"/>
        <v>147</v>
      </c>
      <c r="H133" s="357"/>
      <c r="I133" s="104"/>
    </row>
    <row r="134" spans="1:9" ht="15.95" customHeight="1" x14ac:dyDescent="0.2">
      <c r="A134" s="275"/>
      <c r="B134" s="64">
        <v>450</v>
      </c>
      <c r="C134" s="430">
        <f t="shared" si="10"/>
        <v>190.09999999999997</v>
      </c>
      <c r="D134" s="430"/>
      <c r="E134" s="431">
        <f>VLOOKUP($B134,'0.시설공사비 산정근거'!$B$30:$E$45,3,FALSE)</f>
        <v>619040</v>
      </c>
      <c r="F134" s="431"/>
      <c r="G134" s="435">
        <f t="shared" si="11"/>
        <v>118</v>
      </c>
      <c r="H134" s="357"/>
      <c r="I134" s="104"/>
    </row>
    <row r="135" spans="1:9" ht="15.95" customHeight="1" x14ac:dyDescent="0.2">
      <c r="A135" s="275"/>
      <c r="B135" s="64">
        <v>500</v>
      </c>
      <c r="C135" s="430">
        <f t="shared" si="10"/>
        <v>796.09999999999991</v>
      </c>
      <c r="D135" s="430"/>
      <c r="E135" s="431">
        <f>VLOOKUP($B135,'0.시설공사비 산정근거'!$B$30:$E$45,3,FALSE)</f>
        <v>664220</v>
      </c>
      <c r="F135" s="431"/>
      <c r="G135" s="435">
        <f t="shared" si="11"/>
        <v>529</v>
      </c>
      <c r="H135" s="357"/>
      <c r="I135" s="104"/>
    </row>
    <row r="136" spans="1:9" ht="15.95" customHeight="1" x14ac:dyDescent="0.2">
      <c r="A136" s="275"/>
      <c r="B136" s="64">
        <v>600</v>
      </c>
      <c r="C136" s="430">
        <f t="shared" si="10"/>
        <v>1380.1</v>
      </c>
      <c r="D136" s="430"/>
      <c r="E136" s="431">
        <f>VLOOKUP($B136,'0.시설공사비 산정근거'!$B$30:$E$45,3,FALSE)</f>
        <v>771360</v>
      </c>
      <c r="F136" s="431"/>
      <c r="G136" s="435">
        <f t="shared" si="11"/>
        <v>1065</v>
      </c>
      <c r="H136" s="357"/>
      <c r="I136" s="104"/>
    </row>
    <row r="137" spans="1:9" ht="15.95" customHeight="1" x14ac:dyDescent="0.2">
      <c r="A137" s="275"/>
      <c r="B137" s="64">
        <v>700</v>
      </c>
      <c r="C137" s="430">
        <f t="shared" si="10"/>
        <v>1361</v>
      </c>
      <c r="D137" s="430"/>
      <c r="E137" s="431">
        <f>VLOOKUP($B137,'0.시설공사비 산정근거'!$B$30:$E$45,3,FALSE)</f>
        <v>909620</v>
      </c>
      <c r="F137" s="431"/>
      <c r="G137" s="435">
        <f t="shared" si="11"/>
        <v>1238</v>
      </c>
      <c r="H137" s="357"/>
      <c r="I137" s="104"/>
    </row>
    <row r="138" spans="1:9" ht="15.95" customHeight="1" x14ac:dyDescent="0.2">
      <c r="A138" s="275"/>
      <c r="B138" s="64">
        <v>800</v>
      </c>
      <c r="C138" s="430">
        <f t="shared" si="10"/>
        <v>797.3</v>
      </c>
      <c r="D138" s="430"/>
      <c r="E138" s="431">
        <f>VLOOKUP($B138,'0.시설공사비 산정근거'!$B$30:$E$45,3,FALSE)</f>
        <v>1056780</v>
      </c>
      <c r="F138" s="431"/>
      <c r="G138" s="435">
        <f t="shared" si="11"/>
        <v>843</v>
      </c>
      <c r="H138" s="357"/>
      <c r="I138" s="104"/>
    </row>
    <row r="139" spans="1:9" ht="15.95" customHeight="1" x14ac:dyDescent="0.2">
      <c r="A139" s="275"/>
      <c r="B139" s="64">
        <v>900</v>
      </c>
      <c r="C139" s="430">
        <f t="shared" si="10"/>
        <v>341.70000000000005</v>
      </c>
      <c r="D139" s="430"/>
      <c r="E139" s="431">
        <f>VLOOKUP($B139,'0.시설공사비 산정근거'!$B$30:$E$45,3,FALSE)</f>
        <v>1172260</v>
      </c>
      <c r="F139" s="431"/>
      <c r="G139" s="435">
        <f t="shared" si="11"/>
        <v>401</v>
      </c>
      <c r="H139" s="357"/>
      <c r="I139" s="104"/>
    </row>
    <row r="140" spans="1:9" ht="15.95" customHeight="1" x14ac:dyDescent="0.2">
      <c r="A140" s="275"/>
      <c r="B140" s="64">
        <v>1000</v>
      </c>
      <c r="C140" s="430">
        <f t="shared" si="10"/>
        <v>1195</v>
      </c>
      <c r="D140" s="430"/>
      <c r="E140" s="431">
        <f>VLOOKUP($B140,'0.시설공사비 산정근거'!$B$30:$E$45,3,FALSE)</f>
        <v>1368800</v>
      </c>
      <c r="F140" s="431"/>
      <c r="G140" s="435">
        <f t="shared" si="11"/>
        <v>1636</v>
      </c>
      <c r="H140" s="357"/>
      <c r="I140" s="104"/>
    </row>
    <row r="141" spans="1:9" ht="15.95" customHeight="1" x14ac:dyDescent="0.2">
      <c r="A141" s="275"/>
      <c r="B141" s="64">
        <v>1200</v>
      </c>
      <c r="C141" s="430">
        <f t="shared" si="10"/>
        <v>712.49999999999989</v>
      </c>
      <c r="D141" s="430"/>
      <c r="E141" s="431">
        <f>VLOOKUP($B141,'0.시설공사비 산정근거'!$B$30:$E$45,3,FALSE)</f>
        <v>1729980</v>
      </c>
      <c r="F141" s="431"/>
      <c r="G141" s="435">
        <f t="shared" si="11"/>
        <v>1233</v>
      </c>
      <c r="H141" s="357"/>
      <c r="I141" s="104"/>
    </row>
    <row r="142" spans="1:9" ht="15.95" customHeight="1" x14ac:dyDescent="0.2">
      <c r="A142" s="275"/>
      <c r="B142" s="64">
        <v>1300</v>
      </c>
      <c r="C142" s="430">
        <f t="shared" si="10"/>
        <v>94.7</v>
      </c>
      <c r="D142" s="430"/>
      <c r="E142" s="431">
        <f>'0.시설공사비 산정근거'!D45</f>
        <v>2078120</v>
      </c>
      <c r="F142" s="431"/>
      <c r="G142" s="435">
        <f t="shared" si="11"/>
        <v>197</v>
      </c>
      <c r="H142" s="357"/>
      <c r="I142" s="104"/>
    </row>
    <row r="143" spans="1:9" ht="15.95" customHeight="1" x14ac:dyDescent="0.2">
      <c r="A143" s="275"/>
      <c r="B143" s="64">
        <v>1400</v>
      </c>
      <c r="C143" s="430">
        <f t="shared" si="10"/>
        <v>196.79999999999998</v>
      </c>
      <c r="D143" s="430"/>
      <c r="E143" s="431">
        <f>E142*1.1</f>
        <v>2285932</v>
      </c>
      <c r="F143" s="431"/>
      <c r="G143" s="435">
        <f t="shared" si="11"/>
        <v>450</v>
      </c>
      <c r="H143" s="357"/>
      <c r="I143" s="104"/>
    </row>
    <row r="144" spans="1:9" ht="15.95" customHeight="1" x14ac:dyDescent="0.2">
      <c r="A144" s="275"/>
      <c r="B144" s="64">
        <v>1500</v>
      </c>
      <c r="C144" s="430">
        <f t="shared" si="10"/>
        <v>12</v>
      </c>
      <c r="D144" s="430"/>
      <c r="E144" s="431">
        <f>E143*1.1</f>
        <v>2514525.2000000002</v>
      </c>
      <c r="F144" s="431"/>
      <c r="G144" s="435">
        <f t="shared" si="11"/>
        <v>30</v>
      </c>
      <c r="H144" s="357"/>
      <c r="I144" s="104"/>
    </row>
    <row r="145" spans="1:9" ht="15.95" customHeight="1" x14ac:dyDescent="0.2">
      <c r="A145" s="275"/>
      <c r="B145" s="64" t="s">
        <v>393</v>
      </c>
      <c r="C145" s="430">
        <f t="shared" si="10"/>
        <v>216</v>
      </c>
      <c r="D145" s="430"/>
      <c r="E145" s="431">
        <f>ROUND($E$162*0.15,0)</f>
        <v>339204</v>
      </c>
      <c r="F145" s="431"/>
      <c r="G145" s="431">
        <f t="shared" si="11"/>
        <v>73</v>
      </c>
      <c r="H145" s="431"/>
      <c r="I145" s="104"/>
    </row>
    <row r="146" spans="1:9" ht="15.95" customHeight="1" x14ac:dyDescent="0.2">
      <c r="A146" s="275"/>
      <c r="B146" s="64" t="s">
        <v>394</v>
      </c>
      <c r="C146" s="430">
        <f t="shared" si="10"/>
        <v>21</v>
      </c>
      <c r="D146" s="430"/>
      <c r="E146" s="431">
        <f>ROUND($E$162*0.21,0)</f>
        <v>474886</v>
      </c>
      <c r="F146" s="431"/>
      <c r="G146" s="431">
        <f t="shared" si="11"/>
        <v>10</v>
      </c>
      <c r="H146" s="431"/>
      <c r="I146" s="104"/>
    </row>
    <row r="147" spans="1:9" ht="15.95" customHeight="1" x14ac:dyDescent="0.2">
      <c r="A147" s="275"/>
      <c r="B147" s="64" t="s">
        <v>395</v>
      </c>
      <c r="C147" s="430">
        <f t="shared" si="10"/>
        <v>65.400000000000006</v>
      </c>
      <c r="D147" s="430"/>
      <c r="E147" s="431">
        <f>ROUND($E$162*0.16,0)</f>
        <v>361818</v>
      </c>
      <c r="F147" s="431"/>
      <c r="G147" s="431">
        <f t="shared" si="11"/>
        <v>24</v>
      </c>
      <c r="H147" s="431"/>
      <c r="I147" s="104"/>
    </row>
    <row r="148" spans="1:9" ht="15.95" customHeight="1" x14ac:dyDescent="0.2">
      <c r="A148" s="275"/>
      <c r="B148" s="64" t="s">
        <v>396</v>
      </c>
      <c r="C148" s="430">
        <f t="shared" si="10"/>
        <v>36.6</v>
      </c>
      <c r="D148" s="430"/>
      <c r="E148" s="431">
        <f>ROUND($E$162*0.2,0)</f>
        <v>452272</v>
      </c>
      <c r="F148" s="431"/>
      <c r="G148" s="431">
        <f t="shared" si="11"/>
        <v>17</v>
      </c>
      <c r="H148" s="431"/>
      <c r="I148" s="104"/>
    </row>
    <row r="149" spans="1:9" ht="15.95" customHeight="1" x14ac:dyDescent="0.2">
      <c r="A149" s="275"/>
      <c r="B149" s="64" t="s">
        <v>397</v>
      </c>
      <c r="C149" s="430">
        <f t="shared" si="10"/>
        <v>231.7</v>
      </c>
      <c r="D149" s="430"/>
      <c r="E149" s="431">
        <f>ROUND($E$162*0.24,0)</f>
        <v>542726</v>
      </c>
      <c r="F149" s="431"/>
      <c r="G149" s="431">
        <f t="shared" si="11"/>
        <v>126</v>
      </c>
      <c r="H149" s="431"/>
      <c r="I149" s="104"/>
    </row>
    <row r="150" spans="1:9" ht="15.95" customHeight="1" x14ac:dyDescent="0.2">
      <c r="A150" s="275"/>
      <c r="B150" s="64" t="s">
        <v>398</v>
      </c>
      <c r="C150" s="430">
        <f t="shared" si="10"/>
        <v>95.6</v>
      </c>
      <c r="D150" s="430"/>
      <c r="E150" s="431">
        <f>ROUND($E$162*0.15,0)</f>
        <v>339204</v>
      </c>
      <c r="F150" s="431"/>
      <c r="G150" s="431">
        <f t="shared" si="11"/>
        <v>32</v>
      </c>
      <c r="H150" s="431"/>
      <c r="I150" s="104"/>
    </row>
    <row r="151" spans="1:9" ht="15.95" customHeight="1" x14ac:dyDescent="0.2">
      <c r="A151" s="275"/>
      <c r="B151" s="64" t="s">
        <v>399</v>
      </c>
      <c r="C151" s="430">
        <f t="shared" si="10"/>
        <v>122.10000000000001</v>
      </c>
      <c r="D151" s="430"/>
      <c r="E151" s="431">
        <f>ROUND($E$162*0.25,0)</f>
        <v>565340</v>
      </c>
      <c r="F151" s="431"/>
      <c r="G151" s="431">
        <f t="shared" si="11"/>
        <v>69</v>
      </c>
      <c r="H151" s="431"/>
      <c r="I151" s="104"/>
    </row>
    <row r="152" spans="1:9" ht="15.95" customHeight="1" x14ac:dyDescent="0.2">
      <c r="A152" s="275"/>
      <c r="B152" s="64" t="s">
        <v>400</v>
      </c>
      <c r="C152" s="430">
        <f t="shared" si="10"/>
        <v>109.6</v>
      </c>
      <c r="D152" s="430"/>
      <c r="E152" s="431">
        <f>ROUND($E$162*0.4,0)</f>
        <v>904544</v>
      </c>
      <c r="F152" s="431"/>
      <c r="G152" s="431">
        <f t="shared" si="11"/>
        <v>99</v>
      </c>
      <c r="H152" s="431"/>
      <c r="I152" s="104"/>
    </row>
    <row r="153" spans="1:9" ht="15.95" customHeight="1" x14ac:dyDescent="0.2">
      <c r="A153" s="275"/>
      <c r="B153" s="64" t="s">
        <v>401</v>
      </c>
      <c r="C153" s="430">
        <f t="shared" si="10"/>
        <v>134.19999999999999</v>
      </c>
      <c r="D153" s="430"/>
      <c r="E153" s="431">
        <f>ROUND($E$162*0.36,0)</f>
        <v>814090</v>
      </c>
      <c r="F153" s="431"/>
      <c r="G153" s="431">
        <f t="shared" si="11"/>
        <v>109</v>
      </c>
      <c r="H153" s="431"/>
      <c r="I153" s="104"/>
    </row>
    <row r="154" spans="1:9" ht="15.95" customHeight="1" x14ac:dyDescent="0.2">
      <c r="A154" s="275"/>
      <c r="B154" s="64" t="s">
        <v>402</v>
      </c>
      <c r="C154" s="430">
        <f t="shared" si="10"/>
        <v>147.19999999999999</v>
      </c>
      <c r="D154" s="430"/>
      <c r="E154" s="431">
        <f>ROUND($E$162*0.42,0)</f>
        <v>949771</v>
      </c>
      <c r="F154" s="431"/>
      <c r="G154" s="431">
        <f t="shared" si="11"/>
        <v>140</v>
      </c>
      <c r="H154" s="431"/>
      <c r="I154" s="104"/>
    </row>
    <row r="155" spans="1:9" ht="15.95" customHeight="1" x14ac:dyDescent="0.2">
      <c r="A155" s="275"/>
      <c r="B155" s="64" t="s">
        <v>403</v>
      </c>
      <c r="C155" s="430">
        <f t="shared" si="10"/>
        <v>234.1</v>
      </c>
      <c r="D155" s="430"/>
      <c r="E155" s="431">
        <f>ROUND($E$162*0.42,0)</f>
        <v>949771</v>
      </c>
      <c r="F155" s="431"/>
      <c r="G155" s="431">
        <f t="shared" si="11"/>
        <v>222</v>
      </c>
      <c r="H155" s="431"/>
      <c r="I155" s="104"/>
    </row>
    <row r="156" spans="1:9" ht="15.95" customHeight="1" x14ac:dyDescent="0.2">
      <c r="A156" s="275"/>
      <c r="B156" s="64" t="s">
        <v>404</v>
      </c>
      <c r="C156" s="430">
        <f t="shared" si="10"/>
        <v>477.6</v>
      </c>
      <c r="D156" s="430"/>
      <c r="E156" s="431">
        <f>ROUND($E$162*0.42,0)</f>
        <v>949771</v>
      </c>
      <c r="F156" s="431"/>
      <c r="G156" s="431">
        <f t="shared" si="11"/>
        <v>454</v>
      </c>
      <c r="H156" s="431"/>
      <c r="I156" s="104"/>
    </row>
    <row r="157" spans="1:9" ht="15.95" customHeight="1" x14ac:dyDescent="0.2">
      <c r="A157" s="275"/>
      <c r="B157" s="64" t="s">
        <v>405</v>
      </c>
      <c r="C157" s="430">
        <f t="shared" si="10"/>
        <v>99.8</v>
      </c>
      <c r="D157" s="430"/>
      <c r="E157" s="431">
        <f>ROUND($E$162*0.56,0)</f>
        <v>1266362</v>
      </c>
      <c r="F157" s="431"/>
      <c r="G157" s="431">
        <f t="shared" si="11"/>
        <v>126</v>
      </c>
      <c r="H157" s="431"/>
      <c r="I157" s="104"/>
    </row>
    <row r="158" spans="1:9" ht="15.95" customHeight="1" x14ac:dyDescent="0.2">
      <c r="A158" s="275"/>
      <c r="B158" s="64" t="s">
        <v>406</v>
      </c>
      <c r="C158" s="430">
        <f t="shared" si="10"/>
        <v>79.900000000000006</v>
      </c>
      <c r="D158" s="430"/>
      <c r="E158" s="431">
        <f>ROUND($E$162*0.63,0)</f>
        <v>1424657</v>
      </c>
      <c r="F158" s="431"/>
      <c r="G158" s="431">
        <f t="shared" si="11"/>
        <v>114</v>
      </c>
      <c r="H158" s="431"/>
      <c r="I158" s="104"/>
    </row>
    <row r="159" spans="1:9" ht="15.95" customHeight="1" x14ac:dyDescent="0.2">
      <c r="A159" s="275"/>
      <c r="B159" s="64" t="s">
        <v>407</v>
      </c>
      <c r="C159" s="430">
        <f t="shared" si="10"/>
        <v>77.2</v>
      </c>
      <c r="D159" s="430"/>
      <c r="E159" s="431">
        <f>ROUND($E$162*0.48,0)</f>
        <v>1085453</v>
      </c>
      <c r="F159" s="431"/>
      <c r="G159" s="431">
        <f t="shared" si="11"/>
        <v>84</v>
      </c>
      <c r="H159" s="431"/>
      <c r="I159" s="104"/>
    </row>
    <row r="160" spans="1:9" ht="15.95" customHeight="1" x14ac:dyDescent="0.2">
      <c r="A160" s="275"/>
      <c r="B160" s="64" t="s">
        <v>408</v>
      </c>
      <c r="C160" s="430">
        <f t="shared" si="10"/>
        <v>313.29999999999995</v>
      </c>
      <c r="D160" s="430"/>
      <c r="E160" s="431">
        <f>ROUND($E$162*0.64,0)</f>
        <v>1447270</v>
      </c>
      <c r="F160" s="431"/>
      <c r="G160" s="431">
        <f t="shared" si="11"/>
        <v>453</v>
      </c>
      <c r="H160" s="431"/>
      <c r="I160" s="104"/>
    </row>
    <row r="161" spans="1:9" ht="15.95" customHeight="1" x14ac:dyDescent="0.2">
      <c r="A161" s="275"/>
      <c r="B161" s="64" t="s">
        <v>409</v>
      </c>
      <c r="C161" s="430">
        <f t="shared" si="10"/>
        <v>44.5</v>
      </c>
      <c r="D161" s="430"/>
      <c r="E161" s="431">
        <f>ROUND($E$162*0.72,0)</f>
        <v>1628179</v>
      </c>
      <c r="F161" s="431"/>
      <c r="G161" s="431">
        <f t="shared" si="11"/>
        <v>72</v>
      </c>
      <c r="H161" s="431"/>
      <c r="I161" s="104"/>
    </row>
    <row r="162" spans="1:9" ht="15.95" customHeight="1" x14ac:dyDescent="0.2">
      <c r="A162" s="275"/>
      <c r="B162" s="64" t="s">
        <v>392</v>
      </c>
      <c r="C162" s="430">
        <f t="shared" si="10"/>
        <v>676.10000000000014</v>
      </c>
      <c r="D162" s="430"/>
      <c r="E162" s="431">
        <f>VLOOKUP($B162,'0.시설공사비 산정근거'!$B$77:$E$92,3,FALSE)</f>
        <v>2261360</v>
      </c>
      <c r="F162" s="431"/>
      <c r="G162" s="431">
        <f t="shared" si="11"/>
        <v>1529</v>
      </c>
      <c r="H162" s="431"/>
      <c r="I162" s="104"/>
    </row>
    <row r="163" spans="1:9" ht="15.95" customHeight="1" x14ac:dyDescent="0.2">
      <c r="A163" s="275"/>
      <c r="B163" s="64" t="s">
        <v>410</v>
      </c>
      <c r="C163" s="430">
        <f t="shared" si="10"/>
        <v>23</v>
      </c>
      <c r="D163" s="430"/>
      <c r="E163" s="431">
        <f>E162</f>
        <v>2261360</v>
      </c>
      <c r="F163" s="431"/>
      <c r="G163" s="431">
        <f t="shared" si="11"/>
        <v>52</v>
      </c>
      <c r="H163" s="431"/>
      <c r="I163" s="104"/>
    </row>
    <row r="164" spans="1:9" ht="15.95" customHeight="1" x14ac:dyDescent="0.2">
      <c r="A164" s="275"/>
      <c r="B164" s="64" t="s">
        <v>411</v>
      </c>
      <c r="C164" s="430">
        <f t="shared" si="10"/>
        <v>99</v>
      </c>
      <c r="D164" s="430"/>
      <c r="E164" s="431">
        <f>'0.시설공사비 산정근거'!D80</f>
        <v>2593270</v>
      </c>
      <c r="F164" s="431"/>
      <c r="G164" s="431">
        <f t="shared" si="11"/>
        <v>257</v>
      </c>
      <c r="H164" s="431"/>
      <c r="I164" s="104"/>
    </row>
    <row r="165" spans="1:9" ht="15.95" customHeight="1" x14ac:dyDescent="0.2">
      <c r="A165" s="275"/>
      <c r="B165" s="64" t="s">
        <v>412</v>
      </c>
      <c r="C165" s="430">
        <f t="shared" si="10"/>
        <v>260.3</v>
      </c>
      <c r="D165" s="430"/>
      <c r="E165" s="431">
        <f>E162</f>
        <v>2261360</v>
      </c>
      <c r="F165" s="431"/>
      <c r="G165" s="431">
        <f t="shared" si="11"/>
        <v>589</v>
      </c>
      <c r="H165" s="431"/>
      <c r="I165" s="104"/>
    </row>
    <row r="166" spans="1:9" ht="15.95" customHeight="1" x14ac:dyDescent="0.2">
      <c r="A166" s="275"/>
      <c r="B166" s="64" t="s">
        <v>413</v>
      </c>
      <c r="C166" s="430">
        <f t="shared" si="10"/>
        <v>158.5</v>
      </c>
      <c r="D166" s="430"/>
      <c r="E166" s="431">
        <f>'0.시설공사비 산정근거'!D78</f>
        <v>2413650</v>
      </c>
      <c r="F166" s="431"/>
      <c r="G166" s="431">
        <f t="shared" si="11"/>
        <v>383</v>
      </c>
      <c r="H166" s="431"/>
      <c r="I166" s="104"/>
    </row>
    <row r="167" spans="1:9" ht="15.95" customHeight="1" x14ac:dyDescent="0.2">
      <c r="A167" s="275"/>
      <c r="B167" s="64" t="s">
        <v>414</v>
      </c>
      <c r="C167" s="430">
        <f t="shared" si="10"/>
        <v>682.3</v>
      </c>
      <c r="D167" s="430"/>
      <c r="E167" s="431">
        <f>VLOOKUP($B167,'0.시설공사비 산정근거'!$B$77:$E$92,3,FALSE)</f>
        <v>2546410</v>
      </c>
      <c r="F167" s="431"/>
      <c r="G167" s="431">
        <f t="shared" si="11"/>
        <v>1737</v>
      </c>
      <c r="H167" s="431"/>
      <c r="I167" s="104"/>
    </row>
    <row r="168" spans="1:9" ht="15.95" customHeight="1" x14ac:dyDescent="0.2">
      <c r="A168" s="275"/>
      <c r="B168" s="64" t="s">
        <v>415</v>
      </c>
      <c r="C168" s="430">
        <f t="shared" si="10"/>
        <v>20.7</v>
      </c>
      <c r="D168" s="430"/>
      <c r="E168" s="431">
        <f>E167*1.1</f>
        <v>2801051</v>
      </c>
      <c r="F168" s="431"/>
      <c r="G168" s="431">
        <f t="shared" si="11"/>
        <v>58</v>
      </c>
      <c r="H168" s="431"/>
      <c r="I168" s="104"/>
    </row>
    <row r="169" spans="1:9" ht="15.95" customHeight="1" x14ac:dyDescent="0.2">
      <c r="A169" s="275"/>
      <c r="B169" s="64" t="s">
        <v>416</v>
      </c>
      <c r="C169" s="430">
        <f t="shared" si="10"/>
        <v>201.4</v>
      </c>
      <c r="D169" s="430"/>
      <c r="E169" s="431">
        <f>E162</f>
        <v>2261360</v>
      </c>
      <c r="F169" s="431"/>
      <c r="G169" s="431">
        <f t="shared" si="11"/>
        <v>455</v>
      </c>
      <c r="H169" s="431"/>
      <c r="I169" s="104"/>
    </row>
    <row r="170" spans="1:9" ht="15.95" customHeight="1" x14ac:dyDescent="0.2">
      <c r="A170" s="275"/>
      <c r="B170" s="64" t="s">
        <v>417</v>
      </c>
      <c r="C170" s="430">
        <f t="shared" si="10"/>
        <v>86.7</v>
      </c>
      <c r="D170" s="430"/>
      <c r="E170" s="431">
        <f>E171</f>
        <v>2593270</v>
      </c>
      <c r="F170" s="431"/>
      <c r="G170" s="431">
        <f t="shared" si="11"/>
        <v>225</v>
      </c>
      <c r="H170" s="431"/>
      <c r="I170" s="104"/>
    </row>
    <row r="171" spans="1:9" ht="15.95" customHeight="1" x14ac:dyDescent="0.2">
      <c r="A171" s="275"/>
      <c r="B171" s="64" t="s">
        <v>418</v>
      </c>
      <c r="C171" s="430">
        <f t="shared" si="10"/>
        <v>268.89999999999998</v>
      </c>
      <c r="D171" s="430"/>
      <c r="E171" s="431">
        <f>'0.시설공사비 산정근거'!D80</f>
        <v>2593270</v>
      </c>
      <c r="F171" s="431"/>
      <c r="G171" s="431">
        <f t="shared" si="11"/>
        <v>697</v>
      </c>
      <c r="H171" s="431"/>
      <c r="I171" s="104"/>
    </row>
    <row r="172" spans="1:9" ht="15.95" customHeight="1" x14ac:dyDescent="0.2">
      <c r="A172" s="275"/>
      <c r="B172" s="64" t="s">
        <v>419</v>
      </c>
      <c r="C172" s="430">
        <f t="shared" si="10"/>
        <v>143.10000000000002</v>
      </c>
      <c r="D172" s="430"/>
      <c r="E172" s="431">
        <f>E168</f>
        <v>2801051</v>
      </c>
      <c r="F172" s="431"/>
      <c r="G172" s="431">
        <f t="shared" si="11"/>
        <v>401</v>
      </c>
      <c r="H172" s="431"/>
      <c r="I172" s="104"/>
    </row>
    <row r="173" spans="1:9" ht="15.95" customHeight="1" x14ac:dyDescent="0.2">
      <c r="A173" s="275"/>
      <c r="B173" s="64" t="s">
        <v>420</v>
      </c>
      <c r="C173" s="430">
        <f t="shared" si="10"/>
        <v>330.1</v>
      </c>
      <c r="D173" s="430"/>
      <c r="E173" s="431">
        <f>VLOOKUP($B173,'0.시설공사비 산정근거'!$B$77:$E$92,3,FALSE)</f>
        <v>2972050</v>
      </c>
      <c r="F173" s="431"/>
      <c r="G173" s="431">
        <f t="shared" si="11"/>
        <v>981</v>
      </c>
      <c r="H173" s="431"/>
      <c r="I173" s="104"/>
    </row>
    <row r="174" spans="1:9" ht="15.95" customHeight="1" x14ac:dyDescent="0.2">
      <c r="A174" s="275"/>
      <c r="B174" s="64" t="s">
        <v>421</v>
      </c>
      <c r="C174" s="430">
        <f t="shared" si="10"/>
        <v>151.30000000000001</v>
      </c>
      <c r="D174" s="430"/>
      <c r="E174" s="431">
        <f>E173</f>
        <v>2972050</v>
      </c>
      <c r="F174" s="431"/>
      <c r="G174" s="431">
        <f t="shared" si="11"/>
        <v>450</v>
      </c>
      <c r="H174" s="431"/>
      <c r="I174" s="104"/>
    </row>
    <row r="175" spans="1:9" ht="15.95" customHeight="1" x14ac:dyDescent="0.2">
      <c r="A175" s="275"/>
      <c r="B175" s="64" t="s">
        <v>422</v>
      </c>
      <c r="C175" s="430">
        <f t="shared" si="10"/>
        <v>35.700000000000003</v>
      </c>
      <c r="D175" s="430"/>
      <c r="E175" s="431">
        <f>E162</f>
        <v>2261360</v>
      </c>
      <c r="F175" s="431"/>
      <c r="G175" s="431">
        <f t="shared" si="11"/>
        <v>81</v>
      </c>
      <c r="H175" s="431"/>
      <c r="I175" s="104"/>
    </row>
    <row r="176" spans="1:9" ht="15.95" customHeight="1" x14ac:dyDescent="0.2">
      <c r="A176" s="275"/>
      <c r="B176" s="64" t="s">
        <v>423</v>
      </c>
      <c r="C176" s="430">
        <f t="shared" si="10"/>
        <v>184.2</v>
      </c>
      <c r="D176" s="430"/>
      <c r="E176" s="431">
        <f>E173</f>
        <v>2972050</v>
      </c>
      <c r="F176" s="431"/>
      <c r="G176" s="431">
        <f t="shared" si="11"/>
        <v>547</v>
      </c>
      <c r="H176" s="431"/>
      <c r="I176" s="104"/>
    </row>
    <row r="177" spans="1:9" ht="15.95" customHeight="1" x14ac:dyDescent="0.2">
      <c r="A177" s="275"/>
      <c r="B177" s="64" t="s">
        <v>424</v>
      </c>
      <c r="C177" s="430">
        <f t="shared" si="10"/>
        <v>625</v>
      </c>
      <c r="D177" s="430"/>
      <c r="E177" s="431">
        <f>'0.시설공사비 산정근거'!D84</f>
        <v>3838930</v>
      </c>
      <c r="F177" s="431"/>
      <c r="G177" s="431">
        <f t="shared" si="11"/>
        <v>2399</v>
      </c>
      <c r="H177" s="431"/>
      <c r="I177" s="104"/>
    </row>
    <row r="178" spans="1:9" ht="15.95" customHeight="1" x14ac:dyDescent="0.2">
      <c r="A178" s="275"/>
      <c r="B178" s="64" t="s">
        <v>425</v>
      </c>
      <c r="C178" s="430">
        <f t="shared" si="10"/>
        <v>304.59999999999997</v>
      </c>
      <c r="D178" s="430"/>
      <c r="E178" s="431">
        <f>E177</f>
        <v>3838930</v>
      </c>
      <c r="F178" s="431"/>
      <c r="G178" s="431">
        <f t="shared" si="11"/>
        <v>1169</v>
      </c>
      <c r="H178" s="431"/>
      <c r="I178" s="104"/>
    </row>
    <row r="179" spans="1:9" ht="15.95" customHeight="1" x14ac:dyDescent="0.2">
      <c r="A179" s="265"/>
      <c r="B179" s="66" t="s">
        <v>426</v>
      </c>
      <c r="C179" s="432">
        <f t="shared" si="10"/>
        <v>273.7</v>
      </c>
      <c r="D179" s="432"/>
      <c r="E179" s="433">
        <f>'0.시설공사비 산정근거'!D86</f>
        <v>4885450</v>
      </c>
      <c r="F179" s="433"/>
      <c r="G179" s="433">
        <f t="shared" si="11"/>
        <v>1337</v>
      </c>
      <c r="H179" s="433"/>
      <c r="I179" s="120"/>
    </row>
    <row r="180" spans="1:9" ht="15.95" customHeight="1" x14ac:dyDescent="0.2">
      <c r="A180" s="57"/>
      <c r="B180" s="108"/>
      <c r="C180" s="149"/>
      <c r="D180" s="149"/>
      <c r="E180" s="150"/>
      <c r="F180" s="150"/>
      <c r="G180" s="150"/>
      <c r="H180" s="150"/>
      <c r="I180" s="113"/>
    </row>
    <row r="181" spans="1:9" ht="15.95" customHeight="1" x14ac:dyDescent="0.2">
      <c r="A181" s="5" t="s">
        <v>139</v>
      </c>
      <c r="F181" s="14"/>
    </row>
    <row r="182" spans="1:9" ht="15.95" customHeight="1" thickBot="1" x14ac:dyDescent="0.25">
      <c r="A182" s="134" t="s">
        <v>132</v>
      </c>
      <c r="B182" s="256" t="s">
        <v>85</v>
      </c>
      <c r="C182" s="256"/>
      <c r="D182" s="256" t="s">
        <v>259</v>
      </c>
      <c r="E182" s="256"/>
      <c r="F182" s="256" t="s">
        <v>258</v>
      </c>
      <c r="G182" s="256"/>
      <c r="H182" s="256" t="s">
        <v>388</v>
      </c>
      <c r="I182" s="267"/>
    </row>
    <row r="183" spans="1:9" ht="15.95" customHeight="1" thickTop="1" x14ac:dyDescent="0.2">
      <c r="A183" s="141" t="s">
        <v>136</v>
      </c>
      <c r="B183" s="376">
        <f>F183+D183+H183</f>
        <v>32300</v>
      </c>
      <c r="C183" s="376"/>
      <c r="D183" s="376">
        <f>G103</f>
        <v>5038</v>
      </c>
      <c r="E183" s="376"/>
      <c r="F183" s="376">
        <f>G115</f>
        <v>3666</v>
      </c>
      <c r="G183" s="376"/>
      <c r="H183" s="376">
        <f>G130</f>
        <v>23596</v>
      </c>
      <c r="I183" s="434"/>
    </row>
    <row r="184" spans="1:9" ht="15.95" customHeight="1" x14ac:dyDescent="0.2">
      <c r="A184" s="417"/>
      <c r="B184" s="417"/>
      <c r="C184" s="417"/>
      <c r="D184" s="16"/>
      <c r="E184" s="16"/>
      <c r="F184" s="17"/>
      <c r="G184" s="15"/>
      <c r="H184" s="418"/>
      <c r="I184" s="418"/>
    </row>
    <row r="185" spans="1:9" ht="15.95" customHeight="1" x14ac:dyDescent="0.2">
      <c r="A185" s="5" t="s">
        <v>92</v>
      </c>
      <c r="B185" s="5"/>
      <c r="C185" s="4"/>
      <c r="D185" s="4"/>
      <c r="E185" s="4"/>
      <c r="F185" s="4"/>
    </row>
    <row r="186" spans="1:9" ht="15.95" customHeight="1" x14ac:dyDescent="0.2">
      <c r="A186" s="413" t="s">
        <v>189</v>
      </c>
      <c r="B186" s="414"/>
      <c r="C186" s="385" t="s">
        <v>71</v>
      </c>
      <c r="D186" s="385"/>
      <c r="E186" s="385"/>
      <c r="F186" s="385" t="s">
        <v>72</v>
      </c>
      <c r="G186" s="385"/>
      <c r="H186" s="385"/>
      <c r="I186" s="361" t="s">
        <v>73</v>
      </c>
    </row>
    <row r="187" spans="1:9" ht="15.95" customHeight="1" thickBot="1" x14ac:dyDescent="0.25">
      <c r="A187" s="415"/>
      <c r="B187" s="416"/>
      <c r="C187" s="34" t="s">
        <v>74</v>
      </c>
      <c r="D187" s="34" t="s">
        <v>75</v>
      </c>
      <c r="E187" s="34" t="s">
        <v>76</v>
      </c>
      <c r="F187" s="34" t="s">
        <v>74</v>
      </c>
      <c r="G187" s="34" t="s">
        <v>75</v>
      </c>
      <c r="H187" s="34" t="s">
        <v>76</v>
      </c>
      <c r="I187" s="362"/>
    </row>
    <row r="188" spans="1:9" s="22" customFormat="1" ht="15.95" customHeight="1" thickTop="1" x14ac:dyDescent="0.2">
      <c r="A188" s="154" t="s">
        <v>254</v>
      </c>
      <c r="B188" s="155" t="s">
        <v>190</v>
      </c>
      <c r="C188" s="156"/>
      <c r="D188" s="156"/>
      <c r="E188" s="156"/>
      <c r="F188" s="156"/>
      <c r="G188" s="156"/>
      <c r="H188" s="156"/>
      <c r="I188" s="157">
        <f>SUM(I189:I192)</f>
        <v>309</v>
      </c>
    </row>
    <row r="189" spans="1:9" s="22" customFormat="1" ht="15.95" customHeight="1" x14ac:dyDescent="0.2">
      <c r="A189" s="23" t="str">
        <f>A188</f>
        <v>차집관로</v>
      </c>
      <c r="B189" s="26" t="s">
        <v>78</v>
      </c>
      <c r="C189" s="27">
        <v>5000</v>
      </c>
      <c r="D189" s="27">
        <f>$D$183</f>
        <v>5038</v>
      </c>
      <c r="E189" s="27">
        <v>10000</v>
      </c>
      <c r="F189" s="28">
        <f>VLOOKUP(C189,'0.시설공사비 산정근거'!$A$150:$F$166,2,FALSE)</f>
        <v>1.47</v>
      </c>
      <c r="G189" s="28">
        <f>ROUND(F189-(D189-C189)*(F189-H189)/(E189-C189),2)</f>
        <v>1.47</v>
      </c>
      <c r="H189" s="28">
        <f>VLOOKUP(E189,'0.시설공사비 산정근거'!$A$150:$F$166,2,FALSE)</f>
        <v>1.44</v>
      </c>
      <c r="I189" s="29">
        <f>ROUND(D189*G189/100,0)</f>
        <v>74</v>
      </c>
    </row>
    <row r="190" spans="1:9" s="22" customFormat="1" ht="15.95" customHeight="1" x14ac:dyDescent="0.2">
      <c r="A190" s="24" t="str">
        <f t="shared" ref="A190:A192" si="12">A189</f>
        <v>차집관로</v>
      </c>
      <c r="B190" s="26" t="s">
        <v>79</v>
      </c>
      <c r="C190" s="27">
        <v>5000</v>
      </c>
      <c r="D190" s="27">
        <f>$D$183</f>
        <v>5038</v>
      </c>
      <c r="E190" s="27">
        <f>E189</f>
        <v>10000</v>
      </c>
      <c r="F190" s="28">
        <f>VLOOKUP(C190,'0.시설공사비 산정근거'!$A$150:$F$166,3,FALSE)</f>
        <v>2.94</v>
      </c>
      <c r="G190" s="28">
        <f>ROUND(F190-(D190-C190)*(F190-H190)/(E190-C190),2)</f>
        <v>2.94</v>
      </c>
      <c r="H190" s="28">
        <f>VLOOKUP(E190,'0.시설공사비 산정근거'!$A$150:$F$166,3,FALSE)</f>
        <v>2.87</v>
      </c>
      <c r="I190" s="29">
        <f>ROUND(D190*G190/100,0)</f>
        <v>148</v>
      </c>
    </row>
    <row r="191" spans="1:9" s="22" customFormat="1" ht="15.95" customHeight="1" x14ac:dyDescent="0.2">
      <c r="A191" s="24" t="str">
        <f t="shared" si="12"/>
        <v>차집관로</v>
      </c>
      <c r="B191" s="26" t="s">
        <v>80</v>
      </c>
      <c r="C191" s="27">
        <v>5000</v>
      </c>
      <c r="D191" s="27">
        <f>$D$183</f>
        <v>5038</v>
      </c>
      <c r="E191" s="27">
        <f t="shared" ref="E191:E192" si="13">E190</f>
        <v>10000</v>
      </c>
      <c r="F191" s="28">
        <f>VLOOKUP(C191,'0.시설공사비 산정근거'!$A$150:$F$166,4,FALSE)</f>
        <v>1.45</v>
      </c>
      <c r="G191" s="28">
        <f>ROUND(F191-(D191-C191)*(F191-H191)/(E191-C191),2)</f>
        <v>1.45</v>
      </c>
      <c r="H191" s="28">
        <f>VLOOKUP(E191,'0.시설공사비 산정근거'!$A$150:$F$166,4,FALSE)</f>
        <v>1.41</v>
      </c>
      <c r="I191" s="29">
        <f>ROUND(D191*G191/100,0)</f>
        <v>73</v>
      </c>
    </row>
    <row r="192" spans="1:9" s="22" customFormat="1" ht="15.95" customHeight="1" x14ac:dyDescent="0.2">
      <c r="A192" s="25" t="str">
        <f t="shared" si="12"/>
        <v>차집관로</v>
      </c>
      <c r="B192" s="26" t="s">
        <v>81</v>
      </c>
      <c r="C192" s="27">
        <v>5000</v>
      </c>
      <c r="D192" s="27">
        <f>$D$183</f>
        <v>5038</v>
      </c>
      <c r="E192" s="27">
        <f t="shared" si="13"/>
        <v>10000</v>
      </c>
      <c r="F192" s="28">
        <f>VLOOKUP(C192,'0.시설공사비 산정근거'!$A$150:$F$166,6,FALSE)</f>
        <v>0.27</v>
      </c>
      <c r="G192" s="28">
        <f>ROUND(F192-(D192-C192)*(F192-H192)/(E192-C192),2)</f>
        <v>0.27</v>
      </c>
      <c r="H192" s="28">
        <f>VLOOKUP(E192,'0.시설공사비 산정근거'!$A$150:$F$166,6,FALSE)</f>
        <v>0.25</v>
      </c>
      <c r="I192" s="29">
        <f>ROUND(D192*G192/100,0)</f>
        <v>14</v>
      </c>
    </row>
    <row r="193" spans="1:9" s="22" customFormat="1" ht="15.95" customHeight="1" x14ac:dyDescent="0.2">
      <c r="A193" s="18" t="s">
        <v>235</v>
      </c>
      <c r="B193" s="19" t="s">
        <v>190</v>
      </c>
      <c r="C193" s="20"/>
      <c r="D193" s="20"/>
      <c r="E193" s="20"/>
      <c r="F193" s="20"/>
      <c r="G193" s="20"/>
      <c r="H193" s="20"/>
      <c r="I193" s="21">
        <f>SUM(I194:I197)</f>
        <v>230</v>
      </c>
    </row>
    <row r="194" spans="1:9" s="22" customFormat="1" ht="15.95" customHeight="1" x14ac:dyDescent="0.2">
      <c r="A194" s="23" t="str">
        <f>A193</f>
        <v>오수관로</v>
      </c>
      <c r="B194" s="26" t="s">
        <v>78</v>
      </c>
      <c r="C194" s="27">
        <v>3000</v>
      </c>
      <c r="D194" s="27">
        <f>$F$183</f>
        <v>3666</v>
      </c>
      <c r="E194" s="27">
        <v>5000</v>
      </c>
      <c r="F194" s="28">
        <f>VLOOKUP(C194,'0.시설공사비 산정근거'!$A$150:$F$166,2,FALSE)</f>
        <v>1.5</v>
      </c>
      <c r="G194" s="28">
        <f>ROUND(F194-(D194-C194)*(F194-H194)/(E194-C194),2)</f>
        <v>1.49</v>
      </c>
      <c r="H194" s="28">
        <f>VLOOKUP(E194,'0.시설공사비 산정근거'!$A$150:$F$166,2,FALSE)</f>
        <v>1.47</v>
      </c>
      <c r="I194" s="29">
        <f>ROUND(D194*G194/100,0)</f>
        <v>55</v>
      </c>
    </row>
    <row r="195" spans="1:9" s="22" customFormat="1" ht="15.95" customHeight="1" x14ac:dyDescent="0.2">
      <c r="A195" s="24" t="str">
        <f t="shared" ref="A195:A197" si="14">A194</f>
        <v>오수관로</v>
      </c>
      <c r="B195" s="26" t="s">
        <v>79</v>
      </c>
      <c r="C195" s="27">
        <v>3000</v>
      </c>
      <c r="D195" s="27">
        <f>$F$183</f>
        <v>3666</v>
      </c>
      <c r="E195" s="27">
        <f>E194</f>
        <v>5000</v>
      </c>
      <c r="F195" s="28">
        <f>VLOOKUP(C195,'0.시설공사비 산정근거'!$A$150:$F$166,3,FALSE)</f>
        <v>3</v>
      </c>
      <c r="G195" s="28">
        <f>ROUND(F195-(D195-C195)*(F195-H195)/(E195-C195),2)</f>
        <v>2.98</v>
      </c>
      <c r="H195" s="28">
        <f>VLOOKUP(E195,'0.시설공사비 산정근거'!$A$150:$F$166,3,FALSE)</f>
        <v>2.94</v>
      </c>
      <c r="I195" s="29">
        <f>ROUND(D195*G195/100,0)</f>
        <v>109</v>
      </c>
    </row>
    <row r="196" spans="1:9" s="22" customFormat="1" ht="15.95" customHeight="1" x14ac:dyDescent="0.2">
      <c r="A196" s="24" t="str">
        <f t="shared" si="14"/>
        <v>오수관로</v>
      </c>
      <c r="B196" s="26" t="s">
        <v>80</v>
      </c>
      <c r="C196" s="27">
        <v>3000</v>
      </c>
      <c r="D196" s="27">
        <f>$F$183</f>
        <v>3666</v>
      </c>
      <c r="E196" s="27">
        <f t="shared" ref="E196:E197" si="15">E195</f>
        <v>5000</v>
      </c>
      <c r="F196" s="28">
        <f>VLOOKUP(C196,'0.시설공사비 산정근거'!$A$150:$F$166,4,FALSE)</f>
        <v>1.48</v>
      </c>
      <c r="G196" s="28">
        <f>ROUND(F196-(D196-C196)*(F196-H196)/(E196-C196),2)</f>
        <v>1.47</v>
      </c>
      <c r="H196" s="28">
        <f>VLOOKUP(E196,'0.시설공사비 산정근거'!$A$150:$F$166,4,FALSE)</f>
        <v>1.45</v>
      </c>
      <c r="I196" s="29">
        <f>ROUND(D196*G196/100,0)</f>
        <v>54</v>
      </c>
    </row>
    <row r="197" spans="1:9" s="22" customFormat="1" ht="15.95" customHeight="1" x14ac:dyDescent="0.2">
      <c r="A197" s="25" t="str">
        <f t="shared" si="14"/>
        <v>오수관로</v>
      </c>
      <c r="B197" s="26" t="s">
        <v>81</v>
      </c>
      <c r="C197" s="27">
        <v>3000</v>
      </c>
      <c r="D197" s="27">
        <f>$F$183</f>
        <v>3666</v>
      </c>
      <c r="E197" s="27">
        <f t="shared" si="15"/>
        <v>5000</v>
      </c>
      <c r="F197" s="28">
        <f>VLOOKUP(C197,'0.시설공사비 산정근거'!$A$150:$F$166,6,FALSE)</f>
        <v>0.36</v>
      </c>
      <c r="G197" s="28">
        <f>ROUND(F197-(D197-C197)*(F197-H197)/(E197-C197),2)</f>
        <v>0.33</v>
      </c>
      <c r="H197" s="28">
        <f>VLOOKUP(E197,'0.시설공사비 산정근거'!$A$150:$F$166,6,FALSE)</f>
        <v>0.27</v>
      </c>
      <c r="I197" s="29">
        <f>ROUND(D197*G197/100,0)</f>
        <v>12</v>
      </c>
    </row>
    <row r="198" spans="1:9" s="22" customFormat="1" ht="15.95" customHeight="1" x14ac:dyDescent="0.2">
      <c r="A198" s="18" t="s">
        <v>427</v>
      </c>
      <c r="B198" s="19" t="s">
        <v>77</v>
      </c>
      <c r="C198" s="20"/>
      <c r="D198" s="20"/>
      <c r="E198" s="20"/>
      <c r="F198" s="20"/>
      <c r="G198" s="20"/>
      <c r="H198" s="20"/>
      <c r="I198" s="21">
        <f>SUM(I199:I202)</f>
        <v>1357</v>
      </c>
    </row>
    <row r="199" spans="1:9" s="22" customFormat="1" ht="15.95" customHeight="1" x14ac:dyDescent="0.2">
      <c r="A199" s="23" t="str">
        <f>A198</f>
        <v>우수관로</v>
      </c>
      <c r="B199" s="26" t="s">
        <v>78</v>
      </c>
      <c r="C199" s="27">
        <v>20000</v>
      </c>
      <c r="D199" s="27">
        <f>$H$183</f>
        <v>23596</v>
      </c>
      <c r="E199" s="27">
        <v>30000</v>
      </c>
      <c r="F199" s="28">
        <f>VLOOKUP(C199,'0.시설공사비 산정근거'!$A$150:$F$166,2,FALSE)</f>
        <v>1.39</v>
      </c>
      <c r="G199" s="28">
        <f>ROUND(F199-(D199-C199)*(F199-H199)/(E199-C199),2)</f>
        <v>1.39</v>
      </c>
      <c r="H199" s="28">
        <f>VLOOKUP(E199,'0.시설공사비 산정근거'!$A$150:$F$166,2,FALSE)</f>
        <v>1.38</v>
      </c>
      <c r="I199" s="29">
        <f>ROUND(D199*G199/100,0)</f>
        <v>328</v>
      </c>
    </row>
    <row r="200" spans="1:9" s="22" customFormat="1" ht="15.95" customHeight="1" x14ac:dyDescent="0.2">
      <c r="A200" s="24" t="str">
        <f t="shared" ref="A200:A202" si="16">A199</f>
        <v>우수관로</v>
      </c>
      <c r="B200" s="26" t="s">
        <v>79</v>
      </c>
      <c r="C200" s="27">
        <v>20000</v>
      </c>
      <c r="D200" s="27">
        <f t="shared" ref="D200:D202" si="17">$H$183</f>
        <v>23596</v>
      </c>
      <c r="E200" s="27">
        <f>E199</f>
        <v>30000</v>
      </c>
      <c r="F200" s="28">
        <f>VLOOKUP(C200,'0.시설공사비 산정근거'!$A$150:$F$166,3,FALSE)</f>
        <v>2.77</v>
      </c>
      <c r="G200" s="28">
        <f>ROUND(F200-(D200-C200)*(F200-H200)/(E200-C200),2)</f>
        <v>2.77</v>
      </c>
      <c r="H200" s="28">
        <f>VLOOKUP(E200,'0.시설공사비 산정근거'!$A$150:$F$166,3,FALSE)</f>
        <v>2.76</v>
      </c>
      <c r="I200" s="29">
        <f>ROUND(D200*G200/100,0)</f>
        <v>654</v>
      </c>
    </row>
    <row r="201" spans="1:9" s="22" customFormat="1" ht="15.95" customHeight="1" x14ac:dyDescent="0.2">
      <c r="A201" s="24" t="str">
        <f t="shared" si="16"/>
        <v>우수관로</v>
      </c>
      <c r="B201" s="26" t="s">
        <v>62</v>
      </c>
      <c r="C201" s="27">
        <v>20000</v>
      </c>
      <c r="D201" s="27">
        <f t="shared" si="17"/>
        <v>23596</v>
      </c>
      <c r="E201" s="27">
        <f t="shared" ref="E201:E202" si="18">E200</f>
        <v>30000</v>
      </c>
      <c r="F201" s="28">
        <f>VLOOKUP(C201,'0.시설공사비 산정근거'!$A$150:$F$166,4,FALSE)</f>
        <v>1.37</v>
      </c>
      <c r="G201" s="28">
        <f>ROUND(F201-(D201-C201)*(F201-H201)/(E201-C201),2)</f>
        <v>1.36</v>
      </c>
      <c r="H201" s="28">
        <f>VLOOKUP(E201,'0.시설공사비 산정근거'!$A$150:$F$166,4,FALSE)</f>
        <v>1.35</v>
      </c>
      <c r="I201" s="29">
        <f>ROUND(D201*G201/100,0)</f>
        <v>321</v>
      </c>
    </row>
    <row r="202" spans="1:9" s="22" customFormat="1" ht="15.95" customHeight="1" x14ac:dyDescent="0.2">
      <c r="A202" s="86" t="str">
        <f t="shared" si="16"/>
        <v>우수관로</v>
      </c>
      <c r="B202" s="87" t="s">
        <v>81</v>
      </c>
      <c r="C202" s="40">
        <v>20000</v>
      </c>
      <c r="D202" s="40">
        <f t="shared" si="17"/>
        <v>23596</v>
      </c>
      <c r="E202" s="40">
        <f t="shared" si="18"/>
        <v>30000</v>
      </c>
      <c r="F202" s="41">
        <f>VLOOKUP(C202,'0.시설공사비 산정근거'!$A$150:$F$166,6,FALSE)</f>
        <v>0.23</v>
      </c>
      <c r="G202" s="41">
        <f>ROUND(F202-(D202-C202)*(F202-H202)/(E202-C202),2)</f>
        <v>0.23</v>
      </c>
      <c r="H202" s="41">
        <f>VLOOKUP(E202,'0.시설공사비 산정근거'!$A$150:$F$166,6,FALSE)</f>
        <v>0.23</v>
      </c>
      <c r="I202" s="42">
        <f>ROUND(D202*G202/100,0)</f>
        <v>54</v>
      </c>
    </row>
    <row r="204" spans="1:9" ht="15.95" customHeight="1" x14ac:dyDescent="0.2">
      <c r="A204" s="5" t="s">
        <v>211</v>
      </c>
      <c r="B204" s="5"/>
    </row>
    <row r="205" spans="1:9" ht="15.95" customHeight="1" x14ac:dyDescent="0.2">
      <c r="A205" s="2" t="s">
        <v>430</v>
      </c>
      <c r="G205" s="10"/>
      <c r="H205" s="2"/>
      <c r="I205" s="2"/>
    </row>
    <row r="206" spans="1:9" ht="15.95" customHeight="1" x14ac:dyDescent="0.2">
      <c r="A206" s="2" t="s">
        <v>429</v>
      </c>
      <c r="G206" s="10"/>
      <c r="H206" s="2"/>
      <c r="I206" s="2"/>
    </row>
    <row r="207" spans="1:9" ht="23.25" thickBot="1" x14ac:dyDescent="0.25">
      <c r="A207" s="255" t="s">
        <v>132</v>
      </c>
      <c r="B207" s="256"/>
      <c r="C207" s="256"/>
      <c r="D207" s="51" t="s">
        <v>160</v>
      </c>
      <c r="E207" s="51" t="s">
        <v>200</v>
      </c>
      <c r="F207" s="51" t="s">
        <v>201</v>
      </c>
      <c r="G207" s="51" t="s">
        <v>202</v>
      </c>
      <c r="H207" s="51" t="s">
        <v>203</v>
      </c>
      <c r="I207" s="39" t="s">
        <v>137</v>
      </c>
    </row>
    <row r="208" spans="1:9" ht="15.95" customHeight="1" thickTop="1" x14ac:dyDescent="0.2">
      <c r="A208" s="452" t="s">
        <v>186</v>
      </c>
      <c r="B208" s="443" t="s">
        <v>186</v>
      </c>
      <c r="C208" s="443"/>
      <c r="D208" s="128">
        <f t="shared" ref="D208:D214" si="19">SUM(E208:H208)</f>
        <v>34196</v>
      </c>
      <c r="E208" s="128">
        <f>E209+E210</f>
        <v>5347</v>
      </c>
      <c r="F208" s="128">
        <f>F209+F210</f>
        <v>13877</v>
      </c>
      <c r="G208" s="128">
        <f>G209+G210</f>
        <v>7486</v>
      </c>
      <c r="H208" s="128">
        <f>H209+H210</f>
        <v>7486</v>
      </c>
      <c r="I208" s="129"/>
    </row>
    <row r="209" spans="1:9" ht="15.95" customHeight="1" x14ac:dyDescent="0.2">
      <c r="A209" s="334"/>
      <c r="B209" s="335" t="s">
        <v>196</v>
      </c>
      <c r="C209" s="335"/>
      <c r="D209" s="145">
        <f t="shared" si="19"/>
        <v>32300</v>
      </c>
      <c r="E209" s="145">
        <f>E223+E216+E230</f>
        <v>5038</v>
      </c>
      <c r="F209" s="145">
        <f t="shared" ref="F209:H209" si="20">F223+F216+F230</f>
        <v>13104</v>
      </c>
      <c r="G209" s="145">
        <f t="shared" si="20"/>
        <v>7079</v>
      </c>
      <c r="H209" s="145">
        <f t="shared" si="20"/>
        <v>7079</v>
      </c>
      <c r="I209" s="98"/>
    </row>
    <row r="210" spans="1:9" ht="15.95" customHeight="1" x14ac:dyDescent="0.2">
      <c r="A210" s="334"/>
      <c r="B210" s="335" t="s">
        <v>197</v>
      </c>
      <c r="C210" s="142" t="s">
        <v>236</v>
      </c>
      <c r="D210" s="145">
        <f t="shared" si="19"/>
        <v>1896</v>
      </c>
      <c r="E210" s="145">
        <f>SUM(E211:E214)</f>
        <v>309</v>
      </c>
      <c r="F210" s="145">
        <f t="shared" ref="F210:H210" si="21">SUM(F211:F214)</f>
        <v>773</v>
      </c>
      <c r="G210" s="145">
        <f t="shared" si="21"/>
        <v>407</v>
      </c>
      <c r="H210" s="145">
        <f t="shared" si="21"/>
        <v>407</v>
      </c>
      <c r="I210" s="98"/>
    </row>
    <row r="211" spans="1:9" ht="15.95" customHeight="1" x14ac:dyDescent="0.2">
      <c r="A211" s="334"/>
      <c r="B211" s="335"/>
      <c r="C211" s="26" t="s">
        <v>78</v>
      </c>
      <c r="D211" s="145">
        <f t="shared" si="19"/>
        <v>457</v>
      </c>
      <c r="E211" s="145">
        <f t="shared" ref="E211:H211" si="22">E225+E218+E232</f>
        <v>74</v>
      </c>
      <c r="F211" s="145">
        <f t="shared" si="22"/>
        <v>186</v>
      </c>
      <c r="G211" s="145">
        <f t="shared" si="22"/>
        <v>98</v>
      </c>
      <c r="H211" s="145">
        <f t="shared" si="22"/>
        <v>99</v>
      </c>
      <c r="I211" s="98"/>
    </row>
    <row r="212" spans="1:9" ht="15.95" customHeight="1" x14ac:dyDescent="0.2">
      <c r="A212" s="334"/>
      <c r="B212" s="335"/>
      <c r="C212" s="26" t="s">
        <v>79</v>
      </c>
      <c r="D212" s="145">
        <f t="shared" si="19"/>
        <v>911</v>
      </c>
      <c r="E212" s="145">
        <f t="shared" ref="E212:H212" si="23">E226+E219+E233</f>
        <v>148</v>
      </c>
      <c r="F212" s="145">
        <f t="shared" si="23"/>
        <v>371</v>
      </c>
      <c r="G212" s="145">
        <f t="shared" si="23"/>
        <v>196</v>
      </c>
      <c r="H212" s="145">
        <f t="shared" si="23"/>
        <v>196</v>
      </c>
      <c r="I212" s="98"/>
    </row>
    <row r="213" spans="1:9" ht="15.95" customHeight="1" x14ac:dyDescent="0.2">
      <c r="A213" s="334"/>
      <c r="B213" s="335"/>
      <c r="C213" s="26" t="s">
        <v>80</v>
      </c>
      <c r="D213" s="145">
        <f t="shared" si="19"/>
        <v>448</v>
      </c>
      <c r="E213" s="145">
        <f t="shared" ref="E213:H213" si="24">E227+E220+E234</f>
        <v>73</v>
      </c>
      <c r="F213" s="145">
        <f t="shared" si="24"/>
        <v>182</v>
      </c>
      <c r="G213" s="145">
        <f t="shared" si="24"/>
        <v>97</v>
      </c>
      <c r="H213" s="145">
        <f t="shared" si="24"/>
        <v>96</v>
      </c>
      <c r="I213" s="98"/>
    </row>
    <row r="214" spans="1:9" ht="15.95" customHeight="1" x14ac:dyDescent="0.2">
      <c r="A214" s="334"/>
      <c r="B214" s="335"/>
      <c r="C214" s="26" t="s">
        <v>81</v>
      </c>
      <c r="D214" s="145">
        <f t="shared" si="19"/>
        <v>80</v>
      </c>
      <c r="E214" s="145">
        <f t="shared" ref="E214:H214" si="25">E228+E221+E235</f>
        <v>14</v>
      </c>
      <c r="F214" s="145">
        <f t="shared" si="25"/>
        <v>34</v>
      </c>
      <c r="G214" s="145">
        <f t="shared" si="25"/>
        <v>16</v>
      </c>
      <c r="H214" s="145">
        <f t="shared" si="25"/>
        <v>16</v>
      </c>
      <c r="I214" s="98"/>
    </row>
    <row r="215" spans="1:9" ht="15.95" customHeight="1" x14ac:dyDescent="0.2">
      <c r="A215" s="334" t="s">
        <v>327</v>
      </c>
      <c r="B215" s="335" t="s">
        <v>186</v>
      </c>
      <c r="C215" s="335"/>
      <c r="D215" s="145">
        <f t="shared" ref="D215:D221" si="26">SUM(E215:H215)</f>
        <v>5347</v>
      </c>
      <c r="E215" s="145">
        <f>E216+E217</f>
        <v>5347</v>
      </c>
      <c r="F215" s="145">
        <f>F216+F217</f>
        <v>0</v>
      </c>
      <c r="G215" s="145">
        <f>G216+G217</f>
        <v>0</v>
      </c>
      <c r="H215" s="145">
        <f>H216+H217</f>
        <v>0</v>
      </c>
      <c r="I215" s="98"/>
    </row>
    <row r="216" spans="1:9" ht="15.95" customHeight="1" x14ac:dyDescent="0.2">
      <c r="A216" s="334"/>
      <c r="B216" s="335" t="s">
        <v>196</v>
      </c>
      <c r="C216" s="335"/>
      <c r="D216" s="145">
        <f t="shared" si="26"/>
        <v>5038</v>
      </c>
      <c r="E216" s="145">
        <f>D183</f>
        <v>5038</v>
      </c>
      <c r="F216" s="145">
        <v>0</v>
      </c>
      <c r="G216" s="145">
        <v>0</v>
      </c>
      <c r="H216" s="145">
        <v>0</v>
      </c>
      <c r="I216" s="98"/>
    </row>
    <row r="217" spans="1:9" ht="15.95" customHeight="1" x14ac:dyDescent="0.2">
      <c r="A217" s="334"/>
      <c r="B217" s="335" t="s">
        <v>197</v>
      </c>
      <c r="C217" s="142" t="s">
        <v>236</v>
      </c>
      <c r="D217" s="145">
        <f t="shared" si="26"/>
        <v>309</v>
      </c>
      <c r="E217" s="145">
        <f>SUM(E218:E221)</f>
        <v>309</v>
      </c>
      <c r="F217" s="145">
        <f t="shared" ref="F217" si="27">F218+F221</f>
        <v>0</v>
      </c>
      <c r="G217" s="145">
        <f t="shared" ref="G217" si="28">G218+G221</f>
        <v>0</v>
      </c>
      <c r="H217" s="145">
        <f t="shared" ref="H217" si="29">H218+H221</f>
        <v>0</v>
      </c>
      <c r="I217" s="98"/>
    </row>
    <row r="218" spans="1:9" ht="15.95" customHeight="1" x14ac:dyDescent="0.2">
      <c r="A218" s="334"/>
      <c r="B218" s="335"/>
      <c r="C218" s="26" t="s">
        <v>78</v>
      </c>
      <c r="D218" s="145">
        <f t="shared" si="26"/>
        <v>74</v>
      </c>
      <c r="E218" s="145">
        <f>I189</f>
        <v>74</v>
      </c>
      <c r="F218" s="145">
        <v>0</v>
      </c>
      <c r="G218" s="145">
        <v>0</v>
      </c>
      <c r="H218" s="145">
        <v>0</v>
      </c>
      <c r="I218" s="98"/>
    </row>
    <row r="219" spans="1:9" ht="15.95" customHeight="1" x14ac:dyDescent="0.2">
      <c r="A219" s="334"/>
      <c r="B219" s="335"/>
      <c r="C219" s="26" t="s">
        <v>79</v>
      </c>
      <c r="D219" s="145">
        <f t="shared" si="26"/>
        <v>148</v>
      </c>
      <c r="E219" s="145">
        <f>I190</f>
        <v>148</v>
      </c>
      <c r="F219" s="145">
        <v>0</v>
      </c>
      <c r="G219" s="145">
        <v>0</v>
      </c>
      <c r="H219" s="145">
        <v>0</v>
      </c>
      <c r="I219" s="98"/>
    </row>
    <row r="220" spans="1:9" ht="15.95" customHeight="1" x14ac:dyDescent="0.2">
      <c r="A220" s="334"/>
      <c r="B220" s="335"/>
      <c r="C220" s="26" t="s">
        <v>80</v>
      </c>
      <c r="D220" s="145">
        <f t="shared" si="26"/>
        <v>73</v>
      </c>
      <c r="E220" s="145">
        <f>I191</f>
        <v>73</v>
      </c>
      <c r="F220" s="145">
        <v>0</v>
      </c>
      <c r="G220" s="145">
        <v>0</v>
      </c>
      <c r="H220" s="145">
        <v>0</v>
      </c>
      <c r="I220" s="98"/>
    </row>
    <row r="221" spans="1:9" ht="15.95" customHeight="1" x14ac:dyDescent="0.2">
      <c r="A221" s="334"/>
      <c r="B221" s="335"/>
      <c r="C221" s="26" t="s">
        <v>81</v>
      </c>
      <c r="D221" s="145">
        <f t="shared" si="26"/>
        <v>14</v>
      </c>
      <c r="E221" s="145">
        <f>I192</f>
        <v>14</v>
      </c>
      <c r="F221" s="145">
        <v>0</v>
      </c>
      <c r="G221" s="145">
        <v>0</v>
      </c>
      <c r="H221" s="145">
        <v>0</v>
      </c>
      <c r="I221" s="98"/>
    </row>
    <row r="222" spans="1:9" ht="15.95" customHeight="1" x14ac:dyDescent="0.2">
      <c r="A222" s="334" t="s">
        <v>326</v>
      </c>
      <c r="B222" s="335" t="s">
        <v>186</v>
      </c>
      <c r="C222" s="335"/>
      <c r="D222" s="145">
        <f t="shared" ref="D222:D228" si="30">SUM(E222:H222)</f>
        <v>3896</v>
      </c>
      <c r="E222" s="145">
        <f>E223+E224</f>
        <v>0</v>
      </c>
      <c r="F222" s="145">
        <f>F223+F224</f>
        <v>3896</v>
      </c>
      <c r="G222" s="145">
        <f>G223+G224</f>
        <v>0</v>
      </c>
      <c r="H222" s="145">
        <f>H223+H224</f>
        <v>0</v>
      </c>
      <c r="I222" s="98"/>
    </row>
    <row r="223" spans="1:9" ht="15.95" customHeight="1" x14ac:dyDescent="0.2">
      <c r="A223" s="334"/>
      <c r="B223" s="335" t="s">
        <v>196</v>
      </c>
      <c r="C223" s="335"/>
      <c r="D223" s="145">
        <f t="shared" si="30"/>
        <v>3666</v>
      </c>
      <c r="E223" s="145">
        <v>0</v>
      </c>
      <c r="F223" s="145">
        <f>F183</f>
        <v>3666</v>
      </c>
      <c r="G223" s="145">
        <v>0</v>
      </c>
      <c r="H223" s="145">
        <v>0</v>
      </c>
      <c r="I223" s="98"/>
    </row>
    <row r="224" spans="1:9" ht="15.95" customHeight="1" x14ac:dyDescent="0.2">
      <c r="A224" s="334"/>
      <c r="B224" s="335" t="s">
        <v>197</v>
      </c>
      <c r="C224" s="142" t="s">
        <v>236</v>
      </c>
      <c r="D224" s="145">
        <f t="shared" si="30"/>
        <v>230</v>
      </c>
      <c r="E224" s="145">
        <f>SUM(E225:E228)</f>
        <v>0</v>
      </c>
      <c r="F224" s="145">
        <f t="shared" ref="F224:H224" si="31">SUM(F225:F228)</f>
        <v>230</v>
      </c>
      <c r="G224" s="145">
        <f t="shared" si="31"/>
        <v>0</v>
      </c>
      <c r="H224" s="145">
        <f t="shared" si="31"/>
        <v>0</v>
      </c>
      <c r="I224" s="98"/>
    </row>
    <row r="225" spans="1:9" ht="15.95" customHeight="1" x14ac:dyDescent="0.2">
      <c r="A225" s="334"/>
      <c r="B225" s="335"/>
      <c r="C225" s="26" t="s">
        <v>78</v>
      </c>
      <c r="D225" s="145">
        <f t="shared" si="30"/>
        <v>55</v>
      </c>
      <c r="E225" s="145">
        <v>0</v>
      </c>
      <c r="F225" s="145">
        <f>I194</f>
        <v>55</v>
      </c>
      <c r="G225" s="145">
        <v>0</v>
      </c>
      <c r="H225" s="145">
        <v>0</v>
      </c>
      <c r="I225" s="98"/>
    </row>
    <row r="226" spans="1:9" ht="15.95" customHeight="1" x14ac:dyDescent="0.2">
      <c r="A226" s="334"/>
      <c r="B226" s="335"/>
      <c r="C226" s="26" t="s">
        <v>79</v>
      </c>
      <c r="D226" s="145">
        <f t="shared" si="30"/>
        <v>109</v>
      </c>
      <c r="E226" s="145">
        <v>0</v>
      </c>
      <c r="F226" s="145">
        <f t="shared" ref="F226:F228" si="32">I195</f>
        <v>109</v>
      </c>
      <c r="G226" s="145">
        <v>0</v>
      </c>
      <c r="H226" s="145">
        <v>0</v>
      </c>
      <c r="I226" s="98"/>
    </row>
    <row r="227" spans="1:9" ht="15.95" customHeight="1" x14ac:dyDescent="0.2">
      <c r="A227" s="334"/>
      <c r="B227" s="335"/>
      <c r="C227" s="26" t="s">
        <v>80</v>
      </c>
      <c r="D227" s="145">
        <f t="shared" si="30"/>
        <v>54</v>
      </c>
      <c r="E227" s="145">
        <v>0</v>
      </c>
      <c r="F227" s="145">
        <f t="shared" si="32"/>
        <v>54</v>
      </c>
      <c r="G227" s="145">
        <v>0</v>
      </c>
      <c r="H227" s="145">
        <v>0</v>
      </c>
      <c r="I227" s="98"/>
    </row>
    <row r="228" spans="1:9" ht="15.95" customHeight="1" x14ac:dyDescent="0.2">
      <c r="A228" s="334"/>
      <c r="B228" s="335"/>
      <c r="C228" s="26" t="s">
        <v>81</v>
      </c>
      <c r="D228" s="145">
        <f t="shared" si="30"/>
        <v>12</v>
      </c>
      <c r="E228" s="145">
        <v>0</v>
      </c>
      <c r="F228" s="145">
        <f t="shared" si="32"/>
        <v>12</v>
      </c>
      <c r="G228" s="145">
        <v>0</v>
      </c>
      <c r="H228" s="145">
        <v>0</v>
      </c>
      <c r="I228" s="98"/>
    </row>
    <row r="229" spans="1:9" ht="15.95" customHeight="1" x14ac:dyDescent="0.2">
      <c r="A229" s="334" t="s">
        <v>428</v>
      </c>
      <c r="B229" s="335" t="s">
        <v>85</v>
      </c>
      <c r="C229" s="335"/>
      <c r="D229" s="145">
        <f>D230+D231</f>
        <v>24953</v>
      </c>
      <c r="E229" s="145">
        <f t="shared" ref="E229:H229" si="33">E230+E231</f>
        <v>0</v>
      </c>
      <c r="F229" s="145">
        <f t="shared" si="33"/>
        <v>9981</v>
      </c>
      <c r="G229" s="145">
        <f t="shared" si="33"/>
        <v>7486</v>
      </c>
      <c r="H229" s="145">
        <f t="shared" si="33"/>
        <v>7486</v>
      </c>
      <c r="I229" s="98"/>
    </row>
    <row r="230" spans="1:9" ht="15.95" customHeight="1" x14ac:dyDescent="0.2">
      <c r="A230" s="334"/>
      <c r="B230" s="335" t="s">
        <v>86</v>
      </c>
      <c r="C230" s="335"/>
      <c r="D230" s="145">
        <f>H183</f>
        <v>23596</v>
      </c>
      <c r="E230" s="145">
        <f t="shared" ref="E230" si="34">I183</f>
        <v>0</v>
      </c>
      <c r="F230" s="145">
        <f>ROUND($D230*0.4,0)</f>
        <v>9438</v>
      </c>
      <c r="G230" s="145">
        <f>ROUND($D230*0.3,0)</f>
        <v>7079</v>
      </c>
      <c r="H230" s="145">
        <f>D230-F230-G230</f>
        <v>7079</v>
      </c>
      <c r="I230" s="98"/>
    </row>
    <row r="231" spans="1:9" ht="15.95" customHeight="1" x14ac:dyDescent="0.2">
      <c r="A231" s="334"/>
      <c r="B231" s="335" t="s">
        <v>87</v>
      </c>
      <c r="C231" s="142" t="s">
        <v>236</v>
      </c>
      <c r="D231" s="145">
        <f>SUM(D232:D235)</f>
        <v>1357</v>
      </c>
      <c r="E231" s="145">
        <f t="shared" ref="E231:H231" si="35">SUM(E232:E235)</f>
        <v>0</v>
      </c>
      <c r="F231" s="145">
        <f t="shared" si="35"/>
        <v>543</v>
      </c>
      <c r="G231" s="145">
        <f t="shared" si="35"/>
        <v>407</v>
      </c>
      <c r="H231" s="145">
        <f t="shared" si="35"/>
        <v>407</v>
      </c>
      <c r="I231" s="98"/>
    </row>
    <row r="232" spans="1:9" ht="15.95" customHeight="1" x14ac:dyDescent="0.2">
      <c r="A232" s="334"/>
      <c r="B232" s="335"/>
      <c r="C232" s="26" t="s">
        <v>78</v>
      </c>
      <c r="D232" s="145">
        <f>I199</f>
        <v>328</v>
      </c>
      <c r="E232" s="145">
        <v>0</v>
      </c>
      <c r="F232" s="145">
        <f t="shared" ref="F232:F235" si="36">ROUND($D232*0.4,0)</f>
        <v>131</v>
      </c>
      <c r="G232" s="145">
        <f t="shared" ref="G232:G235" si="37">ROUND($D232*0.3,0)</f>
        <v>98</v>
      </c>
      <c r="H232" s="145">
        <f t="shared" ref="H232:H235" si="38">D232-F232-G232</f>
        <v>99</v>
      </c>
      <c r="I232" s="98"/>
    </row>
    <row r="233" spans="1:9" ht="15.95" customHeight="1" x14ac:dyDescent="0.2">
      <c r="A233" s="334"/>
      <c r="B233" s="335"/>
      <c r="C233" s="26" t="s">
        <v>79</v>
      </c>
      <c r="D233" s="145">
        <f t="shared" ref="D233:D235" si="39">I200</f>
        <v>654</v>
      </c>
      <c r="E233" s="145">
        <v>0</v>
      </c>
      <c r="F233" s="145">
        <f t="shared" si="36"/>
        <v>262</v>
      </c>
      <c r="G233" s="145">
        <f t="shared" si="37"/>
        <v>196</v>
      </c>
      <c r="H233" s="145">
        <f t="shared" si="38"/>
        <v>196</v>
      </c>
      <c r="I233" s="98"/>
    </row>
    <row r="234" spans="1:9" ht="15.95" customHeight="1" x14ac:dyDescent="0.2">
      <c r="A234" s="334"/>
      <c r="B234" s="335"/>
      <c r="C234" s="26" t="s">
        <v>62</v>
      </c>
      <c r="D234" s="145">
        <f t="shared" si="39"/>
        <v>321</v>
      </c>
      <c r="E234" s="145">
        <f>I203</f>
        <v>0</v>
      </c>
      <c r="F234" s="145">
        <f t="shared" si="36"/>
        <v>128</v>
      </c>
      <c r="G234" s="145">
        <f>ROUND($D234*0.3,0)+1</f>
        <v>97</v>
      </c>
      <c r="H234" s="145">
        <f t="shared" si="38"/>
        <v>96</v>
      </c>
      <c r="I234" s="98"/>
    </row>
    <row r="235" spans="1:9" ht="15.95" customHeight="1" x14ac:dyDescent="0.2">
      <c r="A235" s="340"/>
      <c r="B235" s="341"/>
      <c r="C235" s="87" t="s">
        <v>81</v>
      </c>
      <c r="D235" s="146">
        <f t="shared" si="39"/>
        <v>54</v>
      </c>
      <c r="E235" s="146">
        <f>I204</f>
        <v>0</v>
      </c>
      <c r="F235" s="146">
        <f t="shared" si="36"/>
        <v>22</v>
      </c>
      <c r="G235" s="146">
        <f t="shared" si="37"/>
        <v>16</v>
      </c>
      <c r="H235" s="146">
        <f t="shared" si="38"/>
        <v>16</v>
      </c>
      <c r="I235" s="100"/>
    </row>
    <row r="237" spans="1:9" ht="15.95" customHeight="1" x14ac:dyDescent="0.2">
      <c r="A237" s="5" t="s">
        <v>145</v>
      </c>
      <c r="B237" s="5"/>
    </row>
    <row r="238" spans="1:9" ht="15.95" customHeight="1" x14ac:dyDescent="0.2">
      <c r="A238" s="5" t="s">
        <v>204</v>
      </c>
      <c r="B238" s="5"/>
      <c r="C238" s="4"/>
      <c r="D238" s="4"/>
      <c r="E238" s="4"/>
      <c r="F238" s="4"/>
    </row>
    <row r="239" spans="1:9" ht="15.95" customHeight="1" x14ac:dyDescent="0.2">
      <c r="A239" s="2" t="s">
        <v>159</v>
      </c>
      <c r="G239" s="10"/>
      <c r="H239" s="2"/>
      <c r="I239" s="2"/>
    </row>
    <row r="240" spans="1:9" ht="15.95" customHeight="1" thickBot="1" x14ac:dyDescent="0.25">
      <c r="A240" s="255" t="s">
        <v>161</v>
      </c>
      <c r="B240" s="256"/>
      <c r="C240" s="256"/>
      <c r="D240" s="256"/>
      <c r="E240" s="256" t="s">
        <v>206</v>
      </c>
      <c r="F240" s="256"/>
      <c r="G240" s="256" t="s">
        <v>137</v>
      </c>
      <c r="H240" s="256"/>
      <c r="I240" s="267"/>
    </row>
    <row r="241" spans="1:9" ht="15.95" customHeight="1" thickTop="1" x14ac:dyDescent="0.2">
      <c r="A241" s="290" t="s">
        <v>232</v>
      </c>
      <c r="B241" s="389"/>
      <c r="C241" s="283" t="s">
        <v>233</v>
      </c>
      <c r="D241" s="283"/>
      <c r="E241" s="347">
        <v>70</v>
      </c>
      <c r="F241" s="347"/>
      <c r="G241" s="283" t="s">
        <v>273</v>
      </c>
      <c r="H241" s="283"/>
      <c r="I241" s="293"/>
    </row>
    <row r="243" spans="1:9" ht="15.95" customHeight="1" x14ac:dyDescent="0.2">
      <c r="A243" s="5" t="s">
        <v>215</v>
      </c>
      <c r="B243" s="5"/>
      <c r="C243" s="4"/>
      <c r="D243" s="4"/>
      <c r="E243" s="4"/>
      <c r="F243" s="4"/>
    </row>
    <row r="244" spans="1:9" ht="15.95" customHeight="1" x14ac:dyDescent="0.2">
      <c r="A244" s="379" t="s">
        <v>132</v>
      </c>
      <c r="B244" s="444"/>
      <c r="C244" s="351"/>
      <c r="D244" s="351" t="s">
        <v>158</v>
      </c>
      <c r="E244" s="351"/>
      <c r="F244" s="351"/>
      <c r="G244" s="351"/>
      <c r="H244" s="351" t="s">
        <v>137</v>
      </c>
      <c r="I244" s="352"/>
    </row>
    <row r="245" spans="1:9" ht="15.95" customHeight="1" thickBot="1" x14ac:dyDescent="0.25">
      <c r="A245" s="380"/>
      <c r="B245" s="445"/>
      <c r="C245" s="353"/>
      <c r="D245" s="43" t="s">
        <v>85</v>
      </c>
      <c r="E245" s="43" t="s">
        <v>208</v>
      </c>
      <c r="F245" s="43" t="s">
        <v>209</v>
      </c>
      <c r="G245" s="43" t="s">
        <v>157</v>
      </c>
      <c r="H245" s="353"/>
      <c r="I245" s="354"/>
    </row>
    <row r="246" spans="1:9" ht="15.95" customHeight="1" thickTop="1" x14ac:dyDescent="0.2">
      <c r="A246" s="394" t="s">
        <v>274</v>
      </c>
      <c r="B246" s="446"/>
      <c r="C246" s="349"/>
      <c r="D246" s="36">
        <f>D208</f>
        <v>34196</v>
      </c>
      <c r="E246" s="36">
        <f>ROUND((D246-G246)*E241/100,0)</f>
        <v>23937</v>
      </c>
      <c r="F246" s="36">
        <f>D246-E246-G246</f>
        <v>10259</v>
      </c>
      <c r="G246" s="36">
        <v>0</v>
      </c>
      <c r="H246" s="447"/>
      <c r="I246" s="448"/>
    </row>
    <row r="248" spans="1:9" ht="15.95" customHeight="1" x14ac:dyDescent="0.2">
      <c r="A248" s="5" t="s">
        <v>216</v>
      </c>
      <c r="B248" s="5"/>
    </row>
    <row r="249" spans="1:9" ht="23.25" thickBot="1" x14ac:dyDescent="0.25">
      <c r="A249" s="255" t="s">
        <v>132</v>
      </c>
      <c r="B249" s="256"/>
      <c r="C249" s="256"/>
      <c r="D249" s="51" t="s">
        <v>160</v>
      </c>
      <c r="E249" s="51" t="s">
        <v>200</v>
      </c>
      <c r="F249" s="51" t="s">
        <v>201</v>
      </c>
      <c r="G249" s="51" t="s">
        <v>202</v>
      </c>
      <c r="H249" s="51" t="s">
        <v>203</v>
      </c>
      <c r="I249" s="39" t="s">
        <v>137</v>
      </c>
    </row>
    <row r="250" spans="1:9" ht="15.95" customHeight="1" thickTop="1" x14ac:dyDescent="0.2">
      <c r="A250" s="333" t="s">
        <v>186</v>
      </c>
      <c r="B250" s="342"/>
      <c r="C250" s="339"/>
      <c r="D250" s="101">
        <f>SUM(E250:H250)</f>
        <v>34196</v>
      </c>
      <c r="E250" s="101">
        <f>E208</f>
        <v>5347</v>
      </c>
      <c r="F250" s="101">
        <f>F208</f>
        <v>13877</v>
      </c>
      <c r="G250" s="101">
        <f>G208</f>
        <v>7486</v>
      </c>
      <c r="H250" s="101">
        <f>H208</f>
        <v>7486</v>
      </c>
      <c r="I250" s="102"/>
    </row>
    <row r="251" spans="1:9" ht="15.95" customHeight="1" x14ac:dyDescent="0.2">
      <c r="A251" s="334" t="s">
        <v>208</v>
      </c>
      <c r="B251" s="335"/>
      <c r="C251" s="330"/>
      <c r="D251" s="97">
        <f t="shared" ref="D251:D252" si="40">SUM(E251:H251)</f>
        <v>23937</v>
      </c>
      <c r="E251" s="97">
        <f>ROUND(E250*$E$241/100,0)</f>
        <v>3743</v>
      </c>
      <c r="F251" s="97">
        <f>ROUND(F250*$E$241/100,0)</f>
        <v>9714</v>
      </c>
      <c r="G251" s="145">
        <f t="shared" ref="G251:H251" si="41">ROUND(G250*$E$241/100,0)</f>
        <v>5240</v>
      </c>
      <c r="H251" s="145">
        <f t="shared" si="41"/>
        <v>5240</v>
      </c>
      <c r="I251" s="98"/>
    </row>
    <row r="252" spans="1:9" ht="15.95" customHeight="1" x14ac:dyDescent="0.2">
      <c r="A252" s="334" t="s">
        <v>209</v>
      </c>
      <c r="B252" s="335"/>
      <c r="C252" s="330"/>
      <c r="D252" s="97">
        <f t="shared" si="40"/>
        <v>10259</v>
      </c>
      <c r="E252" s="97">
        <f>E250-E251-E253</f>
        <v>1604</v>
      </c>
      <c r="F252" s="97">
        <f>F250-F251-F253</f>
        <v>4163</v>
      </c>
      <c r="G252" s="145">
        <f t="shared" ref="G252:H252" si="42">G250-G251-G253</f>
        <v>2246</v>
      </c>
      <c r="H252" s="145">
        <f t="shared" si="42"/>
        <v>2246</v>
      </c>
      <c r="I252" s="98"/>
    </row>
    <row r="253" spans="1:9" ht="15.95" customHeight="1" x14ac:dyDescent="0.2">
      <c r="A253" s="340" t="s">
        <v>214</v>
      </c>
      <c r="B253" s="341"/>
      <c r="C253" s="343"/>
      <c r="D253" s="99">
        <v>0</v>
      </c>
      <c r="E253" s="99">
        <v>0</v>
      </c>
      <c r="F253" s="99">
        <v>0</v>
      </c>
      <c r="G253" s="99">
        <v>0</v>
      </c>
      <c r="H253" s="99">
        <v>0</v>
      </c>
      <c r="I253" s="100"/>
    </row>
  </sheetData>
  <mergeCells count="342">
    <mergeCell ref="C109:D109"/>
    <mergeCell ref="E109:F109"/>
    <mergeCell ref="G109:H109"/>
    <mergeCell ref="C110:D110"/>
    <mergeCell ref="E110:F110"/>
    <mergeCell ref="G110:H110"/>
    <mergeCell ref="C107:D107"/>
    <mergeCell ref="E107:F107"/>
    <mergeCell ref="G107:H107"/>
    <mergeCell ref="C108:D108"/>
    <mergeCell ref="E108:F108"/>
    <mergeCell ref="C122:D122"/>
    <mergeCell ref="E122:F122"/>
    <mergeCell ref="G122:H122"/>
    <mergeCell ref="C123:D123"/>
    <mergeCell ref="E123:F123"/>
    <mergeCell ref="A215:A221"/>
    <mergeCell ref="B215:C215"/>
    <mergeCell ref="B216:C216"/>
    <mergeCell ref="B217:B221"/>
    <mergeCell ref="A126:C126"/>
    <mergeCell ref="H126:I126"/>
    <mergeCell ref="A184:C184"/>
    <mergeCell ref="H184:I184"/>
    <mergeCell ref="A208:A214"/>
    <mergeCell ref="G123:H123"/>
    <mergeCell ref="C124:D124"/>
    <mergeCell ref="E124:F124"/>
    <mergeCell ref="G124:H124"/>
    <mergeCell ref="C138:D138"/>
    <mergeCell ref="C139:D139"/>
    <mergeCell ref="C140:D140"/>
    <mergeCell ref="E129:F129"/>
    <mergeCell ref="G129:H129"/>
    <mergeCell ref="E130:F130"/>
    <mergeCell ref="G121:H121"/>
    <mergeCell ref="G125:H125"/>
    <mergeCell ref="C102:D102"/>
    <mergeCell ref="E102:F102"/>
    <mergeCell ref="G102:H102"/>
    <mergeCell ref="A103:A110"/>
    <mergeCell ref="C103:D103"/>
    <mergeCell ref="E103:F103"/>
    <mergeCell ref="G103:H103"/>
    <mergeCell ref="C104:D104"/>
    <mergeCell ref="A115:A125"/>
    <mergeCell ref="G108:H108"/>
    <mergeCell ref="E104:F104"/>
    <mergeCell ref="G104:H104"/>
    <mergeCell ref="C105:D105"/>
    <mergeCell ref="E105:F105"/>
    <mergeCell ref="G105:H105"/>
    <mergeCell ref="C106:D106"/>
    <mergeCell ref="E106:F106"/>
    <mergeCell ref="G106:H106"/>
    <mergeCell ref="C116:D116"/>
    <mergeCell ref="C117:D117"/>
    <mergeCell ref="C118:D118"/>
    <mergeCell ref="C119:D119"/>
    <mergeCell ref="G116:H116"/>
    <mergeCell ref="G117:H117"/>
    <mergeCell ref="G118:H118"/>
    <mergeCell ref="G119:H119"/>
    <mergeCell ref="G120:H120"/>
    <mergeCell ref="E114:F114"/>
    <mergeCell ref="E115:F115"/>
    <mergeCell ref="E116:F116"/>
    <mergeCell ref="E117:F117"/>
    <mergeCell ref="E118:F118"/>
    <mergeCell ref="E119:F119"/>
    <mergeCell ref="G114:H114"/>
    <mergeCell ref="G115:H115"/>
    <mergeCell ref="A17:A18"/>
    <mergeCell ref="B17:B18"/>
    <mergeCell ref="C17:H17"/>
    <mergeCell ref="A7:A14"/>
    <mergeCell ref="A244:C245"/>
    <mergeCell ref="D244:G244"/>
    <mergeCell ref="H244:I245"/>
    <mergeCell ref="A246:C246"/>
    <mergeCell ref="H246:I246"/>
    <mergeCell ref="A240:D240"/>
    <mergeCell ref="E240:F240"/>
    <mergeCell ref="G240:I240"/>
    <mergeCell ref="A241:B241"/>
    <mergeCell ref="C241:D241"/>
    <mergeCell ref="E241:F241"/>
    <mergeCell ref="C114:D114"/>
    <mergeCell ref="C115:D115"/>
    <mergeCell ref="A15:C15"/>
    <mergeCell ref="H15:I15"/>
    <mergeCell ref="I17:I18"/>
    <mergeCell ref="C120:D120"/>
    <mergeCell ref="C121:D121"/>
    <mergeCell ref="C125:D125"/>
    <mergeCell ref="E120:F120"/>
    <mergeCell ref="A31:A32"/>
    <mergeCell ref="B31:B32"/>
    <mergeCell ref="C31:H31"/>
    <mergeCell ref="I31:I32"/>
    <mergeCell ref="A33:A43"/>
    <mergeCell ref="A5:A6"/>
    <mergeCell ref="B5:B6"/>
    <mergeCell ref="A252:C252"/>
    <mergeCell ref="A253:C253"/>
    <mergeCell ref="A19:A29"/>
    <mergeCell ref="A249:C249"/>
    <mergeCell ref="E121:F121"/>
    <mergeCell ref="E125:F125"/>
    <mergeCell ref="C5:I5"/>
    <mergeCell ref="A250:C250"/>
    <mergeCell ref="A251:C251"/>
    <mergeCell ref="G241:I241"/>
    <mergeCell ref="A207:C207"/>
    <mergeCell ref="B208:C208"/>
    <mergeCell ref="B209:C209"/>
    <mergeCell ref="B210:B214"/>
    <mergeCell ref="A111:C111"/>
    <mergeCell ref="H111:I111"/>
    <mergeCell ref="A186:B187"/>
    <mergeCell ref="A46:A47"/>
    <mergeCell ref="B46:B47"/>
    <mergeCell ref="A48:A97"/>
    <mergeCell ref="C46:G46"/>
    <mergeCell ref="H46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97:I9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G130:H130"/>
    <mergeCell ref="E131:F131"/>
    <mergeCell ref="A130:A179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C141:D141"/>
    <mergeCell ref="E141:F141"/>
    <mergeCell ref="G141:H141"/>
    <mergeCell ref="C142:D142"/>
    <mergeCell ref="E142:F142"/>
    <mergeCell ref="G142:H142"/>
    <mergeCell ref="C143:D143"/>
    <mergeCell ref="E143:F143"/>
    <mergeCell ref="G143:H143"/>
    <mergeCell ref="C144:D144"/>
    <mergeCell ref="E144:F144"/>
    <mergeCell ref="G144:H144"/>
    <mergeCell ref="C145:D145"/>
    <mergeCell ref="E145:F145"/>
    <mergeCell ref="G145:H145"/>
    <mergeCell ref="C146:D146"/>
    <mergeCell ref="E146:F146"/>
    <mergeCell ref="G146:H146"/>
    <mergeCell ref="C147:D147"/>
    <mergeCell ref="E147:F147"/>
    <mergeCell ref="G147:H147"/>
    <mergeCell ref="C148:D148"/>
    <mergeCell ref="E148:F148"/>
    <mergeCell ref="G148:H148"/>
    <mergeCell ref="C149:D149"/>
    <mergeCell ref="E149:F149"/>
    <mergeCell ref="G149:H149"/>
    <mergeCell ref="C150:D150"/>
    <mergeCell ref="E150:F150"/>
    <mergeCell ref="G150:H150"/>
    <mergeCell ref="C151:D151"/>
    <mergeCell ref="E151:F151"/>
    <mergeCell ref="G151:H151"/>
    <mergeCell ref="C152:D152"/>
    <mergeCell ref="E152:F152"/>
    <mergeCell ref="G152:H152"/>
    <mergeCell ref="C153:D153"/>
    <mergeCell ref="E153:F153"/>
    <mergeCell ref="G153:H153"/>
    <mergeCell ref="C154:D154"/>
    <mergeCell ref="E154:F154"/>
    <mergeCell ref="G154:H154"/>
    <mergeCell ref="C155:D155"/>
    <mergeCell ref="E155:F155"/>
    <mergeCell ref="G155:H155"/>
    <mergeCell ref="C156:D156"/>
    <mergeCell ref="E156:F156"/>
    <mergeCell ref="G156:H156"/>
    <mergeCell ref="C157:D157"/>
    <mergeCell ref="E157:F157"/>
    <mergeCell ref="G157:H157"/>
    <mergeCell ref="C158:D158"/>
    <mergeCell ref="E158:F158"/>
    <mergeCell ref="G158:H158"/>
    <mergeCell ref="C159:D159"/>
    <mergeCell ref="E159:F159"/>
    <mergeCell ref="G159:H159"/>
    <mergeCell ref="C160:D160"/>
    <mergeCell ref="E160:F160"/>
    <mergeCell ref="G160:H160"/>
    <mergeCell ref="C161:D161"/>
    <mergeCell ref="E161:F161"/>
    <mergeCell ref="G161:H161"/>
    <mergeCell ref="C162:D162"/>
    <mergeCell ref="E162:F162"/>
    <mergeCell ref="G162:H162"/>
    <mergeCell ref="C163:D163"/>
    <mergeCell ref="E163:F163"/>
    <mergeCell ref="G163:H163"/>
    <mergeCell ref="C164:D164"/>
    <mergeCell ref="E164:F164"/>
    <mergeCell ref="G164:H164"/>
    <mergeCell ref="C165:D165"/>
    <mergeCell ref="E165:F165"/>
    <mergeCell ref="G165:H165"/>
    <mergeCell ref="C166:D166"/>
    <mergeCell ref="E166:F166"/>
    <mergeCell ref="G166:H166"/>
    <mergeCell ref="C167:D167"/>
    <mergeCell ref="E167:F167"/>
    <mergeCell ref="G167:H167"/>
    <mergeCell ref="C168:D168"/>
    <mergeCell ref="E168:F168"/>
    <mergeCell ref="G168:H168"/>
    <mergeCell ref="C169:D169"/>
    <mergeCell ref="E169:F169"/>
    <mergeCell ref="G169:H169"/>
    <mergeCell ref="C170:D170"/>
    <mergeCell ref="E170:F170"/>
    <mergeCell ref="G170:H170"/>
    <mergeCell ref="C171:D171"/>
    <mergeCell ref="E171:F171"/>
    <mergeCell ref="G171:H171"/>
    <mergeCell ref="C172:D172"/>
    <mergeCell ref="E172:F172"/>
    <mergeCell ref="G172:H172"/>
    <mergeCell ref="C173:D173"/>
    <mergeCell ref="E173:F173"/>
    <mergeCell ref="G173:H173"/>
    <mergeCell ref="C174:D174"/>
    <mergeCell ref="E174:F174"/>
    <mergeCell ref="G174:H174"/>
    <mergeCell ref="C175:D175"/>
    <mergeCell ref="E175:F175"/>
    <mergeCell ref="G175:H175"/>
    <mergeCell ref="C176:D176"/>
    <mergeCell ref="E176:F176"/>
    <mergeCell ref="G176:H176"/>
    <mergeCell ref="C177:D177"/>
    <mergeCell ref="E177:F177"/>
    <mergeCell ref="G177:H177"/>
    <mergeCell ref="C178:D178"/>
    <mergeCell ref="E178:F178"/>
    <mergeCell ref="G178:H178"/>
    <mergeCell ref="C179:D179"/>
    <mergeCell ref="E179:F179"/>
    <mergeCell ref="G179:H179"/>
    <mergeCell ref="B182:C182"/>
    <mergeCell ref="B183:C183"/>
    <mergeCell ref="D182:E182"/>
    <mergeCell ref="D183:E183"/>
    <mergeCell ref="F182:G182"/>
    <mergeCell ref="F183:G183"/>
    <mergeCell ref="H182:I182"/>
    <mergeCell ref="H183:I183"/>
    <mergeCell ref="A229:A235"/>
    <mergeCell ref="B229:C229"/>
    <mergeCell ref="B230:C230"/>
    <mergeCell ref="B231:B235"/>
    <mergeCell ref="C186:E186"/>
    <mergeCell ref="F186:H186"/>
    <mergeCell ref="I186:I187"/>
    <mergeCell ref="A222:A228"/>
    <mergeCell ref="B222:C222"/>
    <mergeCell ref="B224:B228"/>
    <mergeCell ref="B223:C223"/>
  </mergeCells>
  <phoneticPr fontId="3" type="noConversion"/>
  <pageMargins left="0.7" right="0.7" top="0.75" bottom="0.75" header="0.3" footer="0.3"/>
  <pageSetup paperSize="9" scale="90" orientation="portrait" r:id="rId1"/>
  <rowBreaks count="3" manualBreakCount="3">
    <brk id="44" max="8" man="1"/>
    <brk id="126" max="8" man="1"/>
    <brk id="203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view="pageBreakPreview" zoomScale="130" zoomScaleNormal="115" zoomScaleSheetLayoutView="130" workbookViewId="0">
      <selection activeCell="H25" sqref="H25"/>
    </sheetView>
  </sheetViews>
  <sheetFormatPr defaultRowHeight="15.95" customHeight="1" x14ac:dyDescent="0.2"/>
  <cols>
    <col min="1" max="6" width="8.88671875" style="2" customWidth="1"/>
    <col min="7" max="9" width="8.88671875" style="14" customWidth="1"/>
    <col min="10" max="16384" width="8.88671875" style="14"/>
  </cols>
  <sheetData>
    <row r="1" spans="1:9" ht="15.95" customHeight="1" x14ac:dyDescent="0.2">
      <c r="A1" s="5" t="s">
        <v>520</v>
      </c>
      <c r="B1" s="5"/>
    </row>
    <row r="2" spans="1:9" ht="15.95" customHeight="1" x14ac:dyDescent="0.2">
      <c r="A2" s="5" t="s">
        <v>90</v>
      </c>
      <c r="B2" s="5"/>
      <c r="C2" s="4"/>
      <c r="D2" s="4"/>
      <c r="E2" s="4"/>
      <c r="F2" s="4"/>
    </row>
    <row r="3" spans="1:9" ht="15.95" customHeight="1" x14ac:dyDescent="0.2">
      <c r="A3" s="2" t="s">
        <v>260</v>
      </c>
      <c r="B3" s="5"/>
      <c r="C3" s="4"/>
      <c r="D3" s="4"/>
      <c r="E3" s="4"/>
      <c r="F3" s="4"/>
    </row>
    <row r="4" spans="1:9" ht="15.95" customHeight="1" x14ac:dyDescent="0.2">
      <c r="A4" s="284" t="s">
        <v>161</v>
      </c>
      <c r="B4" s="286"/>
      <c r="C4" s="286"/>
      <c r="D4" s="286" t="s">
        <v>242</v>
      </c>
      <c r="E4" s="286"/>
      <c r="F4" s="286"/>
      <c r="G4" s="286"/>
      <c r="H4" s="286"/>
      <c r="I4" s="280"/>
    </row>
    <row r="5" spans="1:9" ht="15.95" customHeight="1" thickBot="1" x14ac:dyDescent="0.25">
      <c r="A5" s="285"/>
      <c r="B5" s="287"/>
      <c r="C5" s="287"/>
      <c r="D5" s="61" t="s">
        <v>186</v>
      </c>
      <c r="E5" s="61" t="s">
        <v>237</v>
      </c>
      <c r="F5" s="32" t="s">
        <v>238</v>
      </c>
      <c r="G5" s="32" t="s">
        <v>239</v>
      </c>
      <c r="H5" s="33" t="s">
        <v>240</v>
      </c>
      <c r="I5" s="89" t="s">
        <v>241</v>
      </c>
    </row>
    <row r="6" spans="1:9" ht="15.95" customHeight="1" thickTop="1" x14ac:dyDescent="0.2">
      <c r="A6" s="453" t="s">
        <v>266</v>
      </c>
      <c r="B6" s="461" t="s">
        <v>264</v>
      </c>
      <c r="C6" s="64">
        <v>250</v>
      </c>
      <c r="D6" s="97">
        <f t="shared" ref="D6:D20" si="0">SUM(E6:I6)</f>
        <v>900</v>
      </c>
      <c r="E6" s="97">
        <v>425</v>
      </c>
      <c r="F6" s="97">
        <v>330</v>
      </c>
      <c r="G6" s="121">
        <v>145</v>
      </c>
      <c r="H6" s="121"/>
      <c r="I6" s="125"/>
    </row>
    <row r="7" spans="1:9" ht="15.95" customHeight="1" x14ac:dyDescent="0.2">
      <c r="A7" s="454"/>
      <c r="B7" s="458"/>
      <c r="C7" s="64">
        <v>300</v>
      </c>
      <c r="D7" s="97">
        <f t="shared" si="0"/>
        <v>3252</v>
      </c>
      <c r="E7" s="97">
        <v>769</v>
      </c>
      <c r="F7" s="97">
        <v>1562</v>
      </c>
      <c r="G7" s="121">
        <v>921</v>
      </c>
      <c r="H7" s="121"/>
      <c r="I7" s="125"/>
    </row>
    <row r="8" spans="1:9" ht="15.95" customHeight="1" x14ac:dyDescent="0.2">
      <c r="A8" s="454"/>
      <c r="B8" s="458"/>
      <c r="C8" s="64">
        <v>350</v>
      </c>
      <c r="D8" s="97">
        <f t="shared" si="0"/>
        <v>79</v>
      </c>
      <c r="E8" s="97"/>
      <c r="F8" s="97"/>
      <c r="G8" s="121">
        <v>79</v>
      </c>
      <c r="H8" s="121"/>
      <c r="I8" s="125"/>
    </row>
    <row r="9" spans="1:9" ht="15.95" customHeight="1" x14ac:dyDescent="0.2">
      <c r="A9" s="454"/>
      <c r="B9" s="458"/>
      <c r="C9" s="64">
        <v>400</v>
      </c>
      <c r="D9" s="97">
        <f t="shared" si="0"/>
        <v>657</v>
      </c>
      <c r="E9" s="97"/>
      <c r="F9" s="97">
        <v>215</v>
      </c>
      <c r="G9" s="121">
        <v>442</v>
      </c>
      <c r="H9" s="121"/>
      <c r="I9" s="125"/>
    </row>
    <row r="10" spans="1:9" ht="15.95" customHeight="1" x14ac:dyDescent="0.2">
      <c r="A10" s="454"/>
      <c r="B10" s="458"/>
      <c r="C10" s="64">
        <v>600</v>
      </c>
      <c r="D10" s="97">
        <f t="shared" si="0"/>
        <v>21</v>
      </c>
      <c r="E10" s="97"/>
      <c r="F10" s="97"/>
      <c r="G10" s="121">
        <v>21</v>
      </c>
      <c r="H10" s="121"/>
      <c r="I10" s="125"/>
    </row>
    <row r="11" spans="1:9" ht="15.95" customHeight="1" x14ac:dyDescent="0.2">
      <c r="A11" s="454"/>
      <c r="B11" s="461" t="s">
        <v>265</v>
      </c>
      <c r="C11" s="64">
        <v>250</v>
      </c>
      <c r="D11" s="107">
        <f t="shared" si="0"/>
        <v>9.9</v>
      </c>
      <c r="E11" s="107"/>
      <c r="F11" s="107">
        <v>9.9</v>
      </c>
      <c r="G11" s="119"/>
      <c r="H11" s="119"/>
      <c r="I11" s="127"/>
    </row>
    <row r="12" spans="1:9" ht="15.95" customHeight="1" x14ac:dyDescent="0.2">
      <c r="A12" s="454"/>
      <c r="B12" s="458"/>
      <c r="C12" s="64">
        <v>300</v>
      </c>
      <c r="D12" s="107">
        <f t="shared" si="0"/>
        <v>1425.3</v>
      </c>
      <c r="E12" s="107">
        <v>310.5</v>
      </c>
      <c r="F12" s="107">
        <v>951.5</v>
      </c>
      <c r="G12" s="119">
        <v>163.30000000000001</v>
      </c>
      <c r="H12" s="119"/>
      <c r="I12" s="127"/>
    </row>
    <row r="13" spans="1:9" ht="15.95" customHeight="1" x14ac:dyDescent="0.2">
      <c r="A13" s="454"/>
      <c r="B13" s="458"/>
      <c r="C13" s="64">
        <v>350</v>
      </c>
      <c r="D13" s="107">
        <f t="shared" si="0"/>
        <v>24.5</v>
      </c>
      <c r="E13" s="107"/>
      <c r="F13" s="107"/>
      <c r="G13" s="119">
        <v>24.5</v>
      </c>
      <c r="H13" s="119"/>
      <c r="I13" s="127"/>
    </row>
    <row r="14" spans="1:9" ht="15.95" customHeight="1" x14ac:dyDescent="0.2">
      <c r="A14" s="455"/>
      <c r="B14" s="458"/>
      <c r="C14" s="64">
        <v>600</v>
      </c>
      <c r="D14" s="107">
        <f t="shared" si="0"/>
        <v>137.80000000000001</v>
      </c>
      <c r="E14" s="107"/>
      <c r="F14" s="107"/>
      <c r="G14" s="119">
        <v>137.80000000000001</v>
      </c>
      <c r="H14" s="119"/>
      <c r="I14" s="127"/>
    </row>
    <row r="15" spans="1:9" ht="15.95" customHeight="1" x14ac:dyDescent="0.2">
      <c r="A15" s="460" t="s">
        <v>267</v>
      </c>
      <c r="B15" s="461" t="s">
        <v>264</v>
      </c>
      <c r="C15" s="64">
        <v>400</v>
      </c>
      <c r="D15" s="97">
        <f t="shared" si="0"/>
        <v>19</v>
      </c>
      <c r="E15" s="97"/>
      <c r="F15" s="97"/>
      <c r="G15" s="121">
        <v>19</v>
      </c>
      <c r="H15" s="121"/>
      <c r="I15" s="125"/>
    </row>
    <row r="16" spans="1:9" ht="15.95" customHeight="1" x14ac:dyDescent="0.2">
      <c r="A16" s="460"/>
      <c r="B16" s="458"/>
      <c r="C16" s="64">
        <v>600</v>
      </c>
      <c r="D16" s="97">
        <f t="shared" si="0"/>
        <v>67</v>
      </c>
      <c r="E16" s="97">
        <v>4</v>
      </c>
      <c r="F16" s="97">
        <v>12</v>
      </c>
      <c r="G16" s="121"/>
      <c r="H16" s="121">
        <v>30</v>
      </c>
      <c r="I16" s="125">
        <v>21</v>
      </c>
    </row>
    <row r="17" spans="1:9" ht="15.95" customHeight="1" x14ac:dyDescent="0.2">
      <c r="A17" s="460"/>
      <c r="B17" s="458"/>
      <c r="C17" s="64">
        <v>700</v>
      </c>
      <c r="D17" s="97">
        <f t="shared" si="0"/>
        <v>102</v>
      </c>
      <c r="E17" s="97">
        <v>13</v>
      </c>
      <c r="F17" s="97"/>
      <c r="G17" s="121">
        <v>89</v>
      </c>
      <c r="H17" s="121"/>
      <c r="I17" s="125"/>
    </row>
    <row r="18" spans="1:9" ht="15.95" customHeight="1" x14ac:dyDescent="0.2">
      <c r="A18" s="460"/>
      <c r="B18" s="458"/>
      <c r="C18" s="64">
        <v>1100</v>
      </c>
      <c r="D18" s="97">
        <f t="shared" si="0"/>
        <v>2</v>
      </c>
      <c r="E18" s="97"/>
      <c r="F18" s="97"/>
      <c r="G18" s="121"/>
      <c r="H18" s="121"/>
      <c r="I18" s="125">
        <v>2</v>
      </c>
    </row>
    <row r="19" spans="1:9" ht="15.95" customHeight="1" x14ac:dyDescent="0.2">
      <c r="A19" s="123" t="s">
        <v>261</v>
      </c>
      <c r="B19" s="458" t="s">
        <v>262</v>
      </c>
      <c r="C19" s="458"/>
      <c r="D19" s="97">
        <f t="shared" si="0"/>
        <v>51</v>
      </c>
      <c r="E19" s="97">
        <v>34</v>
      </c>
      <c r="F19" s="97">
        <v>5</v>
      </c>
      <c r="G19" s="121">
        <v>12</v>
      </c>
      <c r="H19" s="121"/>
      <c r="I19" s="125"/>
    </row>
    <row r="20" spans="1:9" ht="15.95" customHeight="1" x14ac:dyDescent="0.2">
      <c r="A20" s="124" t="s">
        <v>263</v>
      </c>
      <c r="B20" s="459" t="s">
        <v>54</v>
      </c>
      <c r="C20" s="459"/>
      <c r="D20" s="99">
        <f t="shared" si="0"/>
        <v>564</v>
      </c>
      <c r="E20" s="99">
        <v>303</v>
      </c>
      <c r="F20" s="99">
        <v>86</v>
      </c>
      <c r="G20" s="122">
        <v>175</v>
      </c>
      <c r="H20" s="122"/>
      <c r="I20" s="126"/>
    </row>
    <row r="22" spans="1:9" ht="15.95" customHeight="1" x14ac:dyDescent="0.2">
      <c r="A22" s="5" t="s">
        <v>165</v>
      </c>
      <c r="B22" s="5"/>
      <c r="C22" s="4"/>
      <c r="D22" s="4"/>
      <c r="E22" s="4"/>
      <c r="F22" s="4"/>
    </row>
    <row r="23" spans="1:9" ht="15.95" customHeight="1" thickBot="1" x14ac:dyDescent="0.25">
      <c r="A23" s="255" t="s">
        <v>161</v>
      </c>
      <c r="B23" s="256"/>
      <c r="C23" s="256"/>
      <c r="D23" s="256" t="s">
        <v>269</v>
      </c>
      <c r="E23" s="256"/>
      <c r="F23" s="256" t="s">
        <v>270</v>
      </c>
      <c r="G23" s="256"/>
      <c r="H23" s="256" t="s">
        <v>257</v>
      </c>
      <c r="I23" s="267"/>
    </row>
    <row r="24" spans="1:9" ht="15.95" customHeight="1" thickTop="1" x14ac:dyDescent="0.2">
      <c r="A24" s="465" t="s">
        <v>186</v>
      </c>
      <c r="B24" s="464"/>
      <c r="C24" s="464"/>
      <c r="D24" s="464"/>
      <c r="E24" s="464"/>
      <c r="F24" s="464"/>
      <c r="G24" s="464"/>
      <c r="H24" s="462">
        <f>SUM(H25:I39)</f>
        <v>5406</v>
      </c>
      <c r="I24" s="463"/>
    </row>
    <row r="25" spans="1:9" ht="15.95" customHeight="1" x14ac:dyDescent="0.2">
      <c r="A25" s="460" t="s">
        <v>266</v>
      </c>
      <c r="B25" s="461" t="s">
        <v>264</v>
      </c>
      <c r="C25" s="64">
        <v>250</v>
      </c>
      <c r="D25" s="456">
        <f>D6</f>
        <v>900</v>
      </c>
      <c r="E25" s="456"/>
      <c r="F25" s="456">
        <f>VLOOKUP($C25,'0.시설공사비 산정근거'!$C$98:$D$112,2,FALSE)</f>
        <v>601823</v>
      </c>
      <c r="G25" s="456"/>
      <c r="H25" s="431">
        <f>ROUND(D25*F25/10^6,0)</f>
        <v>542</v>
      </c>
      <c r="I25" s="457"/>
    </row>
    <row r="26" spans="1:9" ht="15.95" customHeight="1" x14ac:dyDescent="0.2">
      <c r="A26" s="460"/>
      <c r="B26" s="458"/>
      <c r="C26" s="64">
        <v>300</v>
      </c>
      <c r="D26" s="456">
        <f t="shared" ref="D26:D29" si="1">D7</f>
        <v>3252</v>
      </c>
      <c r="E26" s="456"/>
      <c r="F26" s="456">
        <f>VLOOKUP($C26,'0.시설공사비 산정근거'!$C$98:$D$112,2,FALSE)</f>
        <v>615120</v>
      </c>
      <c r="G26" s="456"/>
      <c r="H26" s="431">
        <f t="shared" ref="H26:H39" si="2">ROUND(D26*F26/10^6,0)</f>
        <v>2000</v>
      </c>
      <c r="I26" s="457"/>
    </row>
    <row r="27" spans="1:9" ht="15.95" customHeight="1" x14ac:dyDescent="0.2">
      <c r="A27" s="460"/>
      <c r="B27" s="458"/>
      <c r="C27" s="64">
        <v>350</v>
      </c>
      <c r="D27" s="456">
        <f t="shared" si="1"/>
        <v>79</v>
      </c>
      <c r="E27" s="456"/>
      <c r="F27" s="456">
        <f>VLOOKUP($C27,'0.시설공사비 산정근거'!$C$98:$D$112,2,FALSE)</f>
        <v>703381</v>
      </c>
      <c r="G27" s="456"/>
      <c r="H27" s="431">
        <f t="shared" si="2"/>
        <v>56</v>
      </c>
      <c r="I27" s="457"/>
    </row>
    <row r="28" spans="1:9" ht="15.95" customHeight="1" x14ac:dyDescent="0.2">
      <c r="A28" s="460"/>
      <c r="B28" s="458"/>
      <c r="C28" s="64">
        <v>400</v>
      </c>
      <c r="D28" s="456">
        <f t="shared" si="1"/>
        <v>657</v>
      </c>
      <c r="E28" s="456"/>
      <c r="F28" s="456">
        <f>VLOOKUP($C28,'0.시설공사비 산정근거'!$C$98:$D$112,2,FALSE)</f>
        <v>791640</v>
      </c>
      <c r="G28" s="456"/>
      <c r="H28" s="431">
        <f t="shared" si="2"/>
        <v>520</v>
      </c>
      <c r="I28" s="457"/>
    </row>
    <row r="29" spans="1:9" ht="15.95" customHeight="1" x14ac:dyDescent="0.2">
      <c r="A29" s="460"/>
      <c r="B29" s="458"/>
      <c r="C29" s="64">
        <v>600</v>
      </c>
      <c r="D29" s="456">
        <f t="shared" si="1"/>
        <v>21</v>
      </c>
      <c r="E29" s="456"/>
      <c r="F29" s="456">
        <f>VLOOKUP($C29,'0.시설공사비 산정근거'!$C$98:$D$112,2,FALSE)</f>
        <v>1065017</v>
      </c>
      <c r="G29" s="456"/>
      <c r="H29" s="431">
        <f t="shared" si="2"/>
        <v>22</v>
      </c>
      <c r="I29" s="457"/>
    </row>
    <row r="30" spans="1:9" ht="15.95" customHeight="1" x14ac:dyDescent="0.2">
      <c r="A30" s="460"/>
      <c r="B30" s="461" t="s">
        <v>265</v>
      </c>
      <c r="C30" s="64">
        <v>250</v>
      </c>
      <c r="D30" s="466">
        <f>D11</f>
        <v>9.9</v>
      </c>
      <c r="E30" s="466"/>
      <c r="F30" s="456">
        <f>VLOOKUP($C30,'0.시설공사비 산정근거'!$A$98:$B$112,2,FALSE)</f>
        <v>419833</v>
      </c>
      <c r="G30" s="456"/>
      <c r="H30" s="431">
        <f t="shared" si="2"/>
        <v>4</v>
      </c>
      <c r="I30" s="457"/>
    </row>
    <row r="31" spans="1:9" ht="15.95" customHeight="1" x14ac:dyDescent="0.2">
      <c r="A31" s="460"/>
      <c r="B31" s="458"/>
      <c r="C31" s="64">
        <v>300</v>
      </c>
      <c r="D31" s="466">
        <f t="shared" ref="D31:D33" si="3">D12</f>
        <v>1425.3</v>
      </c>
      <c r="E31" s="466"/>
      <c r="F31" s="456">
        <f>VLOOKUP($C31,'0.시설공사비 산정근거'!$A$98:$B$112,2,FALSE)</f>
        <v>448386</v>
      </c>
      <c r="G31" s="456"/>
      <c r="H31" s="431">
        <f t="shared" si="2"/>
        <v>639</v>
      </c>
      <c r="I31" s="457"/>
    </row>
    <row r="32" spans="1:9" ht="15.95" customHeight="1" x14ac:dyDescent="0.2">
      <c r="A32" s="460"/>
      <c r="B32" s="458"/>
      <c r="C32" s="64">
        <v>350</v>
      </c>
      <c r="D32" s="466">
        <f t="shared" si="3"/>
        <v>24.5</v>
      </c>
      <c r="E32" s="466"/>
      <c r="F32" s="456">
        <f>VLOOKUP($C32,'0.시설공사비 산정근거'!$A$98:$B$112,2,FALSE)</f>
        <v>485504</v>
      </c>
      <c r="G32" s="456"/>
      <c r="H32" s="431">
        <f t="shared" si="2"/>
        <v>12</v>
      </c>
      <c r="I32" s="457"/>
    </row>
    <row r="33" spans="1:9" ht="15.95" customHeight="1" x14ac:dyDescent="0.2">
      <c r="A33" s="460"/>
      <c r="B33" s="458"/>
      <c r="C33" s="64">
        <v>600</v>
      </c>
      <c r="D33" s="466">
        <f t="shared" si="3"/>
        <v>137.80000000000001</v>
      </c>
      <c r="E33" s="466"/>
      <c r="F33" s="456">
        <f>VLOOKUP($C33,'0.시설공사비 산정근거'!$A$98:$B$112,2,FALSE)</f>
        <v>682434</v>
      </c>
      <c r="G33" s="456"/>
      <c r="H33" s="431">
        <f t="shared" si="2"/>
        <v>94</v>
      </c>
      <c r="I33" s="457"/>
    </row>
    <row r="34" spans="1:9" ht="15.95" customHeight="1" x14ac:dyDescent="0.2">
      <c r="A34" s="460" t="s">
        <v>267</v>
      </c>
      <c r="B34" s="461" t="s">
        <v>264</v>
      </c>
      <c r="C34" s="64">
        <v>400</v>
      </c>
      <c r="D34" s="456">
        <f>D15</f>
        <v>19</v>
      </c>
      <c r="E34" s="456"/>
      <c r="F34" s="456">
        <f>VLOOKUP($C34,'0.시설공사비 산정근거'!$C$98:$D$112,2,FALSE)</f>
        <v>791640</v>
      </c>
      <c r="G34" s="456"/>
      <c r="H34" s="431">
        <f t="shared" si="2"/>
        <v>15</v>
      </c>
      <c r="I34" s="457"/>
    </row>
    <row r="35" spans="1:9" ht="15.95" customHeight="1" x14ac:dyDescent="0.2">
      <c r="A35" s="460"/>
      <c r="B35" s="458"/>
      <c r="C35" s="64">
        <v>600</v>
      </c>
      <c r="D35" s="456">
        <f t="shared" ref="D35:D39" si="4">D16</f>
        <v>67</v>
      </c>
      <c r="E35" s="456"/>
      <c r="F35" s="456">
        <f>VLOOKUP($C35,'0.시설공사비 산정근거'!$C$98:$D$112,2,FALSE)</f>
        <v>1065017</v>
      </c>
      <c r="G35" s="456"/>
      <c r="H35" s="431">
        <f t="shared" si="2"/>
        <v>71</v>
      </c>
      <c r="I35" s="457"/>
    </row>
    <row r="36" spans="1:9" ht="15.95" customHeight="1" x14ac:dyDescent="0.2">
      <c r="A36" s="460"/>
      <c r="B36" s="458"/>
      <c r="C36" s="64">
        <v>700</v>
      </c>
      <c r="D36" s="456">
        <f t="shared" si="4"/>
        <v>102</v>
      </c>
      <c r="E36" s="456"/>
      <c r="F36" s="456">
        <f>VLOOKUP($C36,'0.시설공사비 산정근거'!$C$98:$D$112,2,FALSE)</f>
        <v>1088340</v>
      </c>
      <c r="G36" s="456"/>
      <c r="H36" s="431">
        <f t="shared" si="2"/>
        <v>111</v>
      </c>
      <c r="I36" s="457"/>
    </row>
    <row r="37" spans="1:9" ht="15.95" customHeight="1" x14ac:dyDescent="0.2">
      <c r="A37" s="460"/>
      <c r="B37" s="458"/>
      <c r="C37" s="64">
        <v>1100</v>
      </c>
      <c r="D37" s="456">
        <f t="shared" si="4"/>
        <v>2</v>
      </c>
      <c r="E37" s="456"/>
      <c r="F37" s="456">
        <f>VLOOKUP($C37,'0.시설공사비 산정근거'!$C$98:$D$112,2,FALSE)</f>
        <v>1661493</v>
      </c>
      <c r="G37" s="456"/>
      <c r="H37" s="431">
        <f t="shared" si="2"/>
        <v>3</v>
      </c>
      <c r="I37" s="457"/>
    </row>
    <row r="38" spans="1:9" ht="15.95" customHeight="1" x14ac:dyDescent="0.2">
      <c r="A38" s="123" t="s">
        <v>261</v>
      </c>
      <c r="B38" s="458" t="s">
        <v>262</v>
      </c>
      <c r="C38" s="458"/>
      <c r="D38" s="456">
        <f t="shared" si="4"/>
        <v>51</v>
      </c>
      <c r="E38" s="456"/>
      <c r="F38" s="456">
        <f>'0.시설공사비 산정근거'!C119</f>
        <v>490710</v>
      </c>
      <c r="G38" s="456"/>
      <c r="H38" s="431">
        <f t="shared" si="2"/>
        <v>25</v>
      </c>
      <c r="I38" s="457"/>
    </row>
    <row r="39" spans="1:9" ht="15.95" customHeight="1" x14ac:dyDescent="0.2">
      <c r="A39" s="124" t="s">
        <v>263</v>
      </c>
      <c r="B39" s="459" t="s">
        <v>54</v>
      </c>
      <c r="C39" s="459"/>
      <c r="D39" s="469">
        <f t="shared" si="4"/>
        <v>564</v>
      </c>
      <c r="E39" s="469"/>
      <c r="F39" s="469">
        <f>'0.시설공사비 산정근거'!C127</f>
        <v>2290767</v>
      </c>
      <c r="G39" s="469"/>
      <c r="H39" s="433">
        <f t="shared" si="2"/>
        <v>1292</v>
      </c>
      <c r="I39" s="470"/>
    </row>
    <row r="41" spans="1:9" ht="15.95" customHeight="1" x14ac:dyDescent="0.2">
      <c r="A41" s="5" t="s">
        <v>92</v>
      </c>
      <c r="B41" s="5"/>
      <c r="C41" s="4"/>
      <c r="D41" s="4"/>
      <c r="E41" s="4"/>
      <c r="F41" s="4"/>
    </row>
    <row r="42" spans="1:9" ht="15.95" customHeight="1" x14ac:dyDescent="0.2">
      <c r="A42" s="413" t="s">
        <v>189</v>
      </c>
      <c r="B42" s="414"/>
      <c r="C42" s="385" t="s">
        <v>71</v>
      </c>
      <c r="D42" s="385"/>
      <c r="E42" s="385"/>
      <c r="F42" s="385" t="s">
        <v>72</v>
      </c>
      <c r="G42" s="385"/>
      <c r="H42" s="385"/>
      <c r="I42" s="361" t="s">
        <v>73</v>
      </c>
    </row>
    <row r="43" spans="1:9" ht="15.95" customHeight="1" thickBot="1" x14ac:dyDescent="0.25">
      <c r="A43" s="415"/>
      <c r="B43" s="416"/>
      <c r="C43" s="34" t="s">
        <v>74</v>
      </c>
      <c r="D43" s="34" t="s">
        <v>75</v>
      </c>
      <c r="E43" s="34" t="s">
        <v>76</v>
      </c>
      <c r="F43" s="34" t="s">
        <v>74</v>
      </c>
      <c r="G43" s="34" t="s">
        <v>75</v>
      </c>
      <c r="H43" s="34" t="s">
        <v>76</v>
      </c>
      <c r="I43" s="362"/>
    </row>
    <row r="44" spans="1:9" s="22" customFormat="1" ht="15.95" customHeight="1" thickTop="1" x14ac:dyDescent="0.2">
      <c r="A44" s="467" t="s">
        <v>190</v>
      </c>
      <c r="B44" s="468"/>
      <c r="C44" s="30"/>
      <c r="D44" s="30"/>
      <c r="E44" s="30"/>
      <c r="F44" s="30"/>
      <c r="G44" s="30"/>
      <c r="H44" s="30"/>
      <c r="I44" s="31">
        <f>SUM(I45:I48)</f>
        <v>330</v>
      </c>
    </row>
    <row r="45" spans="1:9" s="22" customFormat="1" ht="15.95" customHeight="1" x14ac:dyDescent="0.2">
      <c r="A45" s="23"/>
      <c r="B45" s="26" t="s">
        <v>78</v>
      </c>
      <c r="C45" s="27">
        <v>5000</v>
      </c>
      <c r="D45" s="27">
        <f>$H$24</f>
        <v>5406</v>
      </c>
      <c r="E45" s="27">
        <v>10000</v>
      </c>
      <c r="F45" s="28">
        <f>VLOOKUP(C45,'0.시설공사비 산정근거'!$A$150:$F$166,2,FALSE)</f>
        <v>1.47</v>
      </c>
      <c r="G45" s="28">
        <f>ROUND(F45-(D45-C45)*(F45-H45)/(E45-C45),2)</f>
        <v>1.47</v>
      </c>
      <c r="H45" s="28">
        <f>VLOOKUP(E45,'0.시설공사비 산정근거'!$A$150:$F$166,2,FALSE)</f>
        <v>1.44</v>
      </c>
      <c r="I45" s="29">
        <f>ROUND(D45*G45/100,0)</f>
        <v>79</v>
      </c>
    </row>
    <row r="46" spans="1:9" s="22" customFormat="1" ht="15.95" customHeight="1" x14ac:dyDescent="0.2">
      <c r="A46" s="24"/>
      <c r="B46" s="26" t="s">
        <v>79</v>
      </c>
      <c r="C46" s="27">
        <v>5000</v>
      </c>
      <c r="D46" s="27">
        <f t="shared" ref="D46:D48" si="5">$H$24</f>
        <v>5406</v>
      </c>
      <c r="E46" s="27">
        <f>E45</f>
        <v>10000</v>
      </c>
      <c r="F46" s="28">
        <f>VLOOKUP(C46,'0.시설공사비 산정근거'!$A$150:$F$166,3,FALSE)</f>
        <v>2.94</v>
      </c>
      <c r="G46" s="28">
        <f>ROUND(F46-(D46-C46)*(F46-H46)/(E46-C46),2)</f>
        <v>2.93</v>
      </c>
      <c r="H46" s="28">
        <f>VLOOKUP(E46,'0.시설공사비 산정근거'!$A$150:$F$166,3,FALSE)</f>
        <v>2.87</v>
      </c>
      <c r="I46" s="29">
        <f>ROUND(D46*G46/100,0)</f>
        <v>158</v>
      </c>
    </row>
    <row r="47" spans="1:9" s="22" customFormat="1" ht="15.95" customHeight="1" x14ac:dyDescent="0.2">
      <c r="A47" s="24"/>
      <c r="B47" s="26" t="s">
        <v>80</v>
      </c>
      <c r="C47" s="27">
        <v>5000</v>
      </c>
      <c r="D47" s="27">
        <f t="shared" si="5"/>
        <v>5406</v>
      </c>
      <c r="E47" s="27">
        <f t="shared" ref="E47:E48" si="6">E46</f>
        <v>10000</v>
      </c>
      <c r="F47" s="28">
        <f>VLOOKUP(C47,'0.시설공사비 산정근거'!$A$150:$F$166,4,FALSE)</f>
        <v>1.45</v>
      </c>
      <c r="G47" s="28">
        <f>ROUND(F47-(D47-C47)*(F47-H47)/(E47-C47),2)</f>
        <v>1.45</v>
      </c>
      <c r="H47" s="28">
        <f>VLOOKUP(E47,'0.시설공사비 산정근거'!$A$150:$F$166,4,FALSE)</f>
        <v>1.41</v>
      </c>
      <c r="I47" s="29">
        <f>ROUND(D47*G47/100,0)</f>
        <v>78</v>
      </c>
    </row>
    <row r="48" spans="1:9" s="22" customFormat="1" ht="15.95" customHeight="1" x14ac:dyDescent="0.2">
      <c r="A48" s="86"/>
      <c r="B48" s="87" t="s">
        <v>81</v>
      </c>
      <c r="C48" s="40">
        <v>5000</v>
      </c>
      <c r="D48" s="40">
        <f t="shared" si="5"/>
        <v>5406</v>
      </c>
      <c r="E48" s="40">
        <f t="shared" si="6"/>
        <v>10000</v>
      </c>
      <c r="F48" s="41">
        <f>VLOOKUP(C48,'0.시설공사비 산정근거'!$A$150:$F$166,6,FALSE)</f>
        <v>0.27</v>
      </c>
      <c r="G48" s="41">
        <f>ROUND(F48-(D48-C48)*(F48-H48)/(E48-C48),2)</f>
        <v>0.27</v>
      </c>
      <c r="H48" s="41">
        <f>VLOOKUP(E48,'0.시설공사비 산정근거'!$A$150:$F$166,6,FALSE)</f>
        <v>0.25</v>
      </c>
      <c r="I48" s="42">
        <f>ROUND(D48*G48/100,0)</f>
        <v>15</v>
      </c>
    </row>
    <row r="50" spans="1:9" ht="15.95" customHeight="1" x14ac:dyDescent="0.2">
      <c r="A50" s="5" t="s">
        <v>211</v>
      </c>
      <c r="B50" s="5"/>
    </row>
    <row r="51" spans="1:9" ht="23.25" thickBot="1" x14ac:dyDescent="0.25">
      <c r="A51" s="255" t="s">
        <v>132</v>
      </c>
      <c r="B51" s="256"/>
      <c r="C51" s="256"/>
      <c r="D51" s="51" t="s">
        <v>160</v>
      </c>
      <c r="E51" s="51" t="s">
        <v>200</v>
      </c>
      <c r="F51" s="51" t="s">
        <v>201</v>
      </c>
      <c r="G51" s="51" t="s">
        <v>202</v>
      </c>
      <c r="H51" s="51" t="s">
        <v>203</v>
      </c>
      <c r="I51" s="39" t="s">
        <v>137</v>
      </c>
    </row>
    <row r="52" spans="1:9" ht="15.95" customHeight="1" thickTop="1" x14ac:dyDescent="0.2">
      <c r="A52" s="333" t="s">
        <v>186</v>
      </c>
      <c r="B52" s="342"/>
      <c r="C52" s="339"/>
      <c r="D52" s="101">
        <f>SUM(E52:H52)</f>
        <v>5736</v>
      </c>
      <c r="E52" s="101">
        <f>E53+E54</f>
        <v>0</v>
      </c>
      <c r="F52" s="101">
        <f>F53+F54</f>
        <v>5736</v>
      </c>
      <c r="G52" s="101">
        <v>0</v>
      </c>
      <c r="H52" s="101">
        <v>0</v>
      </c>
      <c r="I52" s="102"/>
    </row>
    <row r="53" spans="1:9" ht="15.95" customHeight="1" x14ac:dyDescent="0.2">
      <c r="A53" s="334" t="s">
        <v>196</v>
      </c>
      <c r="B53" s="335"/>
      <c r="C53" s="330"/>
      <c r="D53" s="97">
        <f t="shared" ref="D53:D58" si="7">SUM(E53:H53)</f>
        <v>5406</v>
      </c>
      <c r="E53" s="97">
        <v>0</v>
      </c>
      <c r="F53" s="97">
        <f>H24</f>
        <v>5406</v>
      </c>
      <c r="G53" s="97">
        <v>0</v>
      </c>
      <c r="H53" s="97">
        <v>0</v>
      </c>
      <c r="I53" s="98"/>
    </row>
    <row r="54" spans="1:9" ht="15.95" customHeight="1" x14ac:dyDescent="0.2">
      <c r="A54" s="334" t="s">
        <v>197</v>
      </c>
      <c r="B54" s="335"/>
      <c r="C54" s="75" t="s">
        <v>236</v>
      </c>
      <c r="D54" s="97">
        <f t="shared" si="7"/>
        <v>330</v>
      </c>
      <c r="E54" s="97">
        <f>SUM(E55:E58)</f>
        <v>0</v>
      </c>
      <c r="F54" s="97">
        <f t="shared" ref="F54:H54" si="8">SUM(F55:F58)</f>
        <v>330</v>
      </c>
      <c r="G54" s="97">
        <f t="shared" si="8"/>
        <v>0</v>
      </c>
      <c r="H54" s="97">
        <f t="shared" si="8"/>
        <v>0</v>
      </c>
      <c r="I54" s="98"/>
    </row>
    <row r="55" spans="1:9" ht="15.95" customHeight="1" x14ac:dyDescent="0.2">
      <c r="A55" s="334"/>
      <c r="B55" s="335"/>
      <c r="C55" s="26" t="s">
        <v>78</v>
      </c>
      <c r="D55" s="97">
        <f t="shared" si="7"/>
        <v>79</v>
      </c>
      <c r="E55" s="97">
        <v>0</v>
      </c>
      <c r="F55" s="97">
        <f>I45</f>
        <v>79</v>
      </c>
      <c r="G55" s="97">
        <v>0</v>
      </c>
      <c r="H55" s="97">
        <v>0</v>
      </c>
      <c r="I55" s="98"/>
    </row>
    <row r="56" spans="1:9" ht="15.95" customHeight="1" x14ac:dyDescent="0.2">
      <c r="A56" s="334"/>
      <c r="B56" s="335"/>
      <c r="C56" s="26" t="s">
        <v>79</v>
      </c>
      <c r="D56" s="97">
        <f t="shared" si="7"/>
        <v>158</v>
      </c>
      <c r="E56" s="97">
        <v>0</v>
      </c>
      <c r="F56" s="97">
        <f t="shared" ref="F56:F58" si="9">I46</f>
        <v>158</v>
      </c>
      <c r="G56" s="97">
        <v>0</v>
      </c>
      <c r="H56" s="97">
        <v>0</v>
      </c>
      <c r="I56" s="98"/>
    </row>
    <row r="57" spans="1:9" ht="15.95" customHeight="1" x14ac:dyDescent="0.2">
      <c r="A57" s="334"/>
      <c r="B57" s="335"/>
      <c r="C57" s="26" t="s">
        <v>80</v>
      </c>
      <c r="D57" s="97">
        <f t="shared" si="7"/>
        <v>78</v>
      </c>
      <c r="E57" s="97">
        <v>0</v>
      </c>
      <c r="F57" s="97">
        <f t="shared" si="9"/>
        <v>78</v>
      </c>
      <c r="G57" s="97">
        <v>0</v>
      </c>
      <c r="H57" s="97">
        <v>0</v>
      </c>
      <c r="I57" s="98"/>
    </row>
    <row r="58" spans="1:9" ht="15.95" customHeight="1" x14ac:dyDescent="0.2">
      <c r="A58" s="340"/>
      <c r="B58" s="341"/>
      <c r="C58" s="87" t="s">
        <v>81</v>
      </c>
      <c r="D58" s="99">
        <f t="shared" si="7"/>
        <v>15</v>
      </c>
      <c r="E58" s="99">
        <v>0</v>
      </c>
      <c r="F58" s="99">
        <f t="shared" si="9"/>
        <v>15</v>
      </c>
      <c r="G58" s="99">
        <v>0</v>
      </c>
      <c r="H58" s="99">
        <v>0</v>
      </c>
      <c r="I58" s="100"/>
    </row>
    <row r="60" spans="1:9" ht="15.95" customHeight="1" x14ac:dyDescent="0.2">
      <c r="A60" s="5" t="s">
        <v>145</v>
      </c>
      <c r="B60" s="5"/>
    </row>
    <row r="61" spans="1:9" ht="15.95" customHeight="1" x14ac:dyDescent="0.2">
      <c r="A61" s="5" t="s">
        <v>204</v>
      </c>
      <c r="B61" s="5"/>
      <c r="C61" s="4"/>
      <c r="D61" s="4"/>
      <c r="E61" s="4"/>
      <c r="F61" s="4"/>
    </row>
    <row r="62" spans="1:9" ht="15.95" customHeight="1" x14ac:dyDescent="0.2">
      <c r="A62" s="2" t="s">
        <v>159</v>
      </c>
      <c r="G62" s="10"/>
      <c r="H62" s="2"/>
      <c r="I62" s="2"/>
    </row>
    <row r="63" spans="1:9" ht="15.95" customHeight="1" thickBot="1" x14ac:dyDescent="0.25">
      <c r="A63" s="255" t="s">
        <v>161</v>
      </c>
      <c r="B63" s="256"/>
      <c r="C63" s="256"/>
      <c r="D63" s="256"/>
      <c r="E63" s="256" t="s">
        <v>206</v>
      </c>
      <c r="F63" s="256"/>
      <c r="G63" s="256" t="s">
        <v>137</v>
      </c>
      <c r="H63" s="256"/>
      <c r="I63" s="267"/>
    </row>
    <row r="64" spans="1:9" ht="15.95" customHeight="1" thickTop="1" x14ac:dyDescent="0.2">
      <c r="A64" s="290" t="s">
        <v>232</v>
      </c>
      <c r="B64" s="389"/>
      <c r="C64" s="283" t="s">
        <v>233</v>
      </c>
      <c r="D64" s="283"/>
      <c r="E64" s="347">
        <v>30</v>
      </c>
      <c r="F64" s="347"/>
      <c r="G64" s="283" t="s">
        <v>272</v>
      </c>
      <c r="H64" s="283"/>
      <c r="I64" s="293"/>
    </row>
    <row r="66" spans="1:9" ht="15.95" customHeight="1" x14ac:dyDescent="0.2">
      <c r="A66" s="5" t="s">
        <v>215</v>
      </c>
      <c r="B66" s="5"/>
      <c r="C66" s="4"/>
      <c r="D66" s="4"/>
      <c r="E66" s="4"/>
      <c r="F66" s="4"/>
    </row>
    <row r="67" spans="1:9" ht="15.95" customHeight="1" x14ac:dyDescent="0.2">
      <c r="A67" s="379" t="s">
        <v>132</v>
      </c>
      <c r="B67" s="444"/>
      <c r="C67" s="351"/>
      <c r="D67" s="351" t="s">
        <v>158</v>
      </c>
      <c r="E67" s="351"/>
      <c r="F67" s="351"/>
      <c r="G67" s="351"/>
      <c r="H67" s="351" t="s">
        <v>137</v>
      </c>
      <c r="I67" s="352"/>
    </row>
    <row r="68" spans="1:9" ht="15.95" customHeight="1" thickBot="1" x14ac:dyDescent="0.25">
      <c r="A68" s="380"/>
      <c r="B68" s="445"/>
      <c r="C68" s="353"/>
      <c r="D68" s="43" t="s">
        <v>85</v>
      </c>
      <c r="E68" s="43" t="s">
        <v>208</v>
      </c>
      <c r="F68" s="43" t="s">
        <v>209</v>
      </c>
      <c r="G68" s="43" t="s">
        <v>157</v>
      </c>
      <c r="H68" s="353"/>
      <c r="I68" s="354"/>
    </row>
    <row r="69" spans="1:9" ht="15.95" customHeight="1" thickTop="1" x14ac:dyDescent="0.2">
      <c r="A69" s="394" t="s">
        <v>271</v>
      </c>
      <c r="B69" s="446"/>
      <c r="C69" s="349"/>
      <c r="D69" s="36">
        <f>D52</f>
        <v>5736</v>
      </c>
      <c r="E69" s="36">
        <f>ROUND((D69-G69)*E64/100,0)</f>
        <v>1721</v>
      </c>
      <c r="F69" s="36">
        <f>D69-E69-G69</f>
        <v>4015</v>
      </c>
      <c r="G69" s="36">
        <v>0</v>
      </c>
      <c r="H69" s="447"/>
      <c r="I69" s="448"/>
    </row>
    <row r="71" spans="1:9" ht="15.95" customHeight="1" x14ac:dyDescent="0.2">
      <c r="A71" s="5" t="s">
        <v>216</v>
      </c>
      <c r="B71" s="5"/>
    </row>
    <row r="72" spans="1:9" ht="23.25" thickBot="1" x14ac:dyDescent="0.25">
      <c r="A72" s="255" t="s">
        <v>132</v>
      </c>
      <c r="B72" s="256"/>
      <c r="C72" s="256"/>
      <c r="D72" s="51" t="s">
        <v>160</v>
      </c>
      <c r="E72" s="51" t="s">
        <v>200</v>
      </c>
      <c r="F72" s="51" t="s">
        <v>201</v>
      </c>
      <c r="G72" s="51" t="s">
        <v>202</v>
      </c>
      <c r="H72" s="51" t="s">
        <v>203</v>
      </c>
      <c r="I72" s="39" t="s">
        <v>137</v>
      </c>
    </row>
    <row r="73" spans="1:9" ht="15.95" customHeight="1" thickTop="1" x14ac:dyDescent="0.2">
      <c r="A73" s="333" t="s">
        <v>186</v>
      </c>
      <c r="B73" s="342"/>
      <c r="C73" s="339"/>
      <c r="D73" s="101">
        <f>SUM(E73:H73)</f>
        <v>5736</v>
      </c>
      <c r="E73" s="101">
        <f>E52</f>
        <v>0</v>
      </c>
      <c r="F73" s="101">
        <f>F52</f>
        <v>5736</v>
      </c>
      <c r="G73" s="101">
        <v>0</v>
      </c>
      <c r="H73" s="101">
        <v>0</v>
      </c>
      <c r="I73" s="102"/>
    </row>
    <row r="74" spans="1:9" ht="15.95" customHeight="1" x14ac:dyDescent="0.2">
      <c r="A74" s="334" t="s">
        <v>208</v>
      </c>
      <c r="B74" s="335"/>
      <c r="C74" s="330"/>
      <c r="D74" s="97">
        <f t="shared" ref="D74:D75" si="10">SUM(E74:H74)</f>
        <v>1721</v>
      </c>
      <c r="E74" s="97">
        <f>ROUND(E73*$E$64/100,0)</f>
        <v>0</v>
      </c>
      <c r="F74" s="97">
        <f>ROUND(F73*$E$64/100,0)</f>
        <v>1721</v>
      </c>
      <c r="G74" s="97">
        <v>0</v>
      </c>
      <c r="H74" s="97">
        <v>0</v>
      </c>
      <c r="I74" s="98"/>
    </row>
    <row r="75" spans="1:9" ht="15.95" customHeight="1" x14ac:dyDescent="0.2">
      <c r="A75" s="334" t="s">
        <v>209</v>
      </c>
      <c r="B75" s="335"/>
      <c r="C75" s="330"/>
      <c r="D75" s="97">
        <f t="shared" si="10"/>
        <v>4015</v>
      </c>
      <c r="E75" s="97">
        <f>E73-E74-E76</f>
        <v>0</v>
      </c>
      <c r="F75" s="97">
        <f>F73-F74-F76</f>
        <v>4015</v>
      </c>
      <c r="G75" s="97">
        <v>0</v>
      </c>
      <c r="H75" s="97">
        <v>0</v>
      </c>
      <c r="I75" s="98"/>
    </row>
    <row r="76" spans="1:9" ht="15.95" customHeight="1" x14ac:dyDescent="0.2">
      <c r="A76" s="340" t="s">
        <v>214</v>
      </c>
      <c r="B76" s="341"/>
      <c r="C76" s="343"/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100"/>
    </row>
  </sheetData>
  <mergeCells count="95">
    <mergeCell ref="A44:B44"/>
    <mergeCell ref="A53:C53"/>
    <mergeCell ref="A54:B58"/>
    <mergeCell ref="H34:I34"/>
    <mergeCell ref="H35:I35"/>
    <mergeCell ref="H36:I36"/>
    <mergeCell ref="H37:I37"/>
    <mergeCell ref="H38:I38"/>
    <mergeCell ref="F39:G39"/>
    <mergeCell ref="D39:E39"/>
    <mergeCell ref="B38:C38"/>
    <mergeCell ref="F42:H42"/>
    <mergeCell ref="I42:I43"/>
    <mergeCell ref="H39:I39"/>
    <mergeCell ref="F36:G36"/>
    <mergeCell ref="F37:G37"/>
    <mergeCell ref="F38:G38"/>
    <mergeCell ref="H25:I25"/>
    <mergeCell ref="H26:I26"/>
    <mergeCell ref="H28:I28"/>
    <mergeCell ref="H29:I29"/>
    <mergeCell ref="H30:I30"/>
    <mergeCell ref="H31:I31"/>
    <mergeCell ref="H32:I32"/>
    <mergeCell ref="H33:I33"/>
    <mergeCell ref="F25:G25"/>
    <mergeCell ref="F26:G26"/>
    <mergeCell ref="F27:G27"/>
    <mergeCell ref="F29:G29"/>
    <mergeCell ref="F30:G30"/>
    <mergeCell ref="F31:G31"/>
    <mergeCell ref="F32:G32"/>
    <mergeCell ref="A24:C24"/>
    <mergeCell ref="D37:E37"/>
    <mergeCell ref="D34:E34"/>
    <mergeCell ref="D35:E35"/>
    <mergeCell ref="F33:G33"/>
    <mergeCell ref="D28:E28"/>
    <mergeCell ref="D29:E29"/>
    <mergeCell ref="D30:E30"/>
    <mergeCell ref="D31:E31"/>
    <mergeCell ref="D32:E32"/>
    <mergeCell ref="D33:E33"/>
    <mergeCell ref="F28:G28"/>
    <mergeCell ref="F24:G24"/>
    <mergeCell ref="H23:I23"/>
    <mergeCell ref="F23:G23"/>
    <mergeCell ref="D23:E23"/>
    <mergeCell ref="D25:E25"/>
    <mergeCell ref="D26:E26"/>
    <mergeCell ref="H24:I24"/>
    <mergeCell ref="D24:E24"/>
    <mergeCell ref="A73:C73"/>
    <mergeCell ref="A74:C74"/>
    <mergeCell ref="A75:C75"/>
    <mergeCell ref="A76:C76"/>
    <mergeCell ref="B6:B10"/>
    <mergeCell ref="B11:B14"/>
    <mergeCell ref="A15:A18"/>
    <mergeCell ref="B15:B18"/>
    <mergeCell ref="A67:C68"/>
    <mergeCell ref="A63:D63"/>
    <mergeCell ref="A51:C51"/>
    <mergeCell ref="A52:C52"/>
    <mergeCell ref="A42:B43"/>
    <mergeCell ref="C42:E42"/>
    <mergeCell ref="B39:C39"/>
    <mergeCell ref="D38:E38"/>
    <mergeCell ref="D67:G67"/>
    <mergeCell ref="H67:I68"/>
    <mergeCell ref="A69:C69"/>
    <mergeCell ref="H69:I69"/>
    <mergeCell ref="A72:C72"/>
    <mergeCell ref="E63:F63"/>
    <mergeCell ref="G63:I63"/>
    <mergeCell ref="A64:B64"/>
    <mergeCell ref="C64:D64"/>
    <mergeCell ref="E64:F64"/>
    <mergeCell ref="G64:I64"/>
    <mergeCell ref="D4:I4"/>
    <mergeCell ref="A4:C5"/>
    <mergeCell ref="A6:A14"/>
    <mergeCell ref="F34:G34"/>
    <mergeCell ref="F35:G35"/>
    <mergeCell ref="H27:I27"/>
    <mergeCell ref="B19:C19"/>
    <mergeCell ref="B20:C20"/>
    <mergeCell ref="A23:C23"/>
    <mergeCell ref="D27:E27"/>
    <mergeCell ref="A25:A33"/>
    <mergeCell ref="B25:B29"/>
    <mergeCell ref="B30:B33"/>
    <mergeCell ref="A34:A37"/>
    <mergeCell ref="B34:B37"/>
    <mergeCell ref="D36:E36"/>
  </mergeCells>
  <phoneticPr fontId="3" type="noConversion"/>
  <pageMargins left="0.7" right="0.7" top="0.75" bottom="0.75" header="0.3" footer="0.3"/>
  <pageSetup paperSize="9" scale="90" orientation="portrait" r:id="rId1"/>
  <rowBreaks count="1" manualBreakCount="1">
    <brk id="49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view="pageBreakPreview" zoomScale="130" zoomScaleNormal="115" zoomScaleSheetLayoutView="130" workbookViewId="0">
      <selection activeCell="H25" sqref="H25"/>
    </sheetView>
  </sheetViews>
  <sheetFormatPr defaultRowHeight="15.95" customHeight="1" x14ac:dyDescent="0.2"/>
  <cols>
    <col min="1" max="5" width="10" style="2" customWidth="1"/>
    <col min="6" max="8" width="10" style="14" customWidth="1"/>
    <col min="9" max="16384" width="8.88671875" style="14"/>
  </cols>
  <sheetData>
    <row r="1" spans="1:8" ht="15.95" customHeight="1" x14ac:dyDescent="0.2">
      <c r="A1" s="1" t="s">
        <v>521</v>
      </c>
    </row>
    <row r="2" spans="1:8" ht="15.95" customHeight="1" x14ac:dyDescent="0.2">
      <c r="A2" s="1"/>
    </row>
    <row r="3" spans="1:8" ht="15.95" customHeight="1" x14ac:dyDescent="0.2">
      <c r="A3" s="5" t="s">
        <v>90</v>
      </c>
      <c r="B3" s="4"/>
      <c r="C3" s="4"/>
      <c r="D3" s="4"/>
      <c r="E3" s="4"/>
    </row>
    <row r="4" spans="1:8" s="2" customFormat="1" ht="15.95" customHeight="1" x14ac:dyDescent="0.2">
      <c r="A4" s="2" t="s">
        <v>276</v>
      </c>
      <c r="F4" s="10"/>
    </row>
    <row r="5" spans="1:8" s="2" customFormat="1" ht="15.95" customHeight="1" x14ac:dyDescent="0.2">
      <c r="A5" s="2" t="s">
        <v>277</v>
      </c>
      <c r="F5" s="10"/>
    </row>
    <row r="6" spans="1:8" s="2" customFormat="1" ht="15.95" customHeight="1" x14ac:dyDescent="0.2">
      <c r="A6" s="2" t="s">
        <v>278</v>
      </c>
      <c r="F6" s="10"/>
    </row>
    <row r="7" spans="1:8" ht="15.95" customHeight="1" x14ac:dyDescent="0.2">
      <c r="A7" s="1"/>
    </row>
    <row r="8" spans="1:8" ht="15.95" customHeight="1" x14ac:dyDescent="0.2">
      <c r="A8" s="5" t="s">
        <v>279</v>
      </c>
      <c r="B8" s="4"/>
      <c r="C8" s="4"/>
      <c r="D8" s="4"/>
      <c r="E8" s="4"/>
    </row>
    <row r="9" spans="1:8" ht="15.95" customHeight="1" x14ac:dyDescent="0.2">
      <c r="A9" s="5" t="s">
        <v>210</v>
      </c>
    </row>
    <row r="10" spans="1:8" ht="15.95" customHeight="1" x14ac:dyDescent="0.2">
      <c r="A10" s="284" t="s">
        <v>66</v>
      </c>
      <c r="B10" s="286"/>
      <c r="C10" s="286" t="s">
        <v>199</v>
      </c>
      <c r="D10" s="286"/>
      <c r="E10" s="286"/>
      <c r="F10" s="286"/>
      <c r="G10" s="286"/>
      <c r="H10" s="280"/>
    </row>
    <row r="11" spans="1:8" ht="15.95" customHeight="1" thickBot="1" x14ac:dyDescent="0.25">
      <c r="A11" s="285"/>
      <c r="B11" s="287"/>
      <c r="C11" s="287" t="s">
        <v>85</v>
      </c>
      <c r="D11" s="287"/>
      <c r="E11" s="287" t="s">
        <v>86</v>
      </c>
      <c r="F11" s="287"/>
      <c r="G11" s="287" t="s">
        <v>87</v>
      </c>
      <c r="H11" s="281"/>
    </row>
    <row r="12" spans="1:8" ht="15.95" customHeight="1" thickTop="1" x14ac:dyDescent="0.2">
      <c r="A12" s="315" t="s">
        <v>281</v>
      </c>
      <c r="B12" s="283"/>
      <c r="C12" s="346">
        <f>E12+G12</f>
        <v>31235</v>
      </c>
      <c r="D12" s="283"/>
      <c r="E12" s="346">
        <v>28022</v>
      </c>
      <c r="F12" s="283"/>
      <c r="G12" s="346">
        <v>3213</v>
      </c>
      <c r="H12" s="293"/>
    </row>
    <row r="14" spans="1:8" ht="15.95" customHeight="1" x14ac:dyDescent="0.2">
      <c r="A14" s="5" t="s">
        <v>212</v>
      </c>
    </row>
    <row r="15" spans="1:8" ht="23.25" thickBot="1" x14ac:dyDescent="0.25">
      <c r="A15" s="255" t="s">
        <v>132</v>
      </c>
      <c r="B15" s="256"/>
      <c r="C15" s="51" t="s">
        <v>160</v>
      </c>
      <c r="D15" s="51" t="s">
        <v>200</v>
      </c>
      <c r="E15" s="51" t="s">
        <v>201</v>
      </c>
      <c r="F15" s="51" t="s">
        <v>202</v>
      </c>
      <c r="G15" s="51" t="s">
        <v>203</v>
      </c>
      <c r="H15" s="39" t="s">
        <v>137</v>
      </c>
    </row>
    <row r="16" spans="1:8" ht="15.95" customHeight="1" thickTop="1" x14ac:dyDescent="0.2">
      <c r="A16" s="315" t="s">
        <v>281</v>
      </c>
      <c r="B16" s="283"/>
      <c r="C16" s="36">
        <f>SUM(D16:H16)</f>
        <v>31235</v>
      </c>
      <c r="D16" s="36">
        <f>C26</f>
        <v>31235</v>
      </c>
      <c r="E16" s="36">
        <v>0</v>
      </c>
      <c r="F16" s="36">
        <v>0</v>
      </c>
      <c r="G16" s="36">
        <v>0</v>
      </c>
      <c r="H16" s="45"/>
    </row>
    <row r="18" spans="1:8" ht="15.95" customHeight="1" x14ac:dyDescent="0.2">
      <c r="A18" s="5" t="s">
        <v>282</v>
      </c>
    </row>
    <row r="19" spans="1:8" ht="15.95" customHeight="1" x14ac:dyDescent="0.2">
      <c r="A19" s="5" t="s">
        <v>204</v>
      </c>
      <c r="B19" s="4"/>
      <c r="C19" s="4"/>
      <c r="D19" s="4"/>
      <c r="E19" s="4"/>
    </row>
    <row r="20" spans="1:8" s="2" customFormat="1" ht="15.95" customHeight="1" x14ac:dyDescent="0.2">
      <c r="A20" s="2" t="s">
        <v>283</v>
      </c>
      <c r="F20" s="10"/>
    </row>
    <row r="21" spans="1:8" s="2" customFormat="1" ht="15.95" customHeight="1" x14ac:dyDescent="0.2">
      <c r="A21" s="2" t="s">
        <v>511</v>
      </c>
      <c r="F21" s="10"/>
    </row>
    <row r="23" spans="1:8" ht="15.95" customHeight="1" x14ac:dyDescent="0.2">
      <c r="A23" s="5" t="s">
        <v>215</v>
      </c>
      <c r="B23" s="4"/>
      <c r="C23" s="4"/>
      <c r="D23" s="4"/>
      <c r="E23" s="4"/>
    </row>
    <row r="24" spans="1:8" ht="15.95" customHeight="1" x14ac:dyDescent="0.2">
      <c r="A24" s="379" t="s">
        <v>132</v>
      </c>
      <c r="B24" s="351"/>
      <c r="C24" s="351" t="s">
        <v>158</v>
      </c>
      <c r="D24" s="351"/>
      <c r="E24" s="351"/>
      <c r="F24" s="351"/>
      <c r="G24" s="351" t="s">
        <v>137</v>
      </c>
      <c r="H24" s="352"/>
    </row>
    <row r="25" spans="1:8" ht="15.95" customHeight="1" thickBot="1" x14ac:dyDescent="0.25">
      <c r="A25" s="380"/>
      <c r="B25" s="353"/>
      <c r="C25" s="43" t="s">
        <v>85</v>
      </c>
      <c r="D25" s="43" t="s">
        <v>155</v>
      </c>
      <c r="E25" s="43" t="s">
        <v>156</v>
      </c>
      <c r="F25" s="43" t="s">
        <v>510</v>
      </c>
      <c r="G25" s="353"/>
      <c r="H25" s="354"/>
    </row>
    <row r="26" spans="1:8" ht="15.95" customHeight="1" thickTop="1" x14ac:dyDescent="0.2">
      <c r="A26" s="315" t="s">
        <v>281</v>
      </c>
      <c r="B26" s="283"/>
      <c r="C26" s="36">
        <f>C12</f>
        <v>31235</v>
      </c>
      <c r="D26" s="36">
        <f>ROUND(C26*40/100,0)</f>
        <v>12494</v>
      </c>
      <c r="E26" s="36">
        <f>C26-D26-F26</f>
        <v>3123</v>
      </c>
      <c r="F26" s="36">
        <f>ROUND(C26*50/100,0)</f>
        <v>15618</v>
      </c>
      <c r="G26" s="447"/>
      <c r="H26" s="448"/>
    </row>
    <row r="28" spans="1:8" ht="15.95" customHeight="1" x14ac:dyDescent="0.2">
      <c r="A28" s="5" t="s">
        <v>216</v>
      </c>
    </row>
    <row r="29" spans="1:8" ht="23.25" thickBot="1" x14ac:dyDescent="0.25">
      <c r="A29" s="255" t="s">
        <v>132</v>
      </c>
      <c r="B29" s="256"/>
      <c r="C29" s="51" t="s">
        <v>160</v>
      </c>
      <c r="D29" s="51" t="s">
        <v>200</v>
      </c>
      <c r="E29" s="51" t="s">
        <v>201</v>
      </c>
      <c r="F29" s="51" t="s">
        <v>202</v>
      </c>
      <c r="G29" s="51" t="s">
        <v>203</v>
      </c>
      <c r="H29" s="39" t="s">
        <v>137</v>
      </c>
    </row>
    <row r="30" spans="1:8" ht="15.95" customHeight="1" thickTop="1" x14ac:dyDescent="0.2">
      <c r="A30" s="333" t="s">
        <v>186</v>
      </c>
      <c r="B30" s="339"/>
      <c r="C30" s="101">
        <f>SUM(D30:H30)</f>
        <v>31235</v>
      </c>
      <c r="D30" s="101">
        <f>SUM(D31:D33)</f>
        <v>31235</v>
      </c>
      <c r="E30" s="101">
        <f t="shared" ref="E30:G30" si="0">SUM(E31:E33)</f>
        <v>0</v>
      </c>
      <c r="F30" s="101">
        <f t="shared" si="0"/>
        <v>0</v>
      </c>
      <c r="G30" s="101">
        <f t="shared" si="0"/>
        <v>0</v>
      </c>
      <c r="H30" s="102"/>
    </row>
    <row r="31" spans="1:8" ht="15.95" customHeight="1" x14ac:dyDescent="0.2">
      <c r="A31" s="334" t="s">
        <v>208</v>
      </c>
      <c r="B31" s="330"/>
      <c r="C31" s="97">
        <f t="shared" ref="C31:C33" si="1">SUM(D31:H31)</f>
        <v>12494</v>
      </c>
      <c r="D31" s="97">
        <f>D26</f>
        <v>12494</v>
      </c>
      <c r="E31" s="97">
        <v>0</v>
      </c>
      <c r="F31" s="97">
        <v>0</v>
      </c>
      <c r="G31" s="97">
        <v>0</v>
      </c>
      <c r="H31" s="98"/>
    </row>
    <row r="32" spans="1:8" ht="15.95" customHeight="1" x14ac:dyDescent="0.2">
      <c r="A32" s="334" t="s">
        <v>209</v>
      </c>
      <c r="B32" s="330"/>
      <c r="C32" s="97">
        <f t="shared" si="1"/>
        <v>3123</v>
      </c>
      <c r="D32" s="97">
        <f>E26</f>
        <v>3123</v>
      </c>
      <c r="E32" s="97">
        <v>0</v>
      </c>
      <c r="F32" s="97">
        <v>0</v>
      </c>
      <c r="G32" s="97">
        <v>0</v>
      </c>
      <c r="H32" s="98"/>
    </row>
    <row r="33" spans="1:8" ht="15.95" customHeight="1" x14ac:dyDescent="0.2">
      <c r="A33" s="340" t="s">
        <v>510</v>
      </c>
      <c r="B33" s="343"/>
      <c r="C33" s="99">
        <f t="shared" si="1"/>
        <v>15618</v>
      </c>
      <c r="D33" s="99">
        <f>F26</f>
        <v>15618</v>
      </c>
      <c r="E33" s="99">
        <v>0</v>
      </c>
      <c r="F33" s="99">
        <v>0</v>
      </c>
      <c r="G33" s="99">
        <v>0</v>
      </c>
      <c r="H33" s="103"/>
    </row>
  </sheetData>
  <mergeCells count="21">
    <mergeCell ref="A33:B33"/>
    <mergeCell ref="A26:B26"/>
    <mergeCell ref="G26:H26"/>
    <mergeCell ref="A29:B29"/>
    <mergeCell ref="A30:B30"/>
    <mergeCell ref="A31:B31"/>
    <mergeCell ref="A32:B32"/>
    <mergeCell ref="A24:B25"/>
    <mergeCell ref="C24:F24"/>
    <mergeCell ref="G24:H25"/>
    <mergeCell ref="A15:B15"/>
    <mergeCell ref="A16:B16"/>
    <mergeCell ref="A12:B12"/>
    <mergeCell ref="C12:D12"/>
    <mergeCell ref="E12:F12"/>
    <mergeCell ref="G12:H12"/>
    <mergeCell ref="A10:B11"/>
    <mergeCell ref="C10:H10"/>
    <mergeCell ref="C11:D11"/>
    <mergeCell ref="E11:F11"/>
    <mergeCell ref="G11:H11"/>
  </mergeCells>
  <phoneticPr fontId="3" type="noConversion"/>
  <pageMargins left="0.7" right="0.7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130" zoomScaleNormal="115" zoomScaleSheetLayoutView="130" workbookViewId="0">
      <selection activeCell="H25" sqref="H25"/>
    </sheetView>
  </sheetViews>
  <sheetFormatPr defaultRowHeight="15.95" customHeight="1" x14ac:dyDescent="0.2"/>
  <cols>
    <col min="1" max="5" width="10" style="2" customWidth="1"/>
    <col min="6" max="8" width="10" style="14" customWidth="1"/>
    <col min="9" max="16384" width="8.88671875" style="14"/>
  </cols>
  <sheetData>
    <row r="1" spans="1:8" ht="15.95" customHeight="1" x14ac:dyDescent="0.2">
      <c r="A1" s="1" t="s">
        <v>522</v>
      </c>
    </row>
    <row r="2" spans="1:8" ht="15.95" customHeight="1" x14ac:dyDescent="0.2">
      <c r="A2" s="1"/>
    </row>
    <row r="3" spans="1:8" ht="15.95" customHeight="1" x14ac:dyDescent="0.2">
      <c r="A3" s="5" t="s">
        <v>90</v>
      </c>
      <c r="B3" s="4"/>
      <c r="C3" s="4"/>
      <c r="D3" s="4"/>
      <c r="E3" s="4"/>
    </row>
    <row r="4" spans="1:8" s="2" customFormat="1" ht="15.95" customHeight="1" x14ac:dyDescent="0.2">
      <c r="A4" s="2" t="s">
        <v>284</v>
      </c>
      <c r="F4" s="10"/>
    </row>
    <row r="5" spans="1:8" ht="15.95" customHeight="1" x14ac:dyDescent="0.2">
      <c r="A5" s="1"/>
    </row>
    <row r="6" spans="1:8" ht="15.95" customHeight="1" x14ac:dyDescent="0.2">
      <c r="A6" s="5" t="s">
        <v>279</v>
      </c>
      <c r="B6" s="4"/>
      <c r="C6" s="4"/>
      <c r="D6" s="4"/>
      <c r="E6" s="4"/>
    </row>
    <row r="7" spans="1:8" ht="15.95" customHeight="1" x14ac:dyDescent="0.2">
      <c r="A7" s="5" t="s">
        <v>210</v>
      </c>
    </row>
    <row r="8" spans="1:8" ht="15.95" customHeight="1" x14ac:dyDescent="0.2">
      <c r="A8" s="284" t="s">
        <v>66</v>
      </c>
      <c r="B8" s="286"/>
      <c r="C8" s="286" t="s">
        <v>199</v>
      </c>
      <c r="D8" s="286"/>
      <c r="E8" s="286"/>
      <c r="F8" s="286"/>
      <c r="G8" s="286"/>
      <c r="H8" s="280"/>
    </row>
    <row r="9" spans="1:8" ht="15.95" customHeight="1" thickBot="1" x14ac:dyDescent="0.25">
      <c r="A9" s="285"/>
      <c r="B9" s="287"/>
      <c r="C9" s="287" t="s">
        <v>85</v>
      </c>
      <c r="D9" s="287"/>
      <c r="E9" s="287" t="s">
        <v>286</v>
      </c>
      <c r="F9" s="287"/>
      <c r="G9" s="287" t="s">
        <v>287</v>
      </c>
      <c r="H9" s="281"/>
    </row>
    <row r="10" spans="1:8" ht="15.95" customHeight="1" thickTop="1" x14ac:dyDescent="0.2">
      <c r="A10" s="315" t="s">
        <v>285</v>
      </c>
      <c r="B10" s="283"/>
      <c r="C10" s="346">
        <f>E10+G10</f>
        <v>5895</v>
      </c>
      <c r="D10" s="283"/>
      <c r="E10" s="346">
        <v>1769</v>
      </c>
      <c r="F10" s="283"/>
      <c r="G10" s="346">
        <v>4126</v>
      </c>
      <c r="H10" s="293"/>
    </row>
    <row r="12" spans="1:8" ht="15.95" customHeight="1" x14ac:dyDescent="0.2">
      <c r="A12" s="5" t="s">
        <v>212</v>
      </c>
    </row>
    <row r="13" spans="1:8" ht="23.25" thickBot="1" x14ac:dyDescent="0.25">
      <c r="A13" s="255" t="s">
        <v>132</v>
      </c>
      <c r="B13" s="256"/>
      <c r="C13" s="51" t="s">
        <v>160</v>
      </c>
      <c r="D13" s="51" t="s">
        <v>200</v>
      </c>
      <c r="E13" s="51" t="s">
        <v>201</v>
      </c>
      <c r="F13" s="51" t="s">
        <v>202</v>
      </c>
      <c r="G13" s="51" t="s">
        <v>203</v>
      </c>
      <c r="H13" s="39" t="s">
        <v>137</v>
      </c>
    </row>
    <row r="14" spans="1:8" ht="15.95" customHeight="1" thickTop="1" x14ac:dyDescent="0.2">
      <c r="A14" s="315" t="s">
        <v>285</v>
      </c>
      <c r="B14" s="283"/>
      <c r="C14" s="36">
        <f>SUM(D14:H14)</f>
        <v>5895</v>
      </c>
      <c r="D14" s="36">
        <f>C24</f>
        <v>5895</v>
      </c>
      <c r="E14" s="36">
        <v>0</v>
      </c>
      <c r="F14" s="36">
        <v>0</v>
      </c>
      <c r="G14" s="36">
        <v>0</v>
      </c>
      <c r="H14" s="45"/>
    </row>
    <row r="16" spans="1:8" ht="15.95" customHeight="1" x14ac:dyDescent="0.2">
      <c r="A16" s="5" t="s">
        <v>282</v>
      </c>
    </row>
    <row r="17" spans="1:8" ht="15.95" customHeight="1" x14ac:dyDescent="0.2">
      <c r="A17" s="5" t="s">
        <v>204</v>
      </c>
      <c r="B17" s="4"/>
      <c r="C17" s="4"/>
      <c r="D17" s="4"/>
      <c r="E17" s="4"/>
    </row>
    <row r="18" spans="1:8" s="2" customFormat="1" ht="15.95" customHeight="1" x14ac:dyDescent="0.2">
      <c r="A18" s="2" t="s">
        <v>283</v>
      </c>
      <c r="F18" s="10"/>
    </row>
    <row r="19" spans="1:8" s="2" customFormat="1" ht="15.95" customHeight="1" x14ac:dyDescent="0.2">
      <c r="A19" s="2" t="s">
        <v>512</v>
      </c>
      <c r="F19" s="10"/>
    </row>
    <row r="21" spans="1:8" ht="15.95" customHeight="1" x14ac:dyDescent="0.2">
      <c r="A21" s="5" t="s">
        <v>215</v>
      </c>
      <c r="B21" s="4"/>
      <c r="C21" s="4"/>
      <c r="D21" s="4"/>
      <c r="E21" s="4"/>
    </row>
    <row r="22" spans="1:8" ht="15.95" customHeight="1" x14ac:dyDescent="0.2">
      <c r="A22" s="379" t="s">
        <v>132</v>
      </c>
      <c r="B22" s="351"/>
      <c r="C22" s="351" t="s">
        <v>158</v>
      </c>
      <c r="D22" s="351"/>
      <c r="E22" s="351"/>
      <c r="F22" s="351"/>
      <c r="G22" s="351" t="s">
        <v>137</v>
      </c>
      <c r="H22" s="352"/>
    </row>
    <row r="23" spans="1:8" ht="15.95" customHeight="1" thickBot="1" x14ac:dyDescent="0.25">
      <c r="A23" s="380"/>
      <c r="B23" s="353"/>
      <c r="C23" s="43" t="s">
        <v>85</v>
      </c>
      <c r="D23" s="43" t="s">
        <v>155</v>
      </c>
      <c r="E23" s="43" t="s">
        <v>156</v>
      </c>
      <c r="F23" s="43" t="s">
        <v>510</v>
      </c>
      <c r="G23" s="353"/>
      <c r="H23" s="354"/>
    </row>
    <row r="24" spans="1:8" ht="15.95" customHeight="1" thickTop="1" x14ac:dyDescent="0.2">
      <c r="A24" s="315" t="s">
        <v>285</v>
      </c>
      <c r="B24" s="283"/>
      <c r="C24" s="36">
        <f>C10</f>
        <v>5895</v>
      </c>
      <c r="D24" s="36">
        <v>1975</v>
      </c>
      <c r="E24" s="36">
        <v>3272</v>
      </c>
      <c r="F24" s="36">
        <v>648</v>
      </c>
      <c r="G24" s="447"/>
      <c r="H24" s="448"/>
    </row>
    <row r="26" spans="1:8" ht="15.95" customHeight="1" x14ac:dyDescent="0.2">
      <c r="A26" s="5" t="s">
        <v>216</v>
      </c>
    </row>
    <row r="27" spans="1:8" ht="23.25" thickBot="1" x14ac:dyDescent="0.25">
      <c r="A27" s="255" t="s">
        <v>132</v>
      </c>
      <c r="B27" s="256"/>
      <c r="C27" s="51" t="s">
        <v>160</v>
      </c>
      <c r="D27" s="51" t="s">
        <v>200</v>
      </c>
      <c r="E27" s="51" t="s">
        <v>201</v>
      </c>
      <c r="F27" s="51" t="s">
        <v>202</v>
      </c>
      <c r="G27" s="51" t="s">
        <v>203</v>
      </c>
      <c r="H27" s="39" t="s">
        <v>137</v>
      </c>
    </row>
    <row r="28" spans="1:8" ht="15.95" customHeight="1" thickTop="1" x14ac:dyDescent="0.2">
      <c r="A28" s="333" t="s">
        <v>186</v>
      </c>
      <c r="B28" s="339"/>
      <c r="C28" s="101">
        <f>SUM(D28:H28)</f>
        <v>5895</v>
      </c>
      <c r="D28" s="101">
        <f>SUM(D29:D31)</f>
        <v>5895</v>
      </c>
      <c r="E28" s="101">
        <f t="shared" ref="E28:G28" si="0">SUM(E29:E31)</f>
        <v>0</v>
      </c>
      <c r="F28" s="101">
        <f t="shared" si="0"/>
        <v>0</v>
      </c>
      <c r="G28" s="101">
        <f t="shared" si="0"/>
        <v>0</v>
      </c>
      <c r="H28" s="102"/>
    </row>
    <row r="29" spans="1:8" ht="15.95" customHeight="1" x14ac:dyDescent="0.2">
      <c r="A29" s="334" t="s">
        <v>208</v>
      </c>
      <c r="B29" s="330"/>
      <c r="C29" s="97">
        <f t="shared" ref="C29:C31" si="1">SUM(D29:H29)</f>
        <v>1975</v>
      </c>
      <c r="D29" s="97">
        <f>D24</f>
        <v>1975</v>
      </c>
      <c r="E29" s="97">
        <v>0</v>
      </c>
      <c r="F29" s="97">
        <v>0</v>
      </c>
      <c r="G29" s="97">
        <v>0</v>
      </c>
      <c r="H29" s="98"/>
    </row>
    <row r="30" spans="1:8" ht="15.95" customHeight="1" x14ac:dyDescent="0.2">
      <c r="A30" s="334" t="s">
        <v>209</v>
      </c>
      <c r="B30" s="330"/>
      <c r="C30" s="97">
        <f t="shared" si="1"/>
        <v>3272</v>
      </c>
      <c r="D30" s="97">
        <f>E24</f>
        <v>3272</v>
      </c>
      <c r="E30" s="97">
        <v>0</v>
      </c>
      <c r="F30" s="97">
        <v>0</v>
      </c>
      <c r="G30" s="97">
        <v>0</v>
      </c>
      <c r="H30" s="98"/>
    </row>
    <row r="31" spans="1:8" ht="15.95" customHeight="1" x14ac:dyDescent="0.2">
      <c r="A31" s="340" t="s">
        <v>510</v>
      </c>
      <c r="B31" s="343"/>
      <c r="C31" s="99">
        <f t="shared" si="1"/>
        <v>648</v>
      </c>
      <c r="D31" s="99">
        <f>F24</f>
        <v>648</v>
      </c>
      <c r="E31" s="99">
        <v>0</v>
      </c>
      <c r="F31" s="99">
        <v>0</v>
      </c>
      <c r="G31" s="99">
        <v>0</v>
      </c>
      <c r="H31" s="103"/>
    </row>
  </sheetData>
  <mergeCells count="21">
    <mergeCell ref="A28:B28"/>
    <mergeCell ref="A29:B29"/>
    <mergeCell ref="A30:B30"/>
    <mergeCell ref="A31:B31"/>
    <mergeCell ref="A22:B23"/>
    <mergeCell ref="C22:F22"/>
    <mergeCell ref="G22:H23"/>
    <mergeCell ref="A24:B24"/>
    <mergeCell ref="G24:H24"/>
    <mergeCell ref="A27:B27"/>
    <mergeCell ref="A13:B13"/>
    <mergeCell ref="A14:B14"/>
    <mergeCell ref="A8:B9"/>
    <mergeCell ref="C8:H8"/>
    <mergeCell ref="C9:D9"/>
    <mergeCell ref="E9:F9"/>
    <mergeCell ref="G9:H9"/>
    <mergeCell ref="A10:B10"/>
    <mergeCell ref="C10:D10"/>
    <mergeCell ref="E10:F10"/>
    <mergeCell ref="G10:H10"/>
  </mergeCells>
  <phoneticPr fontId="3" type="noConversion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9</vt:i4>
      </vt:variant>
    </vt:vector>
  </HeadingPairs>
  <TitlesOfParts>
    <vt:vector size="18" baseType="lpstr">
      <vt:lpstr>0.시설공사비 산정근거</vt:lpstr>
      <vt:lpstr>사업비 총괄</vt:lpstr>
      <vt:lpstr>1.1 공공하수처리시설 증설</vt:lpstr>
      <vt:lpstr>1.2 소규모 하수도</vt:lpstr>
      <vt:lpstr>2.1 하수관로 신설</vt:lpstr>
      <vt:lpstr>2.2 하수관로 교체</vt:lpstr>
      <vt:lpstr>2.3 하수관로 보수</vt:lpstr>
      <vt:lpstr>3. 하수처리수 재이용시설</vt:lpstr>
      <vt:lpstr>4. 하수저류시설 및 우수침투시설</vt:lpstr>
      <vt:lpstr>'0.시설공사비 산정근거'!Print_Area</vt:lpstr>
      <vt:lpstr>'1.1 공공하수처리시설 증설'!Print_Area</vt:lpstr>
      <vt:lpstr>'1.2 소규모 하수도'!Print_Area</vt:lpstr>
      <vt:lpstr>'2.1 하수관로 신설'!Print_Area</vt:lpstr>
      <vt:lpstr>'2.2 하수관로 교체'!Print_Area</vt:lpstr>
      <vt:lpstr>'2.3 하수관로 보수'!Print_Area</vt:lpstr>
      <vt:lpstr>'3. 하수처리수 재이용시설'!Print_Area</vt:lpstr>
      <vt:lpstr>'4. 하수저류시설 및 우수침투시설'!Print_Area</vt:lpstr>
      <vt:lpstr>'사업비 총괄'!Print_Area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solongoth</dc:creator>
  <cp:lastModifiedBy>solongoth</cp:lastModifiedBy>
  <cp:lastPrinted>2015-11-12T05:34:51Z</cp:lastPrinted>
  <dcterms:created xsi:type="dcterms:W3CDTF">2015-05-21T11:23:44Z</dcterms:created>
  <dcterms:modified xsi:type="dcterms:W3CDTF">2015-11-26T09:40:36Z</dcterms:modified>
</cp:coreProperties>
</file>