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900" yWindow="390" windowWidth="16065" windowHeight="11775" activeTab="1"/>
  </bookViews>
  <sheets>
    <sheet name="0. 총괄사업비" sheetId="10" r:id="rId1"/>
    <sheet name="0-1. 재원조달계획" sheetId="12" r:id="rId2"/>
    <sheet name="1. 하수관거 사업비" sheetId="8" r:id="rId3"/>
    <sheet name="2.하수관거 사업비_산출근거" sheetId="5" r:id="rId4"/>
    <sheet name="4. 시설부대비 요율" sheetId="7" r:id="rId5"/>
    <sheet name="5. 소규모하수도 사업비" sheetId="9" r:id="rId6"/>
    <sheet name="6. 소규모하수도 사업비 산출근거" sheetId="1" r:id="rId7"/>
    <sheet name="7. 소규모하수도_하수관거공사비" sheetId="3" r:id="rId8"/>
    <sheet name="8.공시지가" sheetId="4" r:id="rId9"/>
    <sheet name="9.처리시설 사업비" sheetId="2" r:id="rId10"/>
    <sheet name="10. 빗물펌프장 사업비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a1">'[1]1호맨홀토공'!$R$12</definedName>
    <definedName name="_aab42" localSheetId="10">#REF!</definedName>
    <definedName name="_aab42">#REF!</definedName>
    <definedName name="_dia300" localSheetId="10">[2]대로근거!#REF!</definedName>
    <definedName name="_dia300">[2]대로근거!#REF!</definedName>
    <definedName name="_dia350" localSheetId="10">[2]대로근거!#REF!</definedName>
    <definedName name="_dia350">[2]대로근거!#REF!</definedName>
    <definedName name="_Order1" hidden="1">255</definedName>
    <definedName name="_Order2" hidden="1">255</definedName>
    <definedName name="가건물" localSheetId="10">#REF!</definedName>
    <definedName name="가건물">#REF!</definedName>
    <definedName name="곱">[3]DATE!$I$24:$I$85</definedName>
    <definedName name="곱곱">[4]DATE!$I$24:$I$85</definedName>
    <definedName name="관경" localSheetId="10">'[5]토사(PE)'!#REF!</definedName>
    <definedName name="관경">'[5]토사(PE)'!#REF!</definedName>
    <definedName name="관경1" localSheetId="10">'[6]토사(PE)'!#REF!</definedName>
    <definedName name="관경1">'[6]토사(PE)'!#REF!</definedName>
    <definedName name="관두께" localSheetId="10">'[5]토사(PE)'!#REF!</definedName>
    <definedName name="관두께">'[5]토사(PE)'!#REF!</definedName>
    <definedName name="관로공내부" localSheetId="10">#REF!</definedName>
    <definedName name="관로공내부">#REF!</definedName>
    <definedName name="관토피" localSheetId="10">'[5]토사(PE)'!#REF!</definedName>
    <definedName name="관토피">'[5]토사(PE)'!#REF!</definedName>
    <definedName name="권">[7]DATE!$I$24:$I$85</definedName>
    <definedName name="권권">[8]DATE!$I$24:$I$85</definedName>
    <definedName name="규격">[3]DATE!$C$24:$C$85</definedName>
    <definedName name="기계높이" localSheetId="10">'[5]토사(PE)'!#REF!</definedName>
    <definedName name="기계높이">'[5]토사(PE)'!#REF!</definedName>
    <definedName name="기존관보호공집계">[9]우배수!$E$24:$E$85</definedName>
    <definedName name="기초폭300" localSheetId="10">[2]대로근거!#REF!</definedName>
    <definedName name="기초폭300">[2]대로근거!#REF!</definedName>
    <definedName name="기초폭350" localSheetId="10">[2]대로근거!#REF!</definedName>
    <definedName name="기초폭350">[2]대로근거!#REF!</definedName>
    <definedName name="김종현" localSheetId="10">#REF!</definedName>
    <definedName name="김종현">#REF!</definedName>
    <definedName name="ㄴㄴㅇ" localSheetId="10">#REF!</definedName>
    <definedName name="ㄴㄴㅇ">#REF!</definedName>
    <definedName name="노무비" localSheetId="10">[10]건축내역!#REF!</definedName>
    <definedName name="노무비">[10]건축내역!#REF!</definedName>
    <definedName name="높이300" localSheetId="10">[2]대로근거!#REF!</definedName>
    <definedName name="높이300">[2]대로근거!#REF!</definedName>
    <definedName name="높이350" localSheetId="10">[2]대로근거!#REF!</definedName>
    <definedName name="높이350">[2]대로근거!#REF!</definedName>
    <definedName name="단관M">[3]DATE!$H$24:$H$85</definedName>
    <definedName name="더하기">[3]DATE!$J$24:$J$85</definedName>
    <definedName name="두께" localSheetId="10">'[5]토사(PE)'!#REF!</definedName>
    <definedName name="두께">'[5]토사(PE)'!#REF!</definedName>
    <definedName name="ㅀㅎㅊㅌ" localSheetId="10">#REF!</definedName>
    <definedName name="ㅀㅎㅊㅌ">#REF!</definedName>
    <definedName name="ㅁ1" localSheetId="10">'[11]A LINE'!#REF!</definedName>
    <definedName name="ㅁ1">'[11]A LINE'!#REF!</definedName>
    <definedName name="ㅁㅁ" localSheetId="10">#REF!</definedName>
    <definedName name="ㅁㅁ">#REF!</definedName>
    <definedName name="매크로11" localSheetId="10">[12]!매크로11</definedName>
    <definedName name="매크로11">[12]!매크로11</definedName>
    <definedName name="매크로4" localSheetId="10">[12]!매크로4</definedName>
    <definedName name="매크로4">[12]!매크로4</definedName>
    <definedName name="모래" localSheetId="10">'[5]토사(PE)'!#REF!</definedName>
    <definedName name="모래">'[5]토사(PE)'!#REF!</definedName>
    <definedName name="모래300" localSheetId="10">[2]대로근거!#REF!</definedName>
    <definedName name="모래300">[2]대로근거!#REF!</definedName>
    <definedName name="모래350" localSheetId="10">[2]대로근거!#REF!</definedName>
    <definedName name="모래350">[2]대로근거!#REF!</definedName>
    <definedName name="바닥" localSheetId="10">'[5]토사(PE)'!#REF!</definedName>
    <definedName name="바닥">'[5]토사(PE)'!#REF!</definedName>
    <definedName name="배_관_공">[13]노임단가!$F$8</definedName>
    <definedName name="보도블럭산출">[14]우배수!$C$24:$C$85</definedName>
    <definedName name="보통인부">[13]노임단가!$L$19</definedName>
    <definedName name="상부" localSheetId="10">'[5]토사(PE)'!#REF!</definedName>
    <definedName name="상부">'[5]토사(PE)'!#REF!</definedName>
    <definedName name="소켓무게">[15]DATE!$G$24:$G$79</definedName>
    <definedName name="수량" localSheetId="10">#REF!</definedName>
    <definedName name="수량">#REF!</definedName>
    <definedName name="수량1" localSheetId="10">[16]맨홀수량!#REF!</definedName>
    <definedName name="수량1">[16]맨홀수량!#REF!</definedName>
    <definedName name="ㅇㅇㅇ" localSheetId="10">#REF!</definedName>
    <definedName name="ㅇㅇㅇ">#REF!</definedName>
    <definedName name="ㅔ" localSheetId="10">[2]대로근거!#REF!</definedName>
    <definedName name="ㅔ">[2]대로근거!#REF!</definedName>
    <definedName name="ㅠ632">[17]기계경비!$J$61</definedName>
    <definedName name="옹벽" localSheetId="10">#REF!</definedName>
    <definedName name="옹벽">#REF!</definedName>
    <definedName name="이형관">[3]DATE!$B$24:$B$85</definedName>
    <definedName name="인기300" localSheetId="10">[2]대로근거!#REF!</definedName>
    <definedName name="인기300">[2]대로근거!#REF!</definedName>
    <definedName name="인기350" localSheetId="10">[2]대로근거!#REF!</definedName>
    <definedName name="인기350">[2]대로근거!#REF!</definedName>
    <definedName name="인암300" localSheetId="10">[2]대로근거!#REF!</definedName>
    <definedName name="인암300">[2]대로근거!#REF!</definedName>
    <definedName name="인암350" localSheetId="10">[2]대로근거!#REF!</definedName>
    <definedName name="인암350">[2]대로근거!#REF!</definedName>
    <definedName name="인토300" localSheetId="10">[2]대로근거!#REF!</definedName>
    <definedName name="인토300">[2]대로근거!#REF!</definedName>
    <definedName name="인토350" localSheetId="10">[2]대로근거!#REF!</definedName>
    <definedName name="인토350">[2]대로근거!#REF!</definedName>
    <definedName name="ㅈㅈ" localSheetId="10">#REF!</definedName>
    <definedName name="ㅈㅈ">#REF!</definedName>
    <definedName name="재료비" localSheetId="10">[18]건축내역!#REF!</definedName>
    <definedName name="재료비">[18]건축내역!#REF!</definedName>
    <definedName name="쟁료비" localSheetId="10">[10]건축내역!#REF!</definedName>
    <definedName name="쟁료비">[10]건축내역!#REF!</definedName>
    <definedName name="중간" localSheetId="10">'[5]토사(PE)'!#REF!</definedName>
    <definedName name="중간">'[5]토사(PE)'!#REF!</definedName>
    <definedName name="철근깨기수량" localSheetId="10">#REF!</definedName>
    <definedName name="철근깨기수량">#REF!</definedName>
    <definedName name="총높이" localSheetId="10">'[5]토사(PE)'!#REF!</definedName>
    <definedName name="총높이">'[5]토사(PE)'!#REF!</definedName>
    <definedName name="폭300" localSheetId="10">[2]대로근거!#REF!</definedName>
    <definedName name="폭300">[2]대로근거!#REF!</definedName>
    <definedName name="폭350" localSheetId="10">[2]대로근거!#REF!</definedName>
    <definedName name="폭350">[2]대로근거!#REF!</definedName>
    <definedName name="형상">[3]DATE!$D$24:$D$85</definedName>
    <definedName name="홍길동" localSheetId="10">#REF!</definedName>
    <definedName name="홍길동">#REF!</definedName>
    <definedName name="A">[19]DATE!$E$24:$E$85</definedName>
    <definedName name="AA" localSheetId="10">#REF!</definedName>
    <definedName name="AA">#REF!</definedName>
    <definedName name="aaaa" localSheetId="10">#REF!</definedName>
    <definedName name="aaaa">#REF!</definedName>
    <definedName name="abc" localSheetId="10">#REF!</definedName>
    <definedName name="abc">#REF!</definedName>
    <definedName name="B" localSheetId="10">'[5]토사(PE)'!#REF!</definedName>
    <definedName name="B">'[5]토사(PE)'!#REF!</definedName>
    <definedName name="BBBB" localSheetId="10">#REF!</definedName>
    <definedName name="BBBB">#REF!</definedName>
    <definedName name="CCCC" localSheetId="10">#REF!</definedName>
    <definedName name="CCCC">#REF!</definedName>
    <definedName name="_xlnm.Criteria" localSheetId="10">#REF!</definedName>
    <definedName name="_xlnm.Criteria">#REF!</definedName>
    <definedName name="D">[19]DATE!$C$24:$C$85</definedName>
    <definedName name="_xlnm.Database" localSheetId="10">#REF!</definedName>
    <definedName name="_xlnm.Database">#REF!</definedName>
    <definedName name="dia_mm">[20]말뚝지지력산정!$J$19</definedName>
    <definedName name="dk" localSheetId="10">[2]중로근거!#REF!</definedName>
    <definedName name="dk">[2]중로근거!#REF!</definedName>
    <definedName name="_xlnm.Extract" localSheetId="10">#REF!</definedName>
    <definedName name="_xlnm.Extract">#REF!</definedName>
    <definedName name="h_water" localSheetId="10">'[21]3BL공동구 수량'!#REF!</definedName>
    <definedName name="h_water">'[21]3BL공동구 수량'!#REF!</definedName>
    <definedName name="KD" localSheetId="10">#REF!</definedName>
    <definedName name="KD">#REF!</definedName>
    <definedName name="kdjf" localSheetId="10">#REF!</definedName>
    <definedName name="kdjf">#REF!</definedName>
    <definedName name="L" localSheetId="10">#REF!</definedName>
    <definedName name="L">#REF!</definedName>
    <definedName name="LB">[20]말뚝지지력산정!$L$22</definedName>
    <definedName name="M당무게">[3]DATE!$E$24:$E$85</definedName>
    <definedName name="NUMBER" localSheetId="10">#REF!</definedName>
    <definedName name="NUMBER">#REF!</definedName>
    <definedName name="pile_s">[20]말뚝지지력산정!$F$116</definedName>
    <definedName name="_xlnm.Print_Area" localSheetId="0">'0. 총괄사업비'!$A$1:$J$21</definedName>
    <definedName name="_xlnm.Print_Area" localSheetId="1">'0-1. 재원조달계획'!$A$1:$I$50</definedName>
    <definedName name="_xlnm.Print_Area" localSheetId="2">'1. 하수관거 사업비'!$A$1:$J$124</definedName>
    <definedName name="_xlnm.Print_Area" localSheetId="10">'10. 빗물펌프장 사업비'!$A$1:$K$9</definedName>
    <definedName name="_xlnm.Print_Area" localSheetId="3">'2.하수관거 사업비_산출근거'!$A$1:$BB$105</definedName>
    <definedName name="_xlnm.Print_Area" localSheetId="5">'5. 소규모하수도 사업비'!$A$1:$S$24</definedName>
    <definedName name="_xlnm.Print_Area" localSheetId="6">'6. 소규모하수도 사업비 산출근거'!$A$1:$S$28</definedName>
    <definedName name="_xlnm.Print_Area" localSheetId="7">'7. 소규모하수도_하수관거공사비'!$A$1:$M$25</definedName>
    <definedName name="_xlnm.Print_Area" localSheetId="8">'8.공시지가'!$A$1:$E$21</definedName>
    <definedName name="_xlnm.Print_Area" localSheetId="9">'9.처리시설 사업비'!$A$1:$K$70</definedName>
    <definedName name="_xlnm.Print_Area">#REF!</definedName>
    <definedName name="PRINT_AREA_MI" localSheetId="10">#REF!</definedName>
    <definedName name="PRINT_AREA_MI">#REF!</definedName>
    <definedName name="_xlnm.Print_Titles" localSheetId="1">'0-1. 재원조달계획'!$2:$2</definedName>
    <definedName name="_xlnm.Print_Titles" localSheetId="2">'1. 하수관거 사업비'!$1:$2</definedName>
    <definedName name="_xlnm.Print_Titles" localSheetId="3">'2.하수관거 사업비_산출근거'!$A:$E,'2.하수관거 사업비_산출근거'!$2:$4</definedName>
    <definedName name="_xlnm.Print_Titles" localSheetId="5">'5. 소규모하수도 사업비'!$2:$3</definedName>
    <definedName name="_xlnm.Print_Titles" localSheetId="6">'6. 소규모하수도 사업비 산출근거'!$2:$3</definedName>
    <definedName name="_xlnm.Print_Titles" localSheetId="7">'7. 소규모하수도_하수관거공사비'!$2:$3</definedName>
    <definedName name="_xlnm.Print_Titles" localSheetId="9">'9.처리시설 사업비'!$2:$2</definedName>
    <definedName name="qe" localSheetId="10">#REF!</definedName>
    <definedName name="qe">#REF!</definedName>
    <definedName name="_xlnm.Recorder" localSheetId="10">#REF!</definedName>
    <definedName name="_xlnm.Recorder">#REF!</definedName>
    <definedName name="S">[19]DATE!$I$24:$I$85</definedName>
    <definedName name="UJI">[19]DATE!$I$24:$I$85</definedName>
  </definedNames>
  <calcPr calcId="125725"/>
</workbook>
</file>

<file path=xl/calcChain.xml><?xml version="1.0" encoding="utf-8"?>
<calcChain xmlns="http://schemas.openxmlformats.org/spreadsheetml/2006/main">
  <c r="C25" i="9"/>
  <c r="I52" i="3"/>
  <c r="H51" i="10"/>
  <c r="H50"/>
  <c r="K23"/>
  <c r="G20" i="2"/>
  <c r="M20"/>
  <c r="G60" i="10"/>
  <c r="G61"/>
  <c r="G62"/>
  <c r="G63"/>
  <c r="G64"/>
  <c r="G65"/>
  <c r="G66"/>
  <c r="G67"/>
  <c r="G68"/>
  <c r="G69"/>
  <c r="G70"/>
  <c r="G71"/>
  <c r="G72"/>
  <c r="G73"/>
  <c r="G74"/>
  <c r="G75"/>
  <c r="G76"/>
  <c r="G59"/>
  <c r="H33" i="8"/>
  <c r="H41"/>
  <c r="L11" i="5"/>
  <c r="I99"/>
  <c r="I98"/>
  <c r="AB99"/>
  <c r="AC99" s="1"/>
  <c r="AB98"/>
  <c r="AC98" s="1"/>
  <c r="AB91"/>
  <c r="AB90" s="1"/>
  <c r="AB79"/>
  <c r="AC79" s="1"/>
  <c r="H37" i="8" s="1"/>
  <c r="Z79" i="5"/>
  <c r="AB38"/>
  <c r="AC38" s="1"/>
  <c r="AB37"/>
  <c r="AB105"/>
  <c r="AC100"/>
  <c r="AC95"/>
  <c r="AC94"/>
  <c r="AC93" s="1"/>
  <c r="AC92"/>
  <c r="AC80"/>
  <c r="AC78"/>
  <c r="AC77"/>
  <c r="AC76"/>
  <c r="AC75"/>
  <c r="AC74"/>
  <c r="AC73"/>
  <c r="AC72"/>
  <c r="AC71"/>
  <c r="AC70"/>
  <c r="AC69"/>
  <c r="AC68"/>
  <c r="AB67"/>
  <c r="AC66"/>
  <c r="AC65"/>
  <c r="AC64"/>
  <c r="AC63"/>
  <c r="AC62"/>
  <c r="AC61"/>
  <c r="AC60"/>
  <c r="AC59"/>
  <c r="AC58"/>
  <c r="AC57"/>
  <c r="AC56"/>
  <c r="AB55"/>
  <c r="AC54"/>
  <c r="AC53"/>
  <c r="AC52"/>
  <c r="AC51"/>
  <c r="AC50"/>
  <c r="AC49"/>
  <c r="AC48"/>
  <c r="AC47"/>
  <c r="AC46"/>
  <c r="AC45"/>
  <c r="AC44"/>
  <c r="AC43"/>
  <c r="AB42"/>
  <c r="AB41"/>
  <c r="AC40"/>
  <c r="AC39"/>
  <c r="AC35"/>
  <c r="AC34"/>
  <c r="AC33"/>
  <c r="AC32"/>
  <c r="AC31"/>
  <c r="AC30"/>
  <c r="AC29"/>
  <c r="AC28"/>
  <c r="AB27"/>
  <c r="AC26"/>
  <c r="AC25"/>
  <c r="AC24"/>
  <c r="AC23"/>
  <c r="AC22"/>
  <c r="AC21"/>
  <c r="AC20"/>
  <c r="AC19"/>
  <c r="AB18"/>
  <c r="AC17"/>
  <c r="AC16"/>
  <c r="AC15"/>
  <c r="AC14"/>
  <c r="AC13"/>
  <c r="AC12"/>
  <c r="AC11"/>
  <c r="AC10"/>
  <c r="AB9"/>
  <c r="AB8" s="1"/>
  <c r="C28" i="9"/>
  <c r="C29"/>
  <c r="C30"/>
  <c r="C31"/>
  <c r="C32"/>
  <c r="C33"/>
  <c r="C34"/>
  <c r="C35"/>
  <c r="C36"/>
  <c r="C37"/>
  <c r="C38"/>
  <c r="C39"/>
  <c r="C40"/>
  <c r="C41"/>
  <c r="C42"/>
  <c r="C43"/>
  <c r="C44"/>
  <c r="C45"/>
  <c r="C27"/>
  <c r="D29"/>
  <c r="E34"/>
  <c r="E35"/>
  <c r="E42"/>
  <c r="AC91" i="5" l="1"/>
  <c r="AC90" s="1"/>
  <c r="H36" i="8" s="1"/>
  <c r="AB36" i="5"/>
  <c r="AB7" s="1"/>
  <c r="AB6" s="1"/>
  <c r="AB96" s="1"/>
  <c r="AC96" s="1"/>
  <c r="H40" i="8" s="1"/>
  <c r="AC27" i="5"/>
  <c r="AC42"/>
  <c r="AC55"/>
  <c r="AC9"/>
  <c r="AC8" s="1"/>
  <c r="AC18"/>
  <c r="AC67"/>
  <c r="AC37"/>
  <c r="AC36" s="1"/>
  <c r="H28" i="8" s="1"/>
  <c r="AC97" i="5"/>
  <c r="N125" i="8"/>
  <c r="P125"/>
  <c r="Q125"/>
  <c r="N33"/>
  <c r="O33"/>
  <c r="P33"/>
  <c r="Q33"/>
  <c r="N34"/>
  <c r="N35"/>
  <c r="O36"/>
  <c r="P36"/>
  <c r="N38"/>
  <c r="N39"/>
  <c r="N40"/>
  <c r="N42"/>
  <c r="N43"/>
  <c r="N44"/>
  <c r="O44"/>
  <c r="P44"/>
  <c r="Q44"/>
  <c r="N45"/>
  <c r="O50"/>
  <c r="N51"/>
  <c r="O51"/>
  <c r="N52"/>
  <c r="O52"/>
  <c r="N54"/>
  <c r="O54"/>
  <c r="P54"/>
  <c r="Q54"/>
  <c r="N55"/>
  <c r="O55"/>
  <c r="N56"/>
  <c r="O56"/>
  <c r="N57"/>
  <c r="O57"/>
  <c r="P57"/>
  <c r="Q57"/>
  <c r="O58"/>
  <c r="O59"/>
  <c r="N60"/>
  <c r="O60"/>
  <c r="Q60"/>
  <c r="N61"/>
  <c r="O61"/>
  <c r="N63"/>
  <c r="O63"/>
  <c r="O62" s="1"/>
  <c r="N64"/>
  <c r="O64"/>
  <c r="N65"/>
  <c r="O65"/>
  <c r="P65"/>
  <c r="Q65"/>
  <c r="N66"/>
  <c r="O66"/>
  <c r="N71"/>
  <c r="P71"/>
  <c r="Q71"/>
  <c r="N72"/>
  <c r="P72"/>
  <c r="Q72"/>
  <c r="N73"/>
  <c r="P73"/>
  <c r="Q73"/>
  <c r="N75"/>
  <c r="O75"/>
  <c r="P75"/>
  <c r="Q75"/>
  <c r="N76"/>
  <c r="P76"/>
  <c r="Q76"/>
  <c r="N77"/>
  <c r="P77"/>
  <c r="Q77"/>
  <c r="N78"/>
  <c r="O78"/>
  <c r="P78"/>
  <c r="Q78"/>
  <c r="N79"/>
  <c r="P79"/>
  <c r="Q79"/>
  <c r="N80"/>
  <c r="P80"/>
  <c r="Q80"/>
  <c r="N81"/>
  <c r="P81"/>
  <c r="Q81"/>
  <c r="N82"/>
  <c r="P82"/>
  <c r="Q82"/>
  <c r="N84"/>
  <c r="N83" s="1"/>
  <c r="P84"/>
  <c r="Q84"/>
  <c r="N85"/>
  <c r="P85"/>
  <c r="Q85"/>
  <c r="N86"/>
  <c r="O86"/>
  <c r="P86"/>
  <c r="Q86"/>
  <c r="N87"/>
  <c r="P87"/>
  <c r="Q87"/>
  <c r="N92"/>
  <c r="P92"/>
  <c r="N93"/>
  <c r="P93"/>
  <c r="N94"/>
  <c r="P94"/>
  <c r="N96"/>
  <c r="O96"/>
  <c r="P96"/>
  <c r="Q96"/>
  <c r="N97"/>
  <c r="P97"/>
  <c r="N98"/>
  <c r="P98"/>
  <c r="N99"/>
  <c r="O99"/>
  <c r="P99"/>
  <c r="Q99"/>
  <c r="N100"/>
  <c r="P100"/>
  <c r="N101"/>
  <c r="P101"/>
  <c r="N102"/>
  <c r="P102"/>
  <c r="Q102"/>
  <c r="N103"/>
  <c r="P103"/>
  <c r="N105"/>
  <c r="N104" s="1"/>
  <c r="P105"/>
  <c r="P104" s="1"/>
  <c r="N106"/>
  <c r="P106"/>
  <c r="N107"/>
  <c r="O107"/>
  <c r="P107"/>
  <c r="Q107"/>
  <c r="N108"/>
  <c r="P108"/>
  <c r="N113"/>
  <c r="P113"/>
  <c r="Q113"/>
  <c r="N114"/>
  <c r="P114"/>
  <c r="Q114"/>
  <c r="N115"/>
  <c r="P115"/>
  <c r="Q115"/>
  <c r="N117"/>
  <c r="O117"/>
  <c r="P117"/>
  <c r="Q117"/>
  <c r="N118"/>
  <c r="P118"/>
  <c r="Q118"/>
  <c r="N119"/>
  <c r="P119"/>
  <c r="Q119"/>
  <c r="N120"/>
  <c r="O120"/>
  <c r="P120"/>
  <c r="Q120"/>
  <c r="N121"/>
  <c r="P121"/>
  <c r="Q121"/>
  <c r="N122"/>
  <c r="P122"/>
  <c r="Q122"/>
  <c r="N123"/>
  <c r="P123"/>
  <c r="Q123"/>
  <c r="N124"/>
  <c r="P124"/>
  <c r="Q124"/>
  <c r="N126"/>
  <c r="P126"/>
  <c r="Q126"/>
  <c r="N127"/>
  <c r="P127"/>
  <c r="Q127"/>
  <c r="N128"/>
  <c r="O128"/>
  <c r="P128"/>
  <c r="Q128"/>
  <c r="N129"/>
  <c r="P129"/>
  <c r="Q129"/>
  <c r="N130"/>
  <c r="K35" i="10"/>
  <c r="AC7" i="5" l="1"/>
  <c r="AC41"/>
  <c r="P83" i="8"/>
  <c r="Q83"/>
  <c r="N62"/>
  <c r="N41"/>
  <c r="AC6" i="5" l="1"/>
  <c r="AC5" s="1"/>
  <c r="AN92"/>
  <c r="M4" i="10"/>
  <c r="M7"/>
  <c r="AY79" i="5"/>
  <c r="BA79"/>
  <c r="BA38"/>
  <c r="BA37"/>
  <c r="AY91"/>
  <c r="AY38"/>
  <c r="AY37"/>
  <c r="Z91"/>
  <c r="Z39"/>
  <c r="Z38"/>
  <c r="Z37"/>
  <c r="AC104" l="1"/>
  <c r="AC101"/>
  <c r="H43" i="8" s="1"/>
  <c r="AC102" i="5"/>
  <c r="AC103"/>
  <c r="E7" i="9"/>
  <c r="E29" s="1"/>
  <c r="J7"/>
  <c r="J29" s="1"/>
  <c r="E10"/>
  <c r="E32" s="1"/>
  <c r="J10"/>
  <c r="J32" s="1"/>
  <c r="J12"/>
  <c r="J34" s="1"/>
  <c r="J13"/>
  <c r="J35" s="1"/>
  <c r="J14"/>
  <c r="J36" s="1"/>
  <c r="E15"/>
  <c r="E37" s="1"/>
  <c r="J15"/>
  <c r="J37" s="1"/>
  <c r="E20"/>
  <c r="E41" s="1"/>
  <c r="J20"/>
  <c r="J41" s="1"/>
  <c r="J21"/>
  <c r="J42" s="1"/>
  <c r="E24"/>
  <c r="E45" s="1"/>
  <c r="J24"/>
  <c r="J45" s="1"/>
  <c r="R5"/>
  <c r="J27" s="1"/>
  <c r="M5"/>
  <c r="E27" s="1"/>
  <c r="D18" i="1"/>
  <c r="C24"/>
  <c r="C21"/>
  <c r="C20"/>
  <c r="C7"/>
  <c r="C10"/>
  <c r="C15"/>
  <c r="C5"/>
  <c r="L32" i="3"/>
  <c r="L33"/>
  <c r="L34"/>
  <c r="L35"/>
  <c r="L36"/>
  <c r="L37"/>
  <c r="L40"/>
  <c r="L41"/>
  <c r="L42"/>
  <c r="L43"/>
  <c r="L44"/>
  <c r="L46"/>
  <c r="L48"/>
  <c r="L49"/>
  <c r="L50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D32"/>
  <c r="B23" i="10"/>
  <c r="C27"/>
  <c r="C26"/>
  <c r="C25"/>
  <c r="C24"/>
  <c r="AC105" i="5" l="1"/>
  <c r="C128" i="8"/>
  <c r="C127"/>
  <c r="H32" i="10"/>
  <c r="E40"/>
  <c r="G41"/>
  <c r="H41"/>
  <c r="E42"/>
  <c r="E44"/>
  <c r="E45"/>
  <c r="G21" i="8"/>
  <c r="N22" s="1"/>
  <c r="L124"/>
  <c r="J124"/>
  <c r="Q130" s="1"/>
  <c r="I124"/>
  <c r="P130" s="1"/>
  <c r="H124"/>
  <c r="O130" s="1"/>
  <c r="H24" i="1"/>
  <c r="H15"/>
  <c r="H14"/>
  <c r="H13"/>
  <c r="H12"/>
  <c r="G18"/>
  <c r="M18" i="9" s="1"/>
  <c r="E40" s="1"/>
  <c r="K30" i="3"/>
  <c r="J30"/>
  <c r="H30"/>
  <c r="G30"/>
  <c r="F30"/>
  <c r="E30"/>
  <c r="D30"/>
  <c r="I21" i="8" l="1"/>
  <c r="J21"/>
  <c r="E19" i="10"/>
  <c r="E43" s="1"/>
  <c r="H21" i="8"/>
  <c r="F124"/>
  <c r="M130" s="1"/>
  <c r="P22" l="1"/>
  <c r="G19" i="10"/>
  <c r="G43" s="1"/>
  <c r="Q22" i="8"/>
  <c r="H19" i="10"/>
  <c r="H43" s="1"/>
  <c r="O22" i="8"/>
  <c r="F19" i="10"/>
  <c r="F43" s="1"/>
  <c r="F21" i="8"/>
  <c r="M22" s="1"/>
  <c r="E17" i="10"/>
  <c r="E41" s="1"/>
  <c r="F17"/>
  <c r="F41" s="1"/>
  <c r="E5" i="11"/>
  <c r="E4"/>
  <c r="E68" i="2"/>
  <c r="E67"/>
  <c r="E66"/>
  <c r="E65"/>
  <c r="E63"/>
  <c r="E62"/>
  <c r="E61"/>
  <c r="E60"/>
  <c r="E57"/>
  <c r="E56"/>
  <c r="E55"/>
  <c r="E54"/>
  <c r="E52"/>
  <c r="E51"/>
  <c r="E50"/>
  <c r="E46"/>
  <c r="E45"/>
  <c r="E44"/>
  <c r="E43"/>
  <c r="E41"/>
  <c r="E40"/>
  <c r="E39"/>
  <c r="E38"/>
  <c r="E35"/>
  <c r="E34"/>
  <c r="E33"/>
  <c r="E32"/>
  <c r="E30"/>
  <c r="E29"/>
  <c r="E28"/>
  <c r="E27"/>
  <c r="E24"/>
  <c r="E23"/>
  <c r="E21"/>
  <c r="E20"/>
  <c r="E19"/>
  <c r="E18"/>
  <c r="C4" i="9"/>
  <c r="E8" i="10" s="1"/>
  <c r="E32" s="1"/>
  <c r="F122" i="8"/>
  <c r="M128" s="1"/>
  <c r="F115"/>
  <c r="M120" s="1"/>
  <c r="F112"/>
  <c r="M117" s="1"/>
  <c r="F102"/>
  <c r="M107" s="1"/>
  <c r="F95"/>
  <c r="M99" s="1"/>
  <c r="F92"/>
  <c r="M96" s="1"/>
  <c r="F82"/>
  <c r="M86" s="1"/>
  <c r="F75"/>
  <c r="M78" s="1"/>
  <c r="F72"/>
  <c r="M75" s="1"/>
  <c r="F62"/>
  <c r="M65" s="1"/>
  <c r="F55"/>
  <c r="M57" s="1"/>
  <c r="F52"/>
  <c r="M54" s="1"/>
  <c r="F42"/>
  <c r="M44" s="1"/>
  <c r="F32"/>
  <c r="M33" s="1"/>
  <c r="F17" i="2"/>
  <c r="F49"/>
  <c r="E49" s="1"/>
  <c r="G56" i="8"/>
  <c r="N58" s="1"/>
  <c r="G48"/>
  <c r="G57"/>
  <c r="N59" s="1"/>
  <c r="G36"/>
  <c r="N37" s="1"/>
  <c r="G30"/>
  <c r="N31" s="1"/>
  <c r="G29"/>
  <c r="N30" s="1"/>
  <c r="G28"/>
  <c r="F16" i="2"/>
  <c r="F5" s="1"/>
  <c r="G35" i="8"/>
  <c r="J38"/>
  <c r="Q39" s="1"/>
  <c r="G11"/>
  <c r="N11" s="1"/>
  <c r="G12"/>
  <c r="N12" s="1"/>
  <c r="G13"/>
  <c r="N13" s="1"/>
  <c r="G17"/>
  <c r="N17" s="1"/>
  <c r="G18"/>
  <c r="N18" s="1"/>
  <c r="G19"/>
  <c r="N20" s="1"/>
  <c r="G20"/>
  <c r="N21" s="1"/>
  <c r="G111"/>
  <c r="N116" s="1"/>
  <c r="G107"/>
  <c r="N112" s="1"/>
  <c r="G91"/>
  <c r="N95" s="1"/>
  <c r="G87"/>
  <c r="N91" s="1"/>
  <c r="G71"/>
  <c r="N74" s="1"/>
  <c r="G67"/>
  <c r="N70" s="1"/>
  <c r="G51"/>
  <c r="N53" s="1"/>
  <c r="G31"/>
  <c r="N32" s="1"/>
  <c r="G23"/>
  <c r="N24" s="1"/>
  <c r="G22"/>
  <c r="N23" s="1"/>
  <c r="F3" i="11"/>
  <c r="G22" i="2"/>
  <c r="E22" s="1"/>
  <c r="F59"/>
  <c r="F58" s="1"/>
  <c r="F48"/>
  <c r="F47" s="1"/>
  <c r="F37"/>
  <c r="F36" s="1"/>
  <c r="F26"/>
  <c r="F25" s="1"/>
  <c r="F13"/>
  <c r="F12"/>
  <c r="F11"/>
  <c r="F10"/>
  <c r="F9"/>
  <c r="F8"/>
  <c r="F7"/>
  <c r="J22" i="8"/>
  <c r="Q23" s="1"/>
  <c r="J11"/>
  <c r="Q11" s="1"/>
  <c r="G26" i="12"/>
  <c r="H26"/>
  <c r="I26"/>
  <c r="J26"/>
  <c r="G10"/>
  <c r="H10"/>
  <c r="I10"/>
  <c r="J10"/>
  <c r="G25" i="10"/>
  <c r="H25"/>
  <c r="I25"/>
  <c r="F25"/>
  <c r="N19" i="8" l="1"/>
  <c r="E15" i="10"/>
  <c r="E39" s="1"/>
  <c r="G27" i="8"/>
  <c r="N28" s="1"/>
  <c r="N29"/>
  <c r="G15"/>
  <c r="G16"/>
  <c r="N16" s="1"/>
  <c r="D19" i="10"/>
  <c r="D43" s="1"/>
  <c r="G14" i="8"/>
  <c r="N36"/>
  <c r="G47"/>
  <c r="N49" s="1"/>
  <c r="N50"/>
  <c r="G8"/>
  <c r="N8" s="1"/>
  <c r="E16" i="2"/>
  <c r="F15"/>
  <c r="F14" s="1"/>
  <c r="E17"/>
  <c r="F6"/>
  <c r="G9" i="8"/>
  <c r="N9" s="1"/>
  <c r="G7"/>
  <c r="N7" s="1"/>
  <c r="F4" i="2"/>
  <c r="F3" s="1"/>
  <c r="E7" i="10" s="1"/>
  <c r="E31" s="1"/>
  <c r="E26" i="12"/>
  <c r="E10"/>
  <c r="G106" i="8"/>
  <c r="G86"/>
  <c r="G10"/>
  <c r="G66"/>
  <c r="G6" i="12"/>
  <c r="H6"/>
  <c r="I6"/>
  <c r="J6"/>
  <c r="E46"/>
  <c r="E50"/>
  <c r="E34"/>
  <c r="E38"/>
  <c r="E42"/>
  <c r="E18"/>
  <c r="E22"/>
  <c r="E30"/>
  <c r="E14"/>
  <c r="J21"/>
  <c r="I21"/>
  <c r="J20"/>
  <c r="I20"/>
  <c r="J100" i="5"/>
  <c r="P100"/>
  <c r="T100"/>
  <c r="Y100"/>
  <c r="AA100"/>
  <c r="AH100"/>
  <c r="AJ100"/>
  <c r="AL100"/>
  <c r="AO100"/>
  <c r="AS100"/>
  <c r="AU100"/>
  <c r="BB100"/>
  <c r="J17" i="8"/>
  <c r="Q17" s="1"/>
  <c r="D17" i="10"/>
  <c r="D41" s="1"/>
  <c r="G5" i="11"/>
  <c r="G4"/>
  <c r="E7"/>
  <c r="E6"/>
  <c r="C6"/>
  <c r="H3"/>
  <c r="H98" i="8"/>
  <c r="H14"/>
  <c r="O14" s="1"/>
  <c r="I14"/>
  <c r="I12" i="10"/>
  <c r="K79" i="5"/>
  <c r="K78"/>
  <c r="K77"/>
  <c r="K76"/>
  <c r="K75"/>
  <c r="K74"/>
  <c r="K73"/>
  <c r="K72"/>
  <c r="K71"/>
  <c r="K70"/>
  <c r="K69"/>
  <c r="K68"/>
  <c r="J67"/>
  <c r="K66"/>
  <c r="K65"/>
  <c r="K64"/>
  <c r="K63"/>
  <c r="K62"/>
  <c r="K61"/>
  <c r="K60"/>
  <c r="K59"/>
  <c r="K58"/>
  <c r="K57"/>
  <c r="K56"/>
  <c r="J55"/>
  <c r="K54"/>
  <c r="K53"/>
  <c r="K52"/>
  <c r="K51"/>
  <c r="K50"/>
  <c r="K49"/>
  <c r="K48"/>
  <c r="K47"/>
  <c r="K46"/>
  <c r="K45"/>
  <c r="K44"/>
  <c r="K43"/>
  <c r="J42"/>
  <c r="K40"/>
  <c r="K39"/>
  <c r="K38"/>
  <c r="K37"/>
  <c r="J36"/>
  <c r="K35"/>
  <c r="K34"/>
  <c r="K33"/>
  <c r="K32"/>
  <c r="K31"/>
  <c r="K30"/>
  <c r="K29"/>
  <c r="K28"/>
  <c r="J27"/>
  <c r="K26"/>
  <c r="K25"/>
  <c r="K24"/>
  <c r="K23"/>
  <c r="K22"/>
  <c r="K21"/>
  <c r="K20"/>
  <c r="K19"/>
  <c r="J18"/>
  <c r="K17"/>
  <c r="K16"/>
  <c r="K15"/>
  <c r="K14"/>
  <c r="K13"/>
  <c r="K12"/>
  <c r="K11"/>
  <c r="K10"/>
  <c r="J9"/>
  <c r="K97"/>
  <c r="J97"/>
  <c r="K96"/>
  <c r="K93"/>
  <c r="J93"/>
  <c r="J90"/>
  <c r="K90"/>
  <c r="J89"/>
  <c r="K89" s="1"/>
  <c r="I89" s="1"/>
  <c r="J88"/>
  <c r="K88" s="1"/>
  <c r="I88" s="1"/>
  <c r="J87"/>
  <c r="K87" s="1"/>
  <c r="I87" s="1"/>
  <c r="J86"/>
  <c r="K86" s="1"/>
  <c r="I86" s="1"/>
  <c r="J85"/>
  <c r="K85" s="1"/>
  <c r="I85" s="1"/>
  <c r="J84"/>
  <c r="K84" s="1"/>
  <c r="I84" s="1"/>
  <c r="J83"/>
  <c r="K83" s="1"/>
  <c r="I83" s="1"/>
  <c r="J82"/>
  <c r="K82" s="1"/>
  <c r="I82" s="1"/>
  <c r="I100" l="1"/>
  <c r="G46" i="8"/>
  <c r="N48" s="1"/>
  <c r="G65"/>
  <c r="N69"/>
  <c r="F98"/>
  <c r="M102" s="1"/>
  <c r="O102"/>
  <c r="G26"/>
  <c r="E11" i="10"/>
  <c r="E35" s="1"/>
  <c r="N10" i="8"/>
  <c r="G45"/>
  <c r="E13" i="10"/>
  <c r="E37" s="1"/>
  <c r="N15" i="8"/>
  <c r="G105"/>
  <c r="N111"/>
  <c r="E12" i="10"/>
  <c r="E36" s="1"/>
  <c r="N14" i="8"/>
  <c r="E14" i="10"/>
  <c r="E38" s="1"/>
  <c r="G12"/>
  <c r="G36" s="1"/>
  <c r="P14" i="8"/>
  <c r="G85"/>
  <c r="N90"/>
  <c r="F12" i="10"/>
  <c r="F36" s="1"/>
  <c r="G6" i="8"/>
  <c r="G5" s="1"/>
  <c r="E6" i="10"/>
  <c r="E30" s="1"/>
  <c r="E6" i="12"/>
  <c r="AM100" i="5"/>
  <c r="H100" s="1"/>
  <c r="J8"/>
  <c r="J7" s="1"/>
  <c r="K55"/>
  <c r="K67"/>
  <c r="K27"/>
  <c r="K18"/>
  <c r="I3" i="11"/>
  <c r="J3"/>
  <c r="K9" i="5"/>
  <c r="J41"/>
  <c r="J6" s="1"/>
  <c r="K36"/>
  <c r="K42"/>
  <c r="H89"/>
  <c r="H88"/>
  <c r="H87"/>
  <c r="H85"/>
  <c r="H83"/>
  <c r="H86"/>
  <c r="H84"/>
  <c r="K81"/>
  <c r="J35" i="8" s="1"/>
  <c r="Q36" s="1"/>
  <c r="J81" i="5"/>
  <c r="I59" i="2"/>
  <c r="I58"/>
  <c r="I48"/>
  <c r="I47" s="1"/>
  <c r="I37"/>
  <c r="I36" s="1"/>
  <c r="I26"/>
  <c r="I25" s="1"/>
  <c r="I15"/>
  <c r="I14" s="1"/>
  <c r="I13"/>
  <c r="I12"/>
  <c r="I11"/>
  <c r="I10"/>
  <c r="I9"/>
  <c r="I15" i="12" s="1"/>
  <c r="I16" s="1"/>
  <c r="I8" i="2"/>
  <c r="I7"/>
  <c r="I6"/>
  <c r="I5"/>
  <c r="I4" s="1"/>
  <c r="I3" s="1"/>
  <c r="H24" i="10" s="1"/>
  <c r="AY27" i="5"/>
  <c r="AY18"/>
  <c r="AY9"/>
  <c r="AY42"/>
  <c r="AY67"/>
  <c r="AY55"/>
  <c r="O67"/>
  <c r="O55"/>
  <c r="O42"/>
  <c r="O27"/>
  <c r="O9"/>
  <c r="BA99"/>
  <c r="BA98"/>
  <c r="AT99"/>
  <c r="AT98"/>
  <c r="AR99"/>
  <c r="AR98"/>
  <c r="AP99"/>
  <c r="AP98"/>
  <c r="AN99"/>
  <c r="AN98"/>
  <c r="AK99"/>
  <c r="AK98"/>
  <c r="AI99"/>
  <c r="AI98"/>
  <c r="AG99"/>
  <c r="AG98"/>
  <c r="AE99"/>
  <c r="AE98"/>
  <c r="Z99"/>
  <c r="Z98"/>
  <c r="X99"/>
  <c r="X98"/>
  <c r="V99"/>
  <c r="V98"/>
  <c r="Q99"/>
  <c r="Q98"/>
  <c r="O99"/>
  <c r="P99" s="1"/>
  <c r="O98"/>
  <c r="BA92"/>
  <c r="AZ91"/>
  <c r="AZ37"/>
  <c r="AZ38"/>
  <c r="AP92"/>
  <c r="AR79"/>
  <c r="AT91"/>
  <c r="AR91"/>
  <c r="AT39"/>
  <c r="AT38"/>
  <c r="AR39"/>
  <c r="AR38"/>
  <c r="AR37"/>
  <c r="AP38"/>
  <c r="AN38"/>
  <c r="AI79"/>
  <c r="AK91"/>
  <c r="AI91"/>
  <c r="AG91"/>
  <c r="AK38"/>
  <c r="AI39"/>
  <c r="AI38"/>
  <c r="AI37"/>
  <c r="AG40"/>
  <c r="AG38"/>
  <c r="AZ99"/>
  <c r="AZ98"/>
  <c r="AZ95"/>
  <c r="AZ94"/>
  <c r="AZ92"/>
  <c r="AZ80"/>
  <c r="AZ79"/>
  <c r="H97" i="8" s="1"/>
  <c r="O101" s="1"/>
  <c r="AZ78" i="5"/>
  <c r="AZ77"/>
  <c r="AZ76"/>
  <c r="AZ75"/>
  <c r="AZ74"/>
  <c r="AZ73"/>
  <c r="AZ72"/>
  <c r="AZ71"/>
  <c r="AZ70"/>
  <c r="AZ69"/>
  <c r="AZ68"/>
  <c r="AZ66"/>
  <c r="AZ65"/>
  <c r="AZ64"/>
  <c r="AZ63"/>
  <c r="AZ62"/>
  <c r="AZ61"/>
  <c r="AZ60"/>
  <c r="AZ59"/>
  <c r="AZ58"/>
  <c r="AZ57"/>
  <c r="AZ56"/>
  <c r="AZ54"/>
  <c r="AZ53"/>
  <c r="AZ52"/>
  <c r="AZ51"/>
  <c r="AZ50"/>
  <c r="AZ49"/>
  <c r="AZ48"/>
  <c r="AZ47"/>
  <c r="AZ46"/>
  <c r="AZ45"/>
  <c r="AZ44"/>
  <c r="AZ43"/>
  <c r="AZ40"/>
  <c r="AZ39"/>
  <c r="AZ35"/>
  <c r="AZ34"/>
  <c r="AZ33"/>
  <c r="AZ32"/>
  <c r="AZ31"/>
  <c r="AZ30"/>
  <c r="AZ29"/>
  <c r="AZ28"/>
  <c r="AZ26"/>
  <c r="AZ25"/>
  <c r="AZ24"/>
  <c r="AZ23"/>
  <c r="AZ22"/>
  <c r="AZ21"/>
  <c r="AZ20"/>
  <c r="AZ19"/>
  <c r="AZ17"/>
  <c r="AZ16"/>
  <c r="AZ15"/>
  <c r="AZ14"/>
  <c r="AZ13"/>
  <c r="AZ12"/>
  <c r="AZ11"/>
  <c r="AZ10"/>
  <c r="O91"/>
  <c r="P91" s="1"/>
  <c r="O38"/>
  <c r="P38" s="1"/>
  <c r="P98"/>
  <c r="P95"/>
  <c r="P94"/>
  <c r="P92"/>
  <c r="P80"/>
  <c r="P79"/>
  <c r="J37" i="8" s="1"/>
  <c r="Q38" s="1"/>
  <c r="P78" i="5"/>
  <c r="P77"/>
  <c r="P76"/>
  <c r="P75"/>
  <c r="P74"/>
  <c r="P73"/>
  <c r="P72"/>
  <c r="P71"/>
  <c r="P70"/>
  <c r="P69"/>
  <c r="P68"/>
  <c r="P66"/>
  <c r="P65"/>
  <c r="P64"/>
  <c r="P63"/>
  <c r="P62"/>
  <c r="P61"/>
  <c r="P60"/>
  <c r="P59"/>
  <c r="P58"/>
  <c r="P57"/>
  <c r="P56"/>
  <c r="P54"/>
  <c r="P53"/>
  <c r="P52"/>
  <c r="P51"/>
  <c r="P50"/>
  <c r="P49"/>
  <c r="P48"/>
  <c r="P47"/>
  <c r="P46"/>
  <c r="P45"/>
  <c r="P44"/>
  <c r="P43"/>
  <c r="P40"/>
  <c r="P39"/>
  <c r="P37"/>
  <c r="P35"/>
  <c r="P34"/>
  <c r="P33"/>
  <c r="P32"/>
  <c r="P31"/>
  <c r="P30"/>
  <c r="P29"/>
  <c r="P28"/>
  <c r="P26"/>
  <c r="P25"/>
  <c r="P24"/>
  <c r="P23"/>
  <c r="P22"/>
  <c r="P21"/>
  <c r="P20"/>
  <c r="P19"/>
  <c r="P17"/>
  <c r="P16"/>
  <c r="P15"/>
  <c r="P14"/>
  <c r="P13"/>
  <c r="P12"/>
  <c r="P11"/>
  <c r="P10"/>
  <c r="Q38"/>
  <c r="M92"/>
  <c r="X79"/>
  <c r="X38"/>
  <c r="X37"/>
  <c r="N5" i="8" l="1"/>
  <c r="G4"/>
  <c r="N4" s="1"/>
  <c r="G64"/>
  <c r="N67" s="1"/>
  <c r="N68"/>
  <c r="G84"/>
  <c r="N88" s="1"/>
  <c r="N89"/>
  <c r="G104"/>
  <c r="N109" s="1"/>
  <c r="N110"/>
  <c r="G25"/>
  <c r="N27"/>
  <c r="E10" i="10"/>
  <c r="E34" s="1"/>
  <c r="N6" i="8"/>
  <c r="G44"/>
  <c r="N46" s="1"/>
  <c r="N47"/>
  <c r="H7" i="10"/>
  <c r="H31" s="1"/>
  <c r="I17" i="12"/>
  <c r="I11"/>
  <c r="J14" i="8"/>
  <c r="F35"/>
  <c r="M36" s="1"/>
  <c r="K8" i="5"/>
  <c r="K7" s="1"/>
  <c r="K41"/>
  <c r="E3" i="11"/>
  <c r="O8" i="5"/>
  <c r="O36"/>
  <c r="O90"/>
  <c r="AY36"/>
  <c r="AY8"/>
  <c r="AY41"/>
  <c r="O41"/>
  <c r="P18"/>
  <c r="P55"/>
  <c r="P93"/>
  <c r="P42"/>
  <c r="AZ90"/>
  <c r="H96" i="8" s="1"/>
  <c r="O100" s="1"/>
  <c r="P90" i="5"/>
  <c r="P67"/>
  <c r="P27"/>
  <c r="P9"/>
  <c r="AZ93"/>
  <c r="H99" i="8" s="1"/>
  <c r="O103" s="1"/>
  <c r="AZ42" i="5"/>
  <c r="H93" i="8" s="1"/>
  <c r="O97" s="1"/>
  <c r="AZ67" i="5"/>
  <c r="AZ18"/>
  <c r="AZ9"/>
  <c r="H89" i="8" s="1"/>
  <c r="O93" s="1"/>
  <c r="AZ27" i="5"/>
  <c r="AZ55"/>
  <c r="AZ97"/>
  <c r="H101" i="8" s="1"/>
  <c r="O106" s="1"/>
  <c r="P97" i="5"/>
  <c r="AZ36"/>
  <c r="H88" i="8" s="1"/>
  <c r="O92" s="1"/>
  <c r="P36" i="5"/>
  <c r="X91"/>
  <c r="E9" i="10" l="1"/>
  <c r="E33" s="1"/>
  <c r="G3" i="8"/>
  <c r="N3" s="1"/>
  <c r="G24"/>
  <c r="N25" s="1"/>
  <c r="N26"/>
  <c r="F14"/>
  <c r="M14" s="1"/>
  <c r="Q14"/>
  <c r="I7" i="12"/>
  <c r="I13"/>
  <c r="I9" s="1"/>
  <c r="I12"/>
  <c r="I8" s="1"/>
  <c r="K6" i="5"/>
  <c r="H90" i="8"/>
  <c r="O94" s="1"/>
  <c r="H94"/>
  <c r="O98" s="1"/>
  <c r="G3" i="11"/>
  <c r="H12" i="10"/>
  <c r="I81" i="5"/>
  <c r="H82"/>
  <c r="H81" s="1"/>
  <c r="O7"/>
  <c r="O6" s="1"/>
  <c r="O96" s="1"/>
  <c r="P96" s="1"/>
  <c r="AY7"/>
  <c r="AY6" s="1"/>
  <c r="AY96" s="1"/>
  <c r="AZ96" s="1"/>
  <c r="H100" i="8" s="1"/>
  <c r="O105" s="1"/>
  <c r="O104" s="1"/>
  <c r="P41" i="5"/>
  <c r="P8"/>
  <c r="P7" s="1"/>
  <c r="AZ41"/>
  <c r="AZ8"/>
  <c r="AZ7" s="1"/>
  <c r="E5" i="10" l="1"/>
  <c r="E29" s="1"/>
  <c r="D12"/>
  <c r="D36" s="1"/>
  <c r="H36"/>
  <c r="P6" i="5"/>
  <c r="P5" s="1"/>
  <c r="P104" s="1"/>
  <c r="AZ6"/>
  <c r="AZ5" s="1"/>
  <c r="E4" i="10" l="1"/>
  <c r="E28" s="1"/>
  <c r="AZ101" i="5"/>
  <c r="AZ102"/>
  <c r="AZ103"/>
  <c r="AZ104"/>
  <c r="P102"/>
  <c r="P101"/>
  <c r="P103"/>
  <c r="G4" i="3"/>
  <c r="H4"/>
  <c r="G10" i="2"/>
  <c r="J59"/>
  <c r="H59"/>
  <c r="J48"/>
  <c r="H48"/>
  <c r="J37"/>
  <c r="H37"/>
  <c r="H36" s="1"/>
  <c r="J26"/>
  <c r="H26"/>
  <c r="J15"/>
  <c r="H15"/>
  <c r="H9"/>
  <c r="J9"/>
  <c r="J15" i="12" s="1"/>
  <c r="H10" i="2"/>
  <c r="J10"/>
  <c r="J13"/>
  <c r="H13"/>
  <c r="G13"/>
  <c r="E13" s="1"/>
  <c r="J12"/>
  <c r="H12"/>
  <c r="G12"/>
  <c r="J11"/>
  <c r="H11"/>
  <c r="G6"/>
  <c r="H6"/>
  <c r="J6"/>
  <c r="G7"/>
  <c r="H7"/>
  <c r="H11" i="12" s="1"/>
  <c r="J7" i="2"/>
  <c r="G8"/>
  <c r="H8"/>
  <c r="J8"/>
  <c r="G5"/>
  <c r="H5"/>
  <c r="J5"/>
  <c r="G64"/>
  <c r="G53"/>
  <c r="E53" s="1"/>
  <c r="G42"/>
  <c r="G31"/>
  <c r="C12"/>
  <c r="J58"/>
  <c r="H58"/>
  <c r="J47"/>
  <c r="H47"/>
  <c r="J36"/>
  <c r="J25"/>
  <c r="H25"/>
  <c r="H14"/>
  <c r="J14"/>
  <c r="G15"/>
  <c r="L31" i="3"/>
  <c r="M7" i="9"/>
  <c r="L4" i="3"/>
  <c r="K4"/>
  <c r="J4"/>
  <c r="F4"/>
  <c r="E4"/>
  <c r="D4"/>
  <c r="I21" i="10"/>
  <c r="H21"/>
  <c r="H45" s="1"/>
  <c r="I22" i="8"/>
  <c r="P23" s="1"/>
  <c r="H22"/>
  <c r="O23" s="1"/>
  <c r="K11"/>
  <c r="I11"/>
  <c r="P11" s="1"/>
  <c r="H11"/>
  <c r="O11" s="1"/>
  <c r="K71"/>
  <c r="K67"/>
  <c r="J71"/>
  <c r="Q74" s="1"/>
  <c r="J67"/>
  <c r="Q70" s="1"/>
  <c r="K111"/>
  <c r="J111"/>
  <c r="Q116" s="1"/>
  <c r="K107"/>
  <c r="K106" s="1"/>
  <c r="K105" s="1"/>
  <c r="K104" s="1"/>
  <c r="J107"/>
  <c r="I91"/>
  <c r="P95" s="1"/>
  <c r="H91"/>
  <c r="O95" s="1"/>
  <c r="I87"/>
  <c r="P91" s="1"/>
  <c r="H87"/>
  <c r="O91" s="1"/>
  <c r="H51"/>
  <c r="O53" s="1"/>
  <c r="H47"/>
  <c r="O49" s="1"/>
  <c r="S105" i="5"/>
  <c r="V105"/>
  <c r="X105"/>
  <c r="Z105"/>
  <c r="AE105"/>
  <c r="AG105"/>
  <c r="AI105"/>
  <c r="AK105"/>
  <c r="AN105"/>
  <c r="AP105"/>
  <c r="AR105"/>
  <c r="AT105"/>
  <c r="AW105"/>
  <c r="BA105"/>
  <c r="M105"/>
  <c r="Q105"/>
  <c r="C17" i="7"/>
  <c r="B17"/>
  <c r="C15"/>
  <c r="B15"/>
  <c r="D14"/>
  <c r="D15" s="1"/>
  <c r="C14"/>
  <c r="B14"/>
  <c r="C13"/>
  <c r="B13"/>
  <c r="E12"/>
  <c r="E13" s="1"/>
  <c r="E14" s="1"/>
  <c r="E15" s="1"/>
  <c r="D12"/>
  <c r="C12"/>
  <c r="B12"/>
  <c r="E10"/>
  <c r="C10"/>
  <c r="B10"/>
  <c r="F10" i="3" l="1"/>
  <c r="F18"/>
  <c r="F13"/>
  <c r="F21"/>
  <c r="F8"/>
  <c r="F16"/>
  <c r="F24"/>
  <c r="F11"/>
  <c r="F19"/>
  <c r="F25"/>
  <c r="F14"/>
  <c r="F22"/>
  <c r="F9"/>
  <c r="F17"/>
  <c r="F12"/>
  <c r="F20"/>
  <c r="F6"/>
  <c r="F7"/>
  <c r="F15"/>
  <c r="F23"/>
  <c r="H8"/>
  <c r="J7" i="1" s="1"/>
  <c r="G7" i="9" s="1"/>
  <c r="G29" s="1"/>
  <c r="H16" i="3"/>
  <c r="J15" i="1" s="1"/>
  <c r="G15" i="9" s="1"/>
  <c r="G37" s="1"/>
  <c r="H24" i="3"/>
  <c r="J23" i="1" s="1"/>
  <c r="O23" i="9" s="1"/>
  <c r="G44" s="1"/>
  <c r="H11" i="3"/>
  <c r="J10" i="1" s="1"/>
  <c r="G10" i="9" s="1"/>
  <c r="G32" s="1"/>
  <c r="H19" i="3"/>
  <c r="J18" i="1" s="1"/>
  <c r="O18" i="9" s="1"/>
  <c r="G40" s="1"/>
  <c r="H25" i="3"/>
  <c r="J24" i="1" s="1"/>
  <c r="G24" i="9" s="1"/>
  <c r="G45" s="1"/>
  <c r="H14" i="3"/>
  <c r="J13" i="1" s="1"/>
  <c r="G13" i="9" s="1"/>
  <c r="G35" s="1"/>
  <c r="H22" i="3"/>
  <c r="J21" i="1" s="1"/>
  <c r="G21" i="9" s="1"/>
  <c r="G42" s="1"/>
  <c r="H9" i="3"/>
  <c r="J8" i="1" s="1"/>
  <c r="G8" i="9" s="1"/>
  <c r="G30" s="1"/>
  <c r="H17" i="3"/>
  <c r="J16" i="1" s="1"/>
  <c r="O16" i="9" s="1"/>
  <c r="G38" s="1"/>
  <c r="H12" i="3"/>
  <c r="J11" i="1" s="1"/>
  <c r="G11" i="9" s="1"/>
  <c r="G33" s="1"/>
  <c r="H20" i="3"/>
  <c r="H6"/>
  <c r="H7"/>
  <c r="J6" i="1" s="1"/>
  <c r="G6" i="9" s="1"/>
  <c r="G28" s="1"/>
  <c r="H15" i="3"/>
  <c r="J14" i="1" s="1"/>
  <c r="G14" i="9" s="1"/>
  <c r="G36" s="1"/>
  <c r="H23" i="3"/>
  <c r="J22" i="1" s="1"/>
  <c r="G22" i="9" s="1"/>
  <c r="G43" s="1"/>
  <c r="H10" i="3"/>
  <c r="J9" i="1" s="1"/>
  <c r="G9" i="9" s="1"/>
  <c r="G31" s="1"/>
  <c r="H18" i="3"/>
  <c r="J17" i="1" s="1"/>
  <c r="O17" i="9" s="1"/>
  <c r="G39" s="1"/>
  <c r="H13" i="3"/>
  <c r="J12" i="1" s="1"/>
  <c r="G12" i="9" s="1"/>
  <c r="G34" s="1"/>
  <c r="H21" i="3"/>
  <c r="J20" i="1" s="1"/>
  <c r="G20" i="9" s="1"/>
  <c r="G41" s="1"/>
  <c r="E7" i="3"/>
  <c r="E15"/>
  <c r="E23"/>
  <c r="E10"/>
  <c r="E18"/>
  <c r="E13"/>
  <c r="E21"/>
  <c r="E8"/>
  <c r="E16"/>
  <c r="E24"/>
  <c r="E11"/>
  <c r="E19"/>
  <c r="E25"/>
  <c r="E14"/>
  <c r="E22"/>
  <c r="E9"/>
  <c r="E17"/>
  <c r="E12"/>
  <c r="E20"/>
  <c r="E6"/>
  <c r="L9"/>
  <c r="M8" i="1" s="1"/>
  <c r="L17" i="3"/>
  <c r="M16" i="1" s="1"/>
  <c r="L25" i="3"/>
  <c r="M24" i="1" s="1"/>
  <c r="L8" i="3"/>
  <c r="M7" i="1" s="1"/>
  <c r="L16" i="3"/>
  <c r="M15" i="1" s="1"/>
  <c r="L24" i="3"/>
  <c r="M23" i="1" s="1"/>
  <c r="L7" i="3"/>
  <c r="M6" i="1" s="1"/>
  <c r="L15" i="3"/>
  <c r="M14" i="1" s="1"/>
  <c r="L23" i="3"/>
  <c r="M22" i="1" s="1"/>
  <c r="L14" i="3"/>
  <c r="M13" i="1" s="1"/>
  <c r="L22" i="3"/>
  <c r="M21" i="1" s="1"/>
  <c r="L13" i="3"/>
  <c r="M12" i="1" s="1"/>
  <c r="L21" i="3"/>
  <c r="M20" i="1" s="1"/>
  <c r="L12" i="3"/>
  <c r="M11" i="1" s="1"/>
  <c r="L20" i="3"/>
  <c r="L11"/>
  <c r="M10" i="1" s="1"/>
  <c r="L19" i="3"/>
  <c r="M18" i="1" s="1"/>
  <c r="L10" i="3"/>
  <c r="M9" i="1" s="1"/>
  <c r="L18" i="3"/>
  <c r="M17" i="1" s="1"/>
  <c r="L6" i="3"/>
  <c r="D12"/>
  <c r="D20"/>
  <c r="D7"/>
  <c r="D15"/>
  <c r="D23"/>
  <c r="D10"/>
  <c r="D18"/>
  <c r="D13"/>
  <c r="D21"/>
  <c r="D8"/>
  <c r="D16"/>
  <c r="D24"/>
  <c r="D11"/>
  <c r="D19"/>
  <c r="D25"/>
  <c r="C25" s="1"/>
  <c r="I24" i="1" s="1"/>
  <c r="F24" i="9" s="1"/>
  <c r="F45" s="1"/>
  <c r="D14" i="3"/>
  <c r="D22"/>
  <c r="D9"/>
  <c r="D17"/>
  <c r="G13"/>
  <c r="K12" i="1" s="1"/>
  <c r="H12" i="9" s="1"/>
  <c r="H34" s="1"/>
  <c r="G21" i="3"/>
  <c r="K20" i="1" s="1"/>
  <c r="H20" i="9" s="1"/>
  <c r="H41" s="1"/>
  <c r="G8" i="3"/>
  <c r="K7" i="1" s="1"/>
  <c r="H7" i="9" s="1"/>
  <c r="H29" s="1"/>
  <c r="G16" i="3"/>
  <c r="K15" i="1" s="1"/>
  <c r="H15" i="9" s="1"/>
  <c r="H37" s="1"/>
  <c r="G24" i="3"/>
  <c r="K23" i="1" s="1"/>
  <c r="P23" i="9" s="1"/>
  <c r="H44" s="1"/>
  <c r="G11" i="3"/>
  <c r="K10" i="1" s="1"/>
  <c r="H10" i="9" s="1"/>
  <c r="H32" s="1"/>
  <c r="G19" i="3"/>
  <c r="K18" i="1" s="1"/>
  <c r="P18" i="9" s="1"/>
  <c r="H40" s="1"/>
  <c r="G25" i="3"/>
  <c r="K24" i="1" s="1"/>
  <c r="H24" i="9" s="1"/>
  <c r="H45" s="1"/>
  <c r="G14" i="3"/>
  <c r="K13" i="1" s="1"/>
  <c r="H13" i="9" s="1"/>
  <c r="H35" s="1"/>
  <c r="G22" i="3"/>
  <c r="K21" i="1" s="1"/>
  <c r="H21" i="9" s="1"/>
  <c r="H42" s="1"/>
  <c r="G9" i="3"/>
  <c r="K8" i="1" s="1"/>
  <c r="H8" i="9" s="1"/>
  <c r="H30" s="1"/>
  <c r="G17" i="3"/>
  <c r="K16" i="1" s="1"/>
  <c r="P16" i="9" s="1"/>
  <c r="H38" s="1"/>
  <c r="G12" i="3"/>
  <c r="K11" i="1" s="1"/>
  <c r="H11" i="9" s="1"/>
  <c r="H33" s="1"/>
  <c r="G20" i="3"/>
  <c r="G6"/>
  <c r="G7"/>
  <c r="K6" i="1" s="1"/>
  <c r="H6" i="9" s="1"/>
  <c r="H28" s="1"/>
  <c r="G15" i="3"/>
  <c r="K14" i="1" s="1"/>
  <c r="H14" i="9" s="1"/>
  <c r="H36" s="1"/>
  <c r="G23" i="3"/>
  <c r="K22" i="1" s="1"/>
  <c r="H22" i="9" s="1"/>
  <c r="H43" s="1"/>
  <c r="G10" i="3"/>
  <c r="K9" i="1" s="1"/>
  <c r="H9" i="9" s="1"/>
  <c r="H31" s="1"/>
  <c r="G18" i="3"/>
  <c r="K17" i="1" s="1"/>
  <c r="P17" i="9" s="1"/>
  <c r="H39" s="1"/>
  <c r="J106" i="8"/>
  <c r="Q112"/>
  <c r="E6" i="2"/>
  <c r="E5"/>
  <c r="E10"/>
  <c r="H13" i="12"/>
  <c r="H12"/>
  <c r="E12" i="2"/>
  <c r="G59"/>
  <c r="G58" s="1"/>
  <c r="E64"/>
  <c r="J16" i="12"/>
  <c r="J17"/>
  <c r="G37" i="2"/>
  <c r="G36" s="1"/>
  <c r="E42"/>
  <c r="J11" i="12"/>
  <c r="E8" i="2"/>
  <c r="G26"/>
  <c r="G25" s="1"/>
  <c r="E31"/>
  <c r="G11" i="12"/>
  <c r="E7" i="2"/>
  <c r="K6" i="3"/>
  <c r="K10"/>
  <c r="K14"/>
  <c r="K18"/>
  <c r="K22"/>
  <c r="K9"/>
  <c r="K13"/>
  <c r="K17"/>
  <c r="K21"/>
  <c r="K25"/>
  <c r="K8"/>
  <c r="K12"/>
  <c r="K16"/>
  <c r="K20"/>
  <c r="K24"/>
  <c r="K7"/>
  <c r="K11"/>
  <c r="K15"/>
  <c r="K19"/>
  <c r="K23"/>
  <c r="J12"/>
  <c r="J20"/>
  <c r="J9"/>
  <c r="J17"/>
  <c r="I17" s="1"/>
  <c r="L16" i="1" s="1"/>
  <c r="S16" i="9" s="1"/>
  <c r="K38" s="1"/>
  <c r="J25" i="3"/>
  <c r="J14"/>
  <c r="J22"/>
  <c r="J11"/>
  <c r="I11" s="1"/>
  <c r="L10" i="1" s="1"/>
  <c r="K10" i="9" s="1"/>
  <c r="K32" s="1"/>
  <c r="J19" i="3"/>
  <c r="J8"/>
  <c r="J16"/>
  <c r="J24"/>
  <c r="J13"/>
  <c r="J21"/>
  <c r="J10"/>
  <c r="J18"/>
  <c r="I18" s="1"/>
  <c r="L17" i="1" s="1"/>
  <c r="S17" i="9" s="1"/>
  <c r="K39" s="1"/>
  <c r="J7" i="3"/>
  <c r="I7" s="1"/>
  <c r="L6" i="1" s="1"/>
  <c r="K6" i="9" s="1"/>
  <c r="K28" s="1"/>
  <c r="J15" i="3"/>
  <c r="J23"/>
  <c r="L30"/>
  <c r="J6"/>
  <c r="I9"/>
  <c r="L8" i="1" s="1"/>
  <c r="K8" i="9" s="1"/>
  <c r="K30" s="1"/>
  <c r="I16" i="3"/>
  <c r="L15" i="1" s="1"/>
  <c r="K15" i="9" s="1"/>
  <c r="K37" s="1"/>
  <c r="C9" i="3"/>
  <c r="I8" i="1" s="1"/>
  <c r="F8" i="9" s="1"/>
  <c r="F30" s="1"/>
  <c r="C14" i="3"/>
  <c r="I13" i="1" s="1"/>
  <c r="F13" i="9" s="1"/>
  <c r="F35" s="1"/>
  <c r="C13" i="3"/>
  <c r="I12" i="1" s="1"/>
  <c r="F12" i="9" s="1"/>
  <c r="F34" s="1"/>
  <c r="C15" i="3"/>
  <c r="I14" i="1" s="1"/>
  <c r="F14" i="9" s="1"/>
  <c r="F36" s="1"/>
  <c r="F11" i="8"/>
  <c r="M11" s="1"/>
  <c r="K66"/>
  <c r="K65" s="1"/>
  <c r="K64" s="1"/>
  <c r="F22"/>
  <c r="M23" s="1"/>
  <c r="J66"/>
  <c r="H15" i="12"/>
  <c r="H17" s="1"/>
  <c r="H103" i="8"/>
  <c r="O108" s="1"/>
  <c r="J4" i="2"/>
  <c r="J3" s="1"/>
  <c r="I24" i="10" s="1"/>
  <c r="G11" i="2"/>
  <c r="E11" s="1"/>
  <c r="H4"/>
  <c r="G7" i="10" s="1"/>
  <c r="G31" s="1"/>
  <c r="P105" i="5"/>
  <c r="AZ105"/>
  <c r="E59" i="2"/>
  <c r="E58" s="1"/>
  <c r="G9"/>
  <c r="E9" s="1"/>
  <c r="G48"/>
  <c r="G47" s="1"/>
  <c r="E48"/>
  <c r="E47" s="1"/>
  <c r="M5" i="1"/>
  <c r="D6" i="3"/>
  <c r="H46" i="8"/>
  <c r="I86"/>
  <c r="H86"/>
  <c r="I85" l="1"/>
  <c r="P89" s="1"/>
  <c r="P90"/>
  <c r="H45"/>
  <c r="O48"/>
  <c r="J105"/>
  <c r="Q111"/>
  <c r="J65"/>
  <c r="Q69"/>
  <c r="H85"/>
  <c r="O89" s="1"/>
  <c r="O90"/>
  <c r="I13" i="3"/>
  <c r="L12" i="1" s="1"/>
  <c r="K12" i="9" s="1"/>
  <c r="K34" s="1"/>
  <c r="J7" i="12"/>
  <c r="J12"/>
  <c r="J8" s="1"/>
  <c r="J13"/>
  <c r="J9" s="1"/>
  <c r="G13"/>
  <c r="E11"/>
  <c r="G12"/>
  <c r="E12" s="1"/>
  <c r="I15" i="3"/>
  <c r="L14" i="1" s="1"/>
  <c r="K14" i="9" s="1"/>
  <c r="K36" s="1"/>
  <c r="C16" i="3"/>
  <c r="I15" i="1" s="1"/>
  <c r="F15" i="9" s="1"/>
  <c r="F37" s="1"/>
  <c r="C17" i="3"/>
  <c r="I16" i="1" s="1"/>
  <c r="N16" i="9" s="1"/>
  <c r="F38" s="1"/>
  <c r="I14" i="3"/>
  <c r="L13" i="1" s="1"/>
  <c r="K13" i="9" s="1"/>
  <c r="K35" s="1"/>
  <c r="I25" i="3"/>
  <c r="I10"/>
  <c r="L9" i="1" s="1"/>
  <c r="K9" i="9" s="1"/>
  <c r="K31" s="1"/>
  <c r="C18" i="3"/>
  <c r="I17" i="1" s="1"/>
  <c r="N17" i="9" s="1"/>
  <c r="F39" s="1"/>
  <c r="C7" i="3"/>
  <c r="I6" i="1" s="1"/>
  <c r="F6" i="9" s="1"/>
  <c r="F28" s="1"/>
  <c r="C10" i="3"/>
  <c r="I9" i="1" s="1"/>
  <c r="F9" i="9" s="1"/>
  <c r="F31" s="1"/>
  <c r="F15" i="1"/>
  <c r="M4"/>
  <c r="H16" i="12"/>
  <c r="H3" i="2"/>
  <c r="G24" i="10" s="1"/>
  <c r="G15" i="12"/>
  <c r="I84" i="8"/>
  <c r="P88" s="1"/>
  <c r="C23" i="3"/>
  <c r="I22" i="1" s="1"/>
  <c r="F22" i="9" s="1"/>
  <c r="F43" s="1"/>
  <c r="G14" i="2"/>
  <c r="I7" i="10"/>
  <c r="I6" s="1"/>
  <c r="I24" i="3"/>
  <c r="L23" i="1" s="1"/>
  <c r="S23" i="9" s="1"/>
  <c r="K44" s="1"/>
  <c r="I23" i="3"/>
  <c r="L22" i="1" s="1"/>
  <c r="K22" i="9" s="1"/>
  <c r="K43" s="1"/>
  <c r="C24" i="3"/>
  <c r="I23" i="1" s="1"/>
  <c r="N23" i="9" s="1"/>
  <c r="F44" s="1"/>
  <c r="I21" i="3"/>
  <c r="L20" i="1" s="1"/>
  <c r="K20" i="9" s="1"/>
  <c r="K41" s="1"/>
  <c r="C21" i="3"/>
  <c r="I20" i="1" s="1"/>
  <c r="F20" i="9" s="1"/>
  <c r="F41" s="1"/>
  <c r="L5" i="3"/>
  <c r="J5"/>
  <c r="H6" i="10"/>
  <c r="H30" s="1"/>
  <c r="G4" i="2"/>
  <c r="F7" i="10" s="1"/>
  <c r="F31" s="1"/>
  <c r="G5" i="3"/>
  <c r="I12"/>
  <c r="L11" i="1" s="1"/>
  <c r="K11" i="9" s="1"/>
  <c r="K33" s="1"/>
  <c r="I20" i="3"/>
  <c r="I22"/>
  <c r="L21" i="1" s="1"/>
  <c r="K21" i="9" s="1"/>
  <c r="K42" s="1"/>
  <c r="E5" i="3"/>
  <c r="H5"/>
  <c r="F5"/>
  <c r="I19"/>
  <c r="L18" i="1" s="1"/>
  <c r="S18" i="9" s="1"/>
  <c r="K40" s="1"/>
  <c r="I8" i="3"/>
  <c r="K5"/>
  <c r="I6"/>
  <c r="BA90" i="5"/>
  <c r="AW90"/>
  <c r="AT90"/>
  <c r="AR90"/>
  <c r="AP90"/>
  <c r="AN90"/>
  <c r="AK90"/>
  <c r="AI90"/>
  <c r="AG90"/>
  <c r="AE90"/>
  <c r="Z90"/>
  <c r="X90"/>
  <c r="V90"/>
  <c r="S90"/>
  <c r="Q90"/>
  <c r="M90"/>
  <c r="BA67"/>
  <c r="AW67"/>
  <c r="AT67"/>
  <c r="AR67"/>
  <c r="AP67"/>
  <c r="AN67"/>
  <c r="AK67"/>
  <c r="AI67"/>
  <c r="AG67"/>
  <c r="AE67"/>
  <c r="Z67"/>
  <c r="X67"/>
  <c r="V67"/>
  <c r="S67"/>
  <c r="M67"/>
  <c r="BA55"/>
  <c r="AW55"/>
  <c r="AT55"/>
  <c r="AR55"/>
  <c r="AP55"/>
  <c r="AN55"/>
  <c r="AK55"/>
  <c r="AI55"/>
  <c r="AG55"/>
  <c r="AH54"/>
  <c r="AE55"/>
  <c r="Z55"/>
  <c r="X55"/>
  <c r="V55"/>
  <c r="S55"/>
  <c r="M55"/>
  <c r="BA42"/>
  <c r="AW42"/>
  <c r="AT42"/>
  <c r="AR42"/>
  <c r="AP42"/>
  <c r="AN42"/>
  <c r="AK42"/>
  <c r="AI42"/>
  <c r="AG42"/>
  <c r="AE42"/>
  <c r="Z42"/>
  <c r="X42"/>
  <c r="V42"/>
  <c r="S42"/>
  <c r="M42"/>
  <c r="Q67"/>
  <c r="Q55"/>
  <c r="Q42"/>
  <c r="BA36"/>
  <c r="AW36"/>
  <c r="AT36"/>
  <c r="AR36"/>
  <c r="AP36"/>
  <c r="AN36"/>
  <c r="AK36"/>
  <c r="AI36"/>
  <c r="AG36"/>
  <c r="AE36"/>
  <c r="Z36"/>
  <c r="X36"/>
  <c r="V36"/>
  <c r="S36"/>
  <c r="M36"/>
  <c r="Q36"/>
  <c r="BA27"/>
  <c r="AW27"/>
  <c r="AT27"/>
  <c r="AR27"/>
  <c r="AP27"/>
  <c r="AN27"/>
  <c r="AK27"/>
  <c r="AI27"/>
  <c r="AG27"/>
  <c r="AE27"/>
  <c r="Z27"/>
  <c r="X27"/>
  <c r="V27"/>
  <c r="S27"/>
  <c r="Q27"/>
  <c r="M27"/>
  <c r="BA18"/>
  <c r="AW18"/>
  <c r="AT18"/>
  <c r="AR18"/>
  <c r="AP18"/>
  <c r="AN18"/>
  <c r="AK18"/>
  <c r="AI18"/>
  <c r="AG18"/>
  <c r="AE18"/>
  <c r="Z18"/>
  <c r="X18"/>
  <c r="V18"/>
  <c r="S18"/>
  <c r="Q18"/>
  <c r="M18"/>
  <c r="S9"/>
  <c r="M9"/>
  <c r="BA9"/>
  <c r="AW9"/>
  <c r="AT9"/>
  <c r="AR9"/>
  <c r="AP9"/>
  <c r="AN9"/>
  <c r="AK9"/>
  <c r="AI9"/>
  <c r="AG9"/>
  <c r="AE9"/>
  <c r="X9"/>
  <c r="Z9"/>
  <c r="V9"/>
  <c r="Q9"/>
  <c r="AQ99"/>
  <c r="AQ98"/>
  <c r="AQ95"/>
  <c r="AQ94"/>
  <c r="AQ92"/>
  <c r="AQ91"/>
  <c r="AQ80"/>
  <c r="AQ79"/>
  <c r="AQ78"/>
  <c r="AQ77"/>
  <c r="AQ76"/>
  <c r="AQ75"/>
  <c r="AQ74"/>
  <c r="AQ73"/>
  <c r="AQ72"/>
  <c r="AQ71"/>
  <c r="AQ70"/>
  <c r="AQ69"/>
  <c r="AQ68"/>
  <c r="AQ66"/>
  <c r="AQ65"/>
  <c r="AQ64"/>
  <c r="AQ63"/>
  <c r="AQ62"/>
  <c r="AQ61"/>
  <c r="AQ60"/>
  <c r="AQ59"/>
  <c r="AQ58"/>
  <c r="AQ57"/>
  <c r="AQ56"/>
  <c r="AQ54"/>
  <c r="AQ53"/>
  <c r="AQ52"/>
  <c r="AQ51"/>
  <c r="AQ50"/>
  <c r="AQ49"/>
  <c r="AQ48"/>
  <c r="AQ47"/>
  <c r="AQ46"/>
  <c r="AQ45"/>
  <c r="AQ44"/>
  <c r="AQ43"/>
  <c r="AQ40"/>
  <c r="AQ39"/>
  <c r="AQ38"/>
  <c r="AQ37"/>
  <c r="AQ35"/>
  <c r="AQ34"/>
  <c r="AQ33"/>
  <c r="AQ32"/>
  <c r="AQ31"/>
  <c r="AQ30"/>
  <c r="AQ29"/>
  <c r="AQ28"/>
  <c r="AQ26"/>
  <c r="AQ25"/>
  <c r="AQ24"/>
  <c r="AQ23"/>
  <c r="AQ22"/>
  <c r="AQ21"/>
  <c r="AQ20"/>
  <c r="AQ19"/>
  <c r="AQ17"/>
  <c r="AQ16"/>
  <c r="AQ15"/>
  <c r="AQ14"/>
  <c r="AQ13"/>
  <c r="AQ12"/>
  <c r="AQ11"/>
  <c r="AQ10"/>
  <c r="AO99"/>
  <c r="AO98"/>
  <c r="AO95"/>
  <c r="AO94"/>
  <c r="AO92"/>
  <c r="AO91"/>
  <c r="AO80"/>
  <c r="AO79"/>
  <c r="AO78"/>
  <c r="AO77"/>
  <c r="AO76"/>
  <c r="AO75"/>
  <c r="AO74"/>
  <c r="AO73"/>
  <c r="AO72"/>
  <c r="AO71"/>
  <c r="AO70"/>
  <c r="AO69"/>
  <c r="AO68"/>
  <c r="AO66"/>
  <c r="AO65"/>
  <c r="AO64"/>
  <c r="AO63"/>
  <c r="AO62"/>
  <c r="AO61"/>
  <c r="AO60"/>
  <c r="AO59"/>
  <c r="AO58"/>
  <c r="AO57"/>
  <c r="AO56"/>
  <c r="AO54"/>
  <c r="AO53"/>
  <c r="AO52"/>
  <c r="AO51"/>
  <c r="AO50"/>
  <c r="AO49"/>
  <c r="AO48"/>
  <c r="AO47"/>
  <c r="AO46"/>
  <c r="AO45"/>
  <c r="AO44"/>
  <c r="AO43"/>
  <c r="AO40"/>
  <c r="AO39"/>
  <c r="AO38"/>
  <c r="AO37"/>
  <c r="AO35"/>
  <c r="AO34"/>
  <c r="AO33"/>
  <c r="AO32"/>
  <c r="AO31"/>
  <c r="AO30"/>
  <c r="AO29"/>
  <c r="AO28"/>
  <c r="AO26"/>
  <c r="AO25"/>
  <c r="AO24"/>
  <c r="AO23"/>
  <c r="AO22"/>
  <c r="AO21"/>
  <c r="AO20"/>
  <c r="AO19"/>
  <c r="AO17"/>
  <c r="AO16"/>
  <c r="AO15"/>
  <c r="AO14"/>
  <c r="AO13"/>
  <c r="AO12"/>
  <c r="AO11"/>
  <c r="AO10"/>
  <c r="AF99"/>
  <c r="AF98"/>
  <c r="AF95"/>
  <c r="AF94"/>
  <c r="AF92"/>
  <c r="AF91"/>
  <c r="AF80"/>
  <c r="AF79"/>
  <c r="J57" i="8" s="1"/>
  <c r="Q59" s="1"/>
  <c r="AF78" i="5"/>
  <c r="AF77"/>
  <c r="AF76"/>
  <c r="AF75"/>
  <c r="AF74"/>
  <c r="AF73"/>
  <c r="AF72"/>
  <c r="AF71"/>
  <c r="AF70"/>
  <c r="AF69"/>
  <c r="AF68"/>
  <c r="AF66"/>
  <c r="AF65"/>
  <c r="AF64"/>
  <c r="AF63"/>
  <c r="AF62"/>
  <c r="AF61"/>
  <c r="AF60"/>
  <c r="AF59"/>
  <c r="AF58"/>
  <c r="AF57"/>
  <c r="AF56"/>
  <c r="AF54"/>
  <c r="AF53"/>
  <c r="AF52"/>
  <c r="AF51"/>
  <c r="AF50"/>
  <c r="AF49"/>
  <c r="AF48"/>
  <c r="AF47"/>
  <c r="AF46"/>
  <c r="AF45"/>
  <c r="AF44"/>
  <c r="AF43"/>
  <c r="AF40"/>
  <c r="AF39"/>
  <c r="AF38"/>
  <c r="AF37"/>
  <c r="AF35"/>
  <c r="AF34"/>
  <c r="AF33"/>
  <c r="AF32"/>
  <c r="AF31"/>
  <c r="AF30"/>
  <c r="AF29"/>
  <c r="AF28"/>
  <c r="AF26"/>
  <c r="AF25"/>
  <c r="AF24"/>
  <c r="AF23"/>
  <c r="AF22"/>
  <c r="AF21"/>
  <c r="AF20"/>
  <c r="AF19"/>
  <c r="AF17"/>
  <c r="AF16"/>
  <c r="AF15"/>
  <c r="AF14"/>
  <c r="AF13"/>
  <c r="AF12"/>
  <c r="AF11"/>
  <c r="AF10"/>
  <c r="W99"/>
  <c r="W98"/>
  <c r="W95"/>
  <c r="W94"/>
  <c r="W92"/>
  <c r="W91"/>
  <c r="W80"/>
  <c r="W79"/>
  <c r="W78"/>
  <c r="W77"/>
  <c r="W76"/>
  <c r="W75"/>
  <c r="W74"/>
  <c r="W73"/>
  <c r="W72"/>
  <c r="W71"/>
  <c r="W70"/>
  <c r="W69"/>
  <c r="W68"/>
  <c r="W66"/>
  <c r="W65"/>
  <c r="W64"/>
  <c r="W63"/>
  <c r="W62"/>
  <c r="W61"/>
  <c r="W60"/>
  <c r="W59"/>
  <c r="W58"/>
  <c r="W57"/>
  <c r="W56"/>
  <c r="W54"/>
  <c r="W53"/>
  <c r="W52"/>
  <c r="W51"/>
  <c r="W50"/>
  <c r="W49"/>
  <c r="W48"/>
  <c r="W47"/>
  <c r="W46"/>
  <c r="W45"/>
  <c r="W44"/>
  <c r="W43"/>
  <c r="W40"/>
  <c r="W39"/>
  <c r="W38"/>
  <c r="W37"/>
  <c r="W35"/>
  <c r="W34"/>
  <c r="W33"/>
  <c r="W32"/>
  <c r="W31"/>
  <c r="W30"/>
  <c r="W29"/>
  <c r="W28"/>
  <c r="W26"/>
  <c r="W25"/>
  <c r="W24"/>
  <c r="W23"/>
  <c r="W22"/>
  <c r="W21"/>
  <c r="W20"/>
  <c r="W19"/>
  <c r="W17"/>
  <c r="W16"/>
  <c r="W15"/>
  <c r="W14"/>
  <c r="W13"/>
  <c r="W12"/>
  <c r="W11"/>
  <c r="W10"/>
  <c r="BB99"/>
  <c r="BB98"/>
  <c r="BB95"/>
  <c r="BB94"/>
  <c r="BB92"/>
  <c r="BB91"/>
  <c r="BB80"/>
  <c r="BB79"/>
  <c r="BB78"/>
  <c r="BB77"/>
  <c r="BB76"/>
  <c r="BB75"/>
  <c r="BB74"/>
  <c r="BB73"/>
  <c r="BB72"/>
  <c r="BB71"/>
  <c r="BB70"/>
  <c r="BB69"/>
  <c r="BB68"/>
  <c r="BB66"/>
  <c r="BB65"/>
  <c r="BB64"/>
  <c r="BB63"/>
  <c r="BB62"/>
  <c r="BB61"/>
  <c r="BB60"/>
  <c r="BB59"/>
  <c r="BB58"/>
  <c r="BB57"/>
  <c r="BB56"/>
  <c r="BB54"/>
  <c r="BB53"/>
  <c r="BB52"/>
  <c r="BB51"/>
  <c r="BB50"/>
  <c r="BB49"/>
  <c r="BB48"/>
  <c r="BB47"/>
  <c r="BB46"/>
  <c r="BB45"/>
  <c r="BB44"/>
  <c r="BB43"/>
  <c r="BB40"/>
  <c r="BB39"/>
  <c r="BB38"/>
  <c r="BB37"/>
  <c r="BB35"/>
  <c r="BB34"/>
  <c r="BB33"/>
  <c r="BB32"/>
  <c r="BB31"/>
  <c r="BB30"/>
  <c r="BB29"/>
  <c r="BB28"/>
  <c r="BB26"/>
  <c r="BB25"/>
  <c r="BB24"/>
  <c r="BB23"/>
  <c r="BB22"/>
  <c r="BB21"/>
  <c r="BB20"/>
  <c r="BB19"/>
  <c r="BB17"/>
  <c r="BB16"/>
  <c r="BB15"/>
  <c r="BB14"/>
  <c r="BB13"/>
  <c r="BB12"/>
  <c r="BB11"/>
  <c r="BB10"/>
  <c r="AX99"/>
  <c r="AV99" s="1"/>
  <c r="AX98"/>
  <c r="AV98" s="1"/>
  <c r="AX95"/>
  <c r="AV95" s="1"/>
  <c r="AX94"/>
  <c r="AV94" s="1"/>
  <c r="AX92"/>
  <c r="AV92" s="1"/>
  <c r="AX91"/>
  <c r="AV91" s="1"/>
  <c r="AX80"/>
  <c r="AV80" s="1"/>
  <c r="AX79"/>
  <c r="J97" i="8" s="1"/>
  <c r="AX78" i="5"/>
  <c r="AV78" s="1"/>
  <c r="AX77"/>
  <c r="AV77" s="1"/>
  <c r="AX76"/>
  <c r="AV76" s="1"/>
  <c r="AX75"/>
  <c r="AV75" s="1"/>
  <c r="AX74"/>
  <c r="AV74" s="1"/>
  <c r="AX73"/>
  <c r="AV73" s="1"/>
  <c r="AX72"/>
  <c r="AV72" s="1"/>
  <c r="AX71"/>
  <c r="AV71" s="1"/>
  <c r="AX70"/>
  <c r="AV70" s="1"/>
  <c r="AX69"/>
  <c r="AV69" s="1"/>
  <c r="AX68"/>
  <c r="AV68" s="1"/>
  <c r="AX66"/>
  <c r="AV66" s="1"/>
  <c r="AX65"/>
  <c r="AV65" s="1"/>
  <c r="AX64"/>
  <c r="AV64" s="1"/>
  <c r="AX63"/>
  <c r="AV63" s="1"/>
  <c r="AX62"/>
  <c r="AV62" s="1"/>
  <c r="AX61"/>
  <c r="AV61" s="1"/>
  <c r="AX60"/>
  <c r="AV60" s="1"/>
  <c r="AX59"/>
  <c r="AV59" s="1"/>
  <c r="AX58"/>
  <c r="AV58" s="1"/>
  <c r="AX57"/>
  <c r="AV57" s="1"/>
  <c r="AX56"/>
  <c r="AV56" s="1"/>
  <c r="AX54"/>
  <c r="AV54" s="1"/>
  <c r="AX53"/>
  <c r="AV53" s="1"/>
  <c r="AX52"/>
  <c r="AV52" s="1"/>
  <c r="AX51"/>
  <c r="AV51" s="1"/>
  <c r="AX50"/>
  <c r="AV50" s="1"/>
  <c r="AX49"/>
  <c r="AV49" s="1"/>
  <c r="AX48"/>
  <c r="AV48" s="1"/>
  <c r="AX47"/>
  <c r="AV47" s="1"/>
  <c r="AX46"/>
  <c r="AV46" s="1"/>
  <c r="AX45"/>
  <c r="AV45" s="1"/>
  <c r="AX44"/>
  <c r="AV44" s="1"/>
  <c r="AX43"/>
  <c r="AV43" s="1"/>
  <c r="AX40"/>
  <c r="AV40" s="1"/>
  <c r="AX39"/>
  <c r="AV39" s="1"/>
  <c r="AX38"/>
  <c r="AV38" s="1"/>
  <c r="AX37"/>
  <c r="AV37" s="1"/>
  <c r="AX35"/>
  <c r="AV35" s="1"/>
  <c r="AX34"/>
  <c r="AV34" s="1"/>
  <c r="AX33"/>
  <c r="AV33" s="1"/>
  <c r="AX32"/>
  <c r="AV32" s="1"/>
  <c r="AX31"/>
  <c r="AV31" s="1"/>
  <c r="AX30"/>
  <c r="AV30" s="1"/>
  <c r="AX29"/>
  <c r="AV29" s="1"/>
  <c r="AX28"/>
  <c r="AV28" s="1"/>
  <c r="AX26"/>
  <c r="AV26" s="1"/>
  <c r="AX25"/>
  <c r="AV25" s="1"/>
  <c r="AX24"/>
  <c r="AV24" s="1"/>
  <c r="AX23"/>
  <c r="AV23" s="1"/>
  <c r="AX22"/>
  <c r="AV22" s="1"/>
  <c r="AX21"/>
  <c r="AV21" s="1"/>
  <c r="AX20"/>
  <c r="AV20" s="1"/>
  <c r="AX19"/>
  <c r="AV19" s="1"/>
  <c r="AX17"/>
  <c r="AV17" s="1"/>
  <c r="AX16"/>
  <c r="AV16" s="1"/>
  <c r="AX15"/>
  <c r="AV15" s="1"/>
  <c r="AX14"/>
  <c r="AV14" s="1"/>
  <c r="AX13"/>
  <c r="AV13" s="1"/>
  <c r="AX12"/>
  <c r="AV12" s="1"/>
  <c r="AX11"/>
  <c r="AV11" s="1"/>
  <c r="AX10"/>
  <c r="AV10" s="1"/>
  <c r="AU99"/>
  <c r="AU98"/>
  <c r="AU95"/>
  <c r="AU94"/>
  <c r="AU92"/>
  <c r="AU91"/>
  <c r="AU80"/>
  <c r="AU79"/>
  <c r="AU78"/>
  <c r="AU77"/>
  <c r="AU76"/>
  <c r="AU75"/>
  <c r="AU74"/>
  <c r="AU73"/>
  <c r="AU72"/>
  <c r="AU71"/>
  <c r="AU70"/>
  <c r="AU69"/>
  <c r="AU68"/>
  <c r="AU66"/>
  <c r="AU65"/>
  <c r="AU64"/>
  <c r="AU63"/>
  <c r="AU62"/>
  <c r="AU61"/>
  <c r="AU60"/>
  <c r="AU59"/>
  <c r="AU58"/>
  <c r="AU57"/>
  <c r="AU56"/>
  <c r="AU54"/>
  <c r="AU53"/>
  <c r="AU52"/>
  <c r="AU51"/>
  <c r="AU50"/>
  <c r="AU49"/>
  <c r="AU48"/>
  <c r="AU47"/>
  <c r="AU46"/>
  <c r="AU45"/>
  <c r="AU44"/>
  <c r="AU43"/>
  <c r="AU40"/>
  <c r="AU39"/>
  <c r="AU38"/>
  <c r="AU37"/>
  <c r="AU35"/>
  <c r="AU34"/>
  <c r="AU33"/>
  <c r="AU32"/>
  <c r="AU31"/>
  <c r="AU30"/>
  <c r="AU29"/>
  <c r="AU28"/>
  <c r="AU26"/>
  <c r="AU25"/>
  <c r="AU24"/>
  <c r="AU23"/>
  <c r="AU22"/>
  <c r="AU21"/>
  <c r="AU20"/>
  <c r="AU19"/>
  <c r="AU17"/>
  <c r="AU16"/>
  <c r="AU15"/>
  <c r="AU14"/>
  <c r="AU13"/>
  <c r="AU12"/>
  <c r="AU11"/>
  <c r="AU10"/>
  <c r="AS99"/>
  <c r="AS98"/>
  <c r="AS95"/>
  <c r="AS94"/>
  <c r="AS92"/>
  <c r="AS91"/>
  <c r="AS80"/>
  <c r="AS79"/>
  <c r="AS78"/>
  <c r="AS77"/>
  <c r="AS76"/>
  <c r="AS75"/>
  <c r="AS74"/>
  <c r="AS73"/>
  <c r="AS72"/>
  <c r="AS71"/>
  <c r="AS70"/>
  <c r="AS69"/>
  <c r="AS68"/>
  <c r="AS66"/>
  <c r="AS65"/>
  <c r="AS64"/>
  <c r="AS63"/>
  <c r="AS62"/>
  <c r="AS61"/>
  <c r="AS60"/>
  <c r="AS59"/>
  <c r="AS58"/>
  <c r="AS57"/>
  <c r="AS56"/>
  <c r="AS54"/>
  <c r="AS53"/>
  <c r="AS52"/>
  <c r="AS51"/>
  <c r="AS50"/>
  <c r="AS49"/>
  <c r="AS48"/>
  <c r="AS47"/>
  <c r="AS46"/>
  <c r="AS45"/>
  <c r="AS44"/>
  <c r="AS43"/>
  <c r="AS40"/>
  <c r="AS39"/>
  <c r="AS38"/>
  <c r="AS37"/>
  <c r="AS35"/>
  <c r="AS34"/>
  <c r="AS33"/>
  <c r="AS32"/>
  <c r="AS31"/>
  <c r="AS30"/>
  <c r="AS29"/>
  <c r="AS28"/>
  <c r="AS26"/>
  <c r="AS25"/>
  <c r="AS24"/>
  <c r="AS23"/>
  <c r="AS22"/>
  <c r="AS21"/>
  <c r="AS20"/>
  <c r="AS19"/>
  <c r="AS17"/>
  <c r="AS16"/>
  <c r="AS15"/>
  <c r="AS14"/>
  <c r="AS13"/>
  <c r="AS12"/>
  <c r="AS11"/>
  <c r="AS10"/>
  <c r="AL99"/>
  <c r="AL98"/>
  <c r="AL95"/>
  <c r="AL94"/>
  <c r="AL92"/>
  <c r="AL91"/>
  <c r="AL80"/>
  <c r="AL79"/>
  <c r="AL78"/>
  <c r="AL77"/>
  <c r="AL76"/>
  <c r="AL75"/>
  <c r="AL74"/>
  <c r="AL73"/>
  <c r="AL72"/>
  <c r="AL71"/>
  <c r="AL70"/>
  <c r="AL69"/>
  <c r="AL68"/>
  <c r="AL66"/>
  <c r="AL65"/>
  <c r="AL64"/>
  <c r="AL63"/>
  <c r="AL62"/>
  <c r="AL61"/>
  <c r="AL60"/>
  <c r="AL59"/>
  <c r="AL58"/>
  <c r="AL57"/>
  <c r="AL56"/>
  <c r="AL54"/>
  <c r="AL53"/>
  <c r="AL52"/>
  <c r="AL51"/>
  <c r="AL50"/>
  <c r="AL49"/>
  <c r="AL48"/>
  <c r="AL47"/>
  <c r="AL46"/>
  <c r="AL45"/>
  <c r="AL44"/>
  <c r="AL43"/>
  <c r="AL40"/>
  <c r="AL39"/>
  <c r="AL38"/>
  <c r="AL37"/>
  <c r="AL35"/>
  <c r="AL34"/>
  <c r="AL33"/>
  <c r="AL32"/>
  <c r="AL31"/>
  <c r="AL30"/>
  <c r="AL29"/>
  <c r="AL28"/>
  <c r="AL26"/>
  <c r="AL25"/>
  <c r="AL24"/>
  <c r="AL23"/>
  <c r="AL22"/>
  <c r="AL21"/>
  <c r="AL20"/>
  <c r="AL19"/>
  <c r="AL17"/>
  <c r="AL16"/>
  <c r="AL15"/>
  <c r="AL14"/>
  <c r="AL13"/>
  <c r="AL12"/>
  <c r="AL11"/>
  <c r="AL10"/>
  <c r="AJ99"/>
  <c r="AJ98"/>
  <c r="AJ95"/>
  <c r="AJ94"/>
  <c r="AJ92"/>
  <c r="AJ91"/>
  <c r="AJ80"/>
  <c r="AJ79"/>
  <c r="AJ78"/>
  <c r="AJ77"/>
  <c r="AJ76"/>
  <c r="AJ75"/>
  <c r="AJ74"/>
  <c r="AJ73"/>
  <c r="AJ72"/>
  <c r="AJ71"/>
  <c r="AJ70"/>
  <c r="AJ69"/>
  <c r="AJ68"/>
  <c r="AJ66"/>
  <c r="AJ65"/>
  <c r="AJ64"/>
  <c r="AJ63"/>
  <c r="AJ62"/>
  <c r="AJ61"/>
  <c r="AJ60"/>
  <c r="AJ59"/>
  <c r="AJ58"/>
  <c r="AJ57"/>
  <c r="AJ56"/>
  <c r="AJ54"/>
  <c r="AJ53"/>
  <c r="AJ52"/>
  <c r="AJ51"/>
  <c r="AJ50"/>
  <c r="AJ49"/>
  <c r="AJ48"/>
  <c r="AJ47"/>
  <c r="AJ46"/>
  <c r="AJ45"/>
  <c r="AJ44"/>
  <c r="AJ43"/>
  <c r="AJ40"/>
  <c r="AJ39"/>
  <c r="AJ38"/>
  <c r="AJ37"/>
  <c r="AJ35"/>
  <c r="AJ34"/>
  <c r="AJ33"/>
  <c r="AJ32"/>
  <c r="AJ31"/>
  <c r="AJ30"/>
  <c r="AJ29"/>
  <c r="AJ28"/>
  <c r="AJ26"/>
  <c r="AJ25"/>
  <c r="AJ24"/>
  <c r="AJ23"/>
  <c r="AJ22"/>
  <c r="AJ21"/>
  <c r="AJ20"/>
  <c r="AJ19"/>
  <c r="AJ17"/>
  <c r="AJ16"/>
  <c r="AJ15"/>
  <c r="AJ14"/>
  <c r="AJ13"/>
  <c r="AJ12"/>
  <c r="AJ11"/>
  <c r="AJ10"/>
  <c r="AH99"/>
  <c r="AH98"/>
  <c r="AH95"/>
  <c r="AH94"/>
  <c r="AH92"/>
  <c r="AH91"/>
  <c r="AH80"/>
  <c r="AH79"/>
  <c r="AH78"/>
  <c r="AH77"/>
  <c r="AH76"/>
  <c r="AH75"/>
  <c r="AH74"/>
  <c r="AH73"/>
  <c r="AH72"/>
  <c r="AH71"/>
  <c r="AH70"/>
  <c r="AH69"/>
  <c r="AH68"/>
  <c r="AH66"/>
  <c r="AH65"/>
  <c r="AH64"/>
  <c r="AH63"/>
  <c r="AH62"/>
  <c r="AH61"/>
  <c r="AH60"/>
  <c r="AH59"/>
  <c r="AH58"/>
  <c r="AH57"/>
  <c r="AH56"/>
  <c r="AH53"/>
  <c r="AH52"/>
  <c r="AH51"/>
  <c r="AH50"/>
  <c r="AH49"/>
  <c r="AH48"/>
  <c r="AH47"/>
  <c r="AH46"/>
  <c r="AH45"/>
  <c r="AH44"/>
  <c r="AH43"/>
  <c r="AH40"/>
  <c r="AH39"/>
  <c r="AH38"/>
  <c r="AH37"/>
  <c r="AH35"/>
  <c r="AH34"/>
  <c r="AH33"/>
  <c r="AH32"/>
  <c r="AH31"/>
  <c r="AH30"/>
  <c r="AH29"/>
  <c r="AH28"/>
  <c r="AH26"/>
  <c r="AH25"/>
  <c r="AH24"/>
  <c r="AH23"/>
  <c r="AH22"/>
  <c r="AH21"/>
  <c r="AH20"/>
  <c r="AH19"/>
  <c r="AH17"/>
  <c r="AH16"/>
  <c r="AH15"/>
  <c r="AH14"/>
  <c r="AH13"/>
  <c r="AH12"/>
  <c r="AH11"/>
  <c r="AH10"/>
  <c r="I38" i="8"/>
  <c r="P39" s="1"/>
  <c r="AA99" i="5"/>
  <c r="AA98"/>
  <c r="AA95"/>
  <c r="AA94"/>
  <c r="AA92"/>
  <c r="AA91"/>
  <c r="I91" s="1"/>
  <c r="AA80"/>
  <c r="AA79"/>
  <c r="AA78"/>
  <c r="AA77"/>
  <c r="AA76"/>
  <c r="AA75"/>
  <c r="AA74"/>
  <c r="AA73"/>
  <c r="AA72"/>
  <c r="AA71"/>
  <c r="AA70"/>
  <c r="AA69"/>
  <c r="AA68"/>
  <c r="AA66"/>
  <c r="AA65"/>
  <c r="AA64"/>
  <c r="AA63"/>
  <c r="AA62"/>
  <c r="AA61"/>
  <c r="AA60"/>
  <c r="AA59"/>
  <c r="AA58"/>
  <c r="AA57"/>
  <c r="AA56"/>
  <c r="AA54"/>
  <c r="AA53"/>
  <c r="AA52"/>
  <c r="AA51"/>
  <c r="AA50"/>
  <c r="AA49"/>
  <c r="AA48"/>
  <c r="AA47"/>
  <c r="AA46"/>
  <c r="AA45"/>
  <c r="AA44"/>
  <c r="AA43"/>
  <c r="AA40"/>
  <c r="AA39"/>
  <c r="AA38"/>
  <c r="I38" s="1"/>
  <c r="AA37"/>
  <c r="I37" s="1"/>
  <c r="AA35"/>
  <c r="AA34"/>
  <c r="AA33"/>
  <c r="AA32"/>
  <c r="AA31"/>
  <c r="AA30"/>
  <c r="AA29"/>
  <c r="AA28"/>
  <c r="AA26"/>
  <c r="AA25"/>
  <c r="AA24"/>
  <c r="AA23"/>
  <c r="AA22"/>
  <c r="AA21"/>
  <c r="AA20"/>
  <c r="AA19"/>
  <c r="AA17"/>
  <c r="AA16"/>
  <c r="AA15"/>
  <c r="AA14"/>
  <c r="AA13"/>
  <c r="AA12"/>
  <c r="AA11"/>
  <c r="AA10"/>
  <c r="Y11"/>
  <c r="Y12"/>
  <c r="Y13"/>
  <c r="Y14"/>
  <c r="Y15"/>
  <c r="Y16"/>
  <c r="Y17"/>
  <c r="Y19"/>
  <c r="Y20"/>
  <c r="Y21"/>
  <c r="Y22"/>
  <c r="Y23"/>
  <c r="Y24"/>
  <c r="Y25"/>
  <c r="Y26"/>
  <c r="Y28"/>
  <c r="Y29"/>
  <c r="Y30"/>
  <c r="Y31"/>
  <c r="Y32"/>
  <c r="Y33"/>
  <c r="Y34"/>
  <c r="Y35"/>
  <c r="Y37"/>
  <c r="Y38"/>
  <c r="Y39"/>
  <c r="Y40"/>
  <c r="Y43"/>
  <c r="Y44"/>
  <c r="Y45"/>
  <c r="Y46"/>
  <c r="Y47"/>
  <c r="Y48"/>
  <c r="Y49"/>
  <c r="Y50"/>
  <c r="Y51"/>
  <c r="Y52"/>
  <c r="Y53"/>
  <c r="Y54"/>
  <c r="Y56"/>
  <c r="Y57"/>
  <c r="Y58"/>
  <c r="Y59"/>
  <c r="Y60"/>
  <c r="Y61"/>
  <c r="Y62"/>
  <c r="Y63"/>
  <c r="Y64"/>
  <c r="Y65"/>
  <c r="Y66"/>
  <c r="Y68"/>
  <c r="Y69"/>
  <c r="Y70"/>
  <c r="U70" s="1"/>
  <c r="Y71"/>
  <c r="Y72"/>
  <c r="Y73"/>
  <c r="Y74"/>
  <c r="U74" s="1"/>
  <c r="Y75"/>
  <c r="Y76"/>
  <c r="Y77"/>
  <c r="Y78"/>
  <c r="U78" s="1"/>
  <c r="Y79"/>
  <c r="Y80"/>
  <c r="Y91"/>
  <c r="U91" s="1"/>
  <c r="Y92"/>
  <c r="Y94"/>
  <c r="Y95"/>
  <c r="Y98"/>
  <c r="Y99"/>
  <c r="Y10"/>
  <c r="K38" i="8"/>
  <c r="T99" i="5"/>
  <c r="T98"/>
  <c r="T95"/>
  <c r="T94"/>
  <c r="T92"/>
  <c r="T91"/>
  <c r="T80"/>
  <c r="T79"/>
  <c r="T78"/>
  <c r="T77"/>
  <c r="T76"/>
  <c r="T75"/>
  <c r="T74"/>
  <c r="T73"/>
  <c r="T72"/>
  <c r="T71"/>
  <c r="T70"/>
  <c r="T69"/>
  <c r="T68"/>
  <c r="T66"/>
  <c r="T65"/>
  <c r="T64"/>
  <c r="T63"/>
  <c r="T62"/>
  <c r="T61"/>
  <c r="T60"/>
  <c r="T59"/>
  <c r="T58"/>
  <c r="T57"/>
  <c r="T56"/>
  <c r="T54"/>
  <c r="T53"/>
  <c r="T52"/>
  <c r="T51"/>
  <c r="T50"/>
  <c r="T49"/>
  <c r="T48"/>
  <c r="T47"/>
  <c r="T46"/>
  <c r="T45"/>
  <c r="T44"/>
  <c r="T43"/>
  <c r="T40"/>
  <c r="T39"/>
  <c r="T38"/>
  <c r="T37"/>
  <c r="T35"/>
  <c r="T34"/>
  <c r="T33"/>
  <c r="T32"/>
  <c r="T31"/>
  <c r="T30"/>
  <c r="T29"/>
  <c r="T28"/>
  <c r="T26"/>
  <c r="T25"/>
  <c r="T24"/>
  <c r="T23"/>
  <c r="T22"/>
  <c r="T21"/>
  <c r="T20"/>
  <c r="T19"/>
  <c r="T17"/>
  <c r="T16"/>
  <c r="T15"/>
  <c r="T14"/>
  <c r="T13"/>
  <c r="T12"/>
  <c r="T11"/>
  <c r="T10"/>
  <c r="R99"/>
  <c r="R98"/>
  <c r="R95"/>
  <c r="R94"/>
  <c r="R92"/>
  <c r="R91"/>
  <c r="R80"/>
  <c r="R79"/>
  <c r="R78"/>
  <c r="R77"/>
  <c r="R76"/>
  <c r="R75"/>
  <c r="R74"/>
  <c r="R73"/>
  <c r="R72"/>
  <c r="R71"/>
  <c r="R70"/>
  <c r="R69"/>
  <c r="R68"/>
  <c r="R66"/>
  <c r="R65"/>
  <c r="R64"/>
  <c r="R63"/>
  <c r="R62"/>
  <c r="R61"/>
  <c r="R60"/>
  <c r="R59"/>
  <c r="R58"/>
  <c r="R57"/>
  <c r="R56"/>
  <c r="R54"/>
  <c r="R53"/>
  <c r="R52"/>
  <c r="R51"/>
  <c r="R50"/>
  <c r="R49"/>
  <c r="R48"/>
  <c r="R47"/>
  <c r="R46"/>
  <c r="R45"/>
  <c r="R44"/>
  <c r="R43"/>
  <c r="R40"/>
  <c r="R39"/>
  <c r="R38"/>
  <c r="R37"/>
  <c r="R35"/>
  <c r="R34"/>
  <c r="R33"/>
  <c r="R32"/>
  <c r="R31"/>
  <c r="R30"/>
  <c r="R29"/>
  <c r="R28"/>
  <c r="R26"/>
  <c r="R25"/>
  <c r="R24"/>
  <c r="R23"/>
  <c r="R22"/>
  <c r="R21"/>
  <c r="R20"/>
  <c r="R19"/>
  <c r="R17"/>
  <c r="R16"/>
  <c r="R15"/>
  <c r="R14"/>
  <c r="R13"/>
  <c r="R12"/>
  <c r="R11"/>
  <c r="R10"/>
  <c r="N11"/>
  <c r="N12"/>
  <c r="L12" s="1"/>
  <c r="N13"/>
  <c r="L13" s="1"/>
  <c r="N14"/>
  <c r="L14" s="1"/>
  <c r="N15"/>
  <c r="L15" s="1"/>
  <c r="N16"/>
  <c r="L16" s="1"/>
  <c r="N17"/>
  <c r="L17" s="1"/>
  <c r="N19"/>
  <c r="L19" s="1"/>
  <c r="N20"/>
  <c r="L20" s="1"/>
  <c r="N21"/>
  <c r="L21" s="1"/>
  <c r="N22"/>
  <c r="L22" s="1"/>
  <c r="N23"/>
  <c r="L23" s="1"/>
  <c r="N24"/>
  <c r="L24" s="1"/>
  <c r="N25"/>
  <c r="L25" s="1"/>
  <c r="N26"/>
  <c r="L26" s="1"/>
  <c r="N28"/>
  <c r="L28" s="1"/>
  <c r="N29"/>
  <c r="L29" s="1"/>
  <c r="N30"/>
  <c r="L30" s="1"/>
  <c r="N31"/>
  <c r="L31" s="1"/>
  <c r="N32"/>
  <c r="L32" s="1"/>
  <c r="N33"/>
  <c r="L33" s="1"/>
  <c r="N34"/>
  <c r="L34" s="1"/>
  <c r="N35"/>
  <c r="L35" s="1"/>
  <c r="N37"/>
  <c r="L37" s="1"/>
  <c r="N38"/>
  <c r="L38" s="1"/>
  <c r="N39"/>
  <c r="L39" s="1"/>
  <c r="N40"/>
  <c r="L40" s="1"/>
  <c r="N43"/>
  <c r="L43" s="1"/>
  <c r="N44"/>
  <c r="L44" s="1"/>
  <c r="N45"/>
  <c r="L45" s="1"/>
  <c r="N46"/>
  <c r="L46" s="1"/>
  <c r="N47"/>
  <c r="L47" s="1"/>
  <c r="N48"/>
  <c r="L48" s="1"/>
  <c r="N49"/>
  <c r="L49" s="1"/>
  <c r="N50"/>
  <c r="L50" s="1"/>
  <c r="N51"/>
  <c r="L51" s="1"/>
  <c r="N52"/>
  <c r="L52" s="1"/>
  <c r="N53"/>
  <c r="L53" s="1"/>
  <c r="N54"/>
  <c r="L54" s="1"/>
  <c r="N56"/>
  <c r="L56" s="1"/>
  <c r="N57"/>
  <c r="L57" s="1"/>
  <c r="N58"/>
  <c r="L58" s="1"/>
  <c r="N59"/>
  <c r="L59" s="1"/>
  <c r="N60"/>
  <c r="L60" s="1"/>
  <c r="N61"/>
  <c r="L61" s="1"/>
  <c r="N62"/>
  <c r="L62" s="1"/>
  <c r="N63"/>
  <c r="L63" s="1"/>
  <c r="N64"/>
  <c r="L64" s="1"/>
  <c r="N65"/>
  <c r="L65" s="1"/>
  <c r="N66"/>
  <c r="L66" s="1"/>
  <c r="N68"/>
  <c r="L68" s="1"/>
  <c r="N69"/>
  <c r="L69" s="1"/>
  <c r="N70"/>
  <c r="L70" s="1"/>
  <c r="N71"/>
  <c r="L71" s="1"/>
  <c r="N72"/>
  <c r="L72" s="1"/>
  <c r="N73"/>
  <c r="L73" s="1"/>
  <c r="N74"/>
  <c r="L74" s="1"/>
  <c r="N75"/>
  <c r="L75" s="1"/>
  <c r="N76"/>
  <c r="L76" s="1"/>
  <c r="N77"/>
  <c r="L77" s="1"/>
  <c r="N78"/>
  <c r="L78" s="1"/>
  <c r="N79"/>
  <c r="L79" s="1"/>
  <c r="N80"/>
  <c r="L80" s="1"/>
  <c r="N91"/>
  <c r="L91" s="1"/>
  <c r="N92"/>
  <c r="L92" s="1"/>
  <c r="N94"/>
  <c r="L94" s="1"/>
  <c r="N95"/>
  <c r="L95" s="1"/>
  <c r="N98"/>
  <c r="L98" s="1"/>
  <c r="N99"/>
  <c r="L99" s="1"/>
  <c r="N10"/>
  <c r="L10" s="1"/>
  <c r="I37" i="8" l="1"/>
  <c r="P38" s="1"/>
  <c r="I79" i="5"/>
  <c r="F12" i="1"/>
  <c r="O12" s="1"/>
  <c r="L7"/>
  <c r="K7" i="9" s="1"/>
  <c r="K29" s="1"/>
  <c r="F24" i="1"/>
  <c r="P24" s="1"/>
  <c r="L24"/>
  <c r="K24" i="9" s="1"/>
  <c r="K45" s="1"/>
  <c r="H84" i="8"/>
  <c r="O88" s="1"/>
  <c r="H44"/>
  <c r="O46" s="1"/>
  <c r="O47"/>
  <c r="J104"/>
  <c r="Q109" s="1"/>
  <c r="Q110"/>
  <c r="J64"/>
  <c r="Q67" s="1"/>
  <c r="Q68"/>
  <c r="F97"/>
  <c r="M101" s="1"/>
  <c r="Q101"/>
  <c r="E13" i="12"/>
  <c r="N12" i="1"/>
  <c r="P12"/>
  <c r="Q12"/>
  <c r="F13"/>
  <c r="N15"/>
  <c r="O15"/>
  <c r="P15"/>
  <c r="Q15"/>
  <c r="D7" i="10"/>
  <c r="D31" s="1"/>
  <c r="U72" i="5"/>
  <c r="G16" i="12"/>
  <c r="E16" s="1"/>
  <c r="G17"/>
  <c r="E17" s="1"/>
  <c r="E15"/>
  <c r="J16" i="8"/>
  <c r="Q16" s="1"/>
  <c r="I16" i="10"/>
  <c r="J47" i="12"/>
  <c r="AD31" i="5"/>
  <c r="I70"/>
  <c r="I78"/>
  <c r="AD35"/>
  <c r="U95"/>
  <c r="I95" s="1"/>
  <c r="U76"/>
  <c r="I76" s="1"/>
  <c r="U68"/>
  <c r="I58" i="8"/>
  <c r="I74" i="5"/>
  <c r="H117" i="8"/>
  <c r="H118"/>
  <c r="I57"/>
  <c r="K37"/>
  <c r="H38"/>
  <c r="T97" i="5"/>
  <c r="AK8"/>
  <c r="AK7" s="1"/>
  <c r="AT8"/>
  <c r="AT7" s="1"/>
  <c r="AI8"/>
  <c r="AI7" s="1"/>
  <c r="M8"/>
  <c r="AR8"/>
  <c r="AR7" s="1"/>
  <c r="L97"/>
  <c r="AN8"/>
  <c r="AN7" s="1"/>
  <c r="L9"/>
  <c r="I72"/>
  <c r="AO93"/>
  <c r="AG8"/>
  <c r="AG7" s="1"/>
  <c r="BA8"/>
  <c r="BA7" s="1"/>
  <c r="AV93"/>
  <c r="AE8"/>
  <c r="AE7" s="1"/>
  <c r="AW8"/>
  <c r="AW7" s="1"/>
  <c r="L93"/>
  <c r="I68"/>
  <c r="W93"/>
  <c r="V8"/>
  <c r="V7" s="1"/>
  <c r="AP8"/>
  <c r="AP7" s="1"/>
  <c r="AV9"/>
  <c r="AV79"/>
  <c r="AV97"/>
  <c r="G3" i="2"/>
  <c r="M6" i="10" s="1"/>
  <c r="T93" i="5"/>
  <c r="AQ93"/>
  <c r="AJ93"/>
  <c r="AS93"/>
  <c r="AX93"/>
  <c r="BB93"/>
  <c r="L5" i="1"/>
  <c r="L4" s="1"/>
  <c r="I5" i="3"/>
  <c r="BB97" i="5"/>
  <c r="AX97"/>
  <c r="AS97"/>
  <c r="AQ97"/>
  <c r="AO97"/>
  <c r="AJ97"/>
  <c r="W97"/>
  <c r="N97"/>
  <c r="N93"/>
  <c r="R93"/>
  <c r="J39" i="8" s="1"/>
  <c r="Q40" s="1"/>
  <c r="R97" i="5"/>
  <c r="Y97"/>
  <c r="Y93"/>
  <c r="AA93"/>
  <c r="I39" i="8" s="1"/>
  <c r="P40" s="1"/>
  <c r="AA97" i="5"/>
  <c r="I41" i="8" s="1"/>
  <c r="P43" s="1"/>
  <c r="AH93" i="5"/>
  <c r="AH97"/>
  <c r="AL93"/>
  <c r="AL97"/>
  <c r="AU93"/>
  <c r="AU97"/>
  <c r="AF93"/>
  <c r="J59" i="8" s="1"/>
  <c r="Q61" s="1"/>
  <c r="AF97" i="5"/>
  <c r="J61" i="8" s="1"/>
  <c r="Q64" s="1"/>
  <c r="T9" i="5"/>
  <c r="T18"/>
  <c r="T27"/>
  <c r="T36"/>
  <c r="T42"/>
  <c r="T55"/>
  <c r="AA9"/>
  <c r="I29" i="8" s="1"/>
  <c r="P30" s="1"/>
  <c r="AA18" i="5"/>
  <c r="AA27"/>
  <c r="AA36"/>
  <c r="I28" i="8" s="1"/>
  <c r="P29" s="1"/>
  <c r="AA42" i="5"/>
  <c r="I33" i="8" s="1"/>
  <c r="P34" s="1"/>
  <c r="AA55" i="5"/>
  <c r="AS67"/>
  <c r="AX67"/>
  <c r="AV67" s="1"/>
  <c r="X8"/>
  <c r="X7" s="1"/>
  <c r="S8"/>
  <c r="S7" s="1"/>
  <c r="M41"/>
  <c r="Z41"/>
  <c r="AP41"/>
  <c r="AT41"/>
  <c r="BA41"/>
  <c r="AK41"/>
  <c r="AG41"/>
  <c r="V41"/>
  <c r="AJ67"/>
  <c r="T90"/>
  <c r="AA90"/>
  <c r="I36" i="8" s="1"/>
  <c r="P37" s="1"/>
  <c r="N90" i="5"/>
  <c r="R36"/>
  <c r="R42"/>
  <c r="R55"/>
  <c r="R90"/>
  <c r="Y9"/>
  <c r="AH9"/>
  <c r="AH18"/>
  <c r="AH27"/>
  <c r="AH36"/>
  <c r="AD58"/>
  <c r="AD62"/>
  <c r="AD66"/>
  <c r="AH67"/>
  <c r="AD99"/>
  <c r="AL67"/>
  <c r="U10"/>
  <c r="I10" s="1"/>
  <c r="U12"/>
  <c r="I12" s="1"/>
  <c r="U14"/>
  <c r="I14" s="1"/>
  <c r="U16"/>
  <c r="I16" s="1"/>
  <c r="U19"/>
  <c r="I19" s="1"/>
  <c r="U21"/>
  <c r="I21" s="1"/>
  <c r="U23"/>
  <c r="I23" s="1"/>
  <c r="U25"/>
  <c r="I25" s="1"/>
  <c r="U28"/>
  <c r="I28" s="1"/>
  <c r="U30"/>
  <c r="I30" s="1"/>
  <c r="U32"/>
  <c r="I32" s="1"/>
  <c r="U34"/>
  <c r="I34" s="1"/>
  <c r="U37"/>
  <c r="U39"/>
  <c r="I39" s="1"/>
  <c r="U43"/>
  <c r="I43" s="1"/>
  <c r="U45"/>
  <c r="I45" s="1"/>
  <c r="U46"/>
  <c r="I46" s="1"/>
  <c r="U48"/>
  <c r="I48" s="1"/>
  <c r="U50"/>
  <c r="I50" s="1"/>
  <c r="U52"/>
  <c r="I52" s="1"/>
  <c r="U54"/>
  <c r="I54" s="1"/>
  <c r="U57"/>
  <c r="I57" s="1"/>
  <c r="U59"/>
  <c r="I59" s="1"/>
  <c r="U61"/>
  <c r="I61" s="1"/>
  <c r="U63"/>
  <c r="I63" s="1"/>
  <c r="U65"/>
  <c r="I65" s="1"/>
  <c r="U79"/>
  <c r="U98"/>
  <c r="AD11"/>
  <c r="AD13"/>
  <c r="AD15"/>
  <c r="AD17"/>
  <c r="AD29"/>
  <c r="AD33"/>
  <c r="AD56"/>
  <c r="AD60"/>
  <c r="AD64"/>
  <c r="AD80"/>
  <c r="AM19"/>
  <c r="AM23"/>
  <c r="AM39"/>
  <c r="AM43"/>
  <c r="AM46"/>
  <c r="AM50"/>
  <c r="AM54"/>
  <c r="AM70"/>
  <c r="AM74"/>
  <c r="AM78"/>
  <c r="AM91"/>
  <c r="AM95"/>
  <c r="W67"/>
  <c r="U69"/>
  <c r="I69" s="1"/>
  <c r="U11"/>
  <c r="I11" s="1"/>
  <c r="U13"/>
  <c r="I13" s="1"/>
  <c r="U15"/>
  <c r="I15" s="1"/>
  <c r="U17"/>
  <c r="I17" s="1"/>
  <c r="U20"/>
  <c r="I20" s="1"/>
  <c r="U22"/>
  <c r="I22" s="1"/>
  <c r="U24"/>
  <c r="I24" s="1"/>
  <c r="U26"/>
  <c r="I26" s="1"/>
  <c r="U29"/>
  <c r="I29" s="1"/>
  <c r="U31"/>
  <c r="I31" s="1"/>
  <c r="U33"/>
  <c r="I33" s="1"/>
  <c r="U35"/>
  <c r="I35" s="1"/>
  <c r="U38"/>
  <c r="U40"/>
  <c r="I40" s="1"/>
  <c r="U44"/>
  <c r="I44" s="1"/>
  <c r="U47"/>
  <c r="I47" s="1"/>
  <c r="U49"/>
  <c r="I49" s="1"/>
  <c r="U51"/>
  <c r="I51" s="1"/>
  <c r="U53"/>
  <c r="I53" s="1"/>
  <c r="U56"/>
  <c r="I56" s="1"/>
  <c r="U58"/>
  <c r="I58" s="1"/>
  <c r="U60"/>
  <c r="I60" s="1"/>
  <c r="U62"/>
  <c r="I62" s="1"/>
  <c r="U64"/>
  <c r="I64" s="1"/>
  <c r="U66"/>
  <c r="I66" s="1"/>
  <c r="U71"/>
  <c r="I71" s="1"/>
  <c r="U73"/>
  <c r="I73" s="1"/>
  <c r="U75"/>
  <c r="I75" s="1"/>
  <c r="U77"/>
  <c r="I77" s="1"/>
  <c r="U80"/>
  <c r="I80" s="1"/>
  <c r="U92"/>
  <c r="I92" s="1"/>
  <c r="U94"/>
  <c r="I94" s="1"/>
  <c r="U99"/>
  <c r="AD10"/>
  <c r="AD12"/>
  <c r="AD14"/>
  <c r="AD16"/>
  <c r="AD19"/>
  <c r="AD21"/>
  <c r="AD23"/>
  <c r="AD25"/>
  <c r="AD28"/>
  <c r="AD30"/>
  <c r="AD32"/>
  <c r="AD34"/>
  <c r="AD37"/>
  <c r="AD39"/>
  <c r="AD43"/>
  <c r="AD45"/>
  <c r="AD46"/>
  <c r="AD48"/>
  <c r="AD50"/>
  <c r="AD52"/>
  <c r="AD54"/>
  <c r="AD57"/>
  <c r="AD59"/>
  <c r="AD61"/>
  <c r="AD63"/>
  <c r="AD65"/>
  <c r="AD68"/>
  <c r="AD70"/>
  <c r="H70" s="1"/>
  <c r="AD72"/>
  <c r="AD74"/>
  <c r="AD76"/>
  <c r="AD78"/>
  <c r="AD91"/>
  <c r="AD95"/>
  <c r="AM11"/>
  <c r="AM13"/>
  <c r="AM15"/>
  <c r="AM17"/>
  <c r="AM29"/>
  <c r="AM31"/>
  <c r="AM33"/>
  <c r="AM35"/>
  <c r="AM56"/>
  <c r="AM58"/>
  <c r="AM60"/>
  <c r="AM62"/>
  <c r="AM64"/>
  <c r="AM66"/>
  <c r="AM80"/>
  <c r="AM99"/>
  <c r="AM21"/>
  <c r="AM25"/>
  <c r="AM37"/>
  <c r="AM45"/>
  <c r="AM48"/>
  <c r="AM52"/>
  <c r="AM68"/>
  <c r="AM72"/>
  <c r="AM76"/>
  <c r="AO67"/>
  <c r="AM69"/>
  <c r="AD79"/>
  <c r="AD98"/>
  <c r="AM20"/>
  <c r="AM22"/>
  <c r="AM24"/>
  <c r="AM26"/>
  <c r="AM38"/>
  <c r="AM40"/>
  <c r="AM44"/>
  <c r="AM47"/>
  <c r="AM49"/>
  <c r="AM51"/>
  <c r="AM53"/>
  <c r="AM71"/>
  <c r="AM73"/>
  <c r="AM75"/>
  <c r="AM77"/>
  <c r="AM92"/>
  <c r="AM94"/>
  <c r="AF67"/>
  <c r="AD69"/>
  <c r="AU67"/>
  <c r="BB67"/>
  <c r="AD20"/>
  <c r="AD22"/>
  <c r="AD24"/>
  <c r="AD26"/>
  <c r="AD38"/>
  <c r="AD40"/>
  <c r="AD44"/>
  <c r="AD47"/>
  <c r="AD49"/>
  <c r="AD51"/>
  <c r="AD53"/>
  <c r="AD71"/>
  <c r="AD73"/>
  <c r="AD75"/>
  <c r="AD77"/>
  <c r="AD92"/>
  <c r="AD94"/>
  <c r="AM10"/>
  <c r="AM12"/>
  <c r="AM14"/>
  <c r="AM16"/>
  <c r="AM28"/>
  <c r="AM30"/>
  <c r="AM32"/>
  <c r="AM34"/>
  <c r="AM57"/>
  <c r="AM59"/>
  <c r="AM61"/>
  <c r="AM63"/>
  <c r="AM65"/>
  <c r="AM79"/>
  <c r="H77" i="8" s="1"/>
  <c r="AM98" i="5"/>
  <c r="H78" i="8"/>
  <c r="AQ67" i="5"/>
  <c r="Q41"/>
  <c r="S41"/>
  <c r="X41"/>
  <c r="AE41"/>
  <c r="AI41"/>
  <c r="AN41"/>
  <c r="AR41"/>
  <c r="AW41"/>
  <c r="AH90"/>
  <c r="AJ90"/>
  <c r="AL90"/>
  <c r="AS90"/>
  <c r="AU90"/>
  <c r="AX90"/>
  <c r="J96" i="8" s="1"/>
  <c r="BB90" i="5"/>
  <c r="W90"/>
  <c r="AF90"/>
  <c r="J56" i="8" s="1"/>
  <c r="Q58" s="1"/>
  <c r="AO90" i="5"/>
  <c r="AQ90"/>
  <c r="Q8"/>
  <c r="Q7" s="1"/>
  <c r="Z8"/>
  <c r="Z7" s="1"/>
  <c r="M7"/>
  <c r="M6" s="1"/>
  <c r="Y90"/>
  <c r="N9"/>
  <c r="H29" i="8" s="1"/>
  <c r="O30" s="1"/>
  <c r="N67" i="5"/>
  <c r="L67" s="1"/>
  <c r="R67"/>
  <c r="T67"/>
  <c r="T41" s="1"/>
  <c r="Y67"/>
  <c r="AA67"/>
  <c r="AA41" s="1"/>
  <c r="AH55"/>
  <c r="AJ36"/>
  <c r="AJ42"/>
  <c r="AJ55"/>
  <c r="AL36"/>
  <c r="AL42"/>
  <c r="AL55"/>
  <c r="AS36"/>
  <c r="AS42"/>
  <c r="AS55"/>
  <c r="AU36"/>
  <c r="AU42"/>
  <c r="AU55"/>
  <c r="AX36"/>
  <c r="J88" i="8" s="1"/>
  <c r="AX42" i="5"/>
  <c r="J93" i="8" s="1"/>
  <c r="AX55" i="5"/>
  <c r="BB36"/>
  <c r="H108" i="8" s="1"/>
  <c r="BB42" i="5"/>
  <c r="H113" i="8" s="1"/>
  <c r="BB55" i="5"/>
  <c r="W36"/>
  <c r="W42"/>
  <c r="W55"/>
  <c r="AF36"/>
  <c r="J48" i="8" s="1"/>
  <c r="Q50" s="1"/>
  <c r="AF42" i="5"/>
  <c r="J53" i="8" s="1"/>
  <c r="Q55" s="1"/>
  <c r="AF55" i="5"/>
  <c r="J54" i="8" s="1"/>
  <c r="Q56" s="1"/>
  <c r="AO36" i="5"/>
  <c r="AO42"/>
  <c r="AO55"/>
  <c r="AQ36"/>
  <c r="AQ42"/>
  <c r="AQ55"/>
  <c r="N55"/>
  <c r="N42"/>
  <c r="N36"/>
  <c r="L36" s="1"/>
  <c r="Y55"/>
  <c r="Y42"/>
  <c r="Y36"/>
  <c r="Y27"/>
  <c r="Y18"/>
  <c r="AH42"/>
  <c r="N27"/>
  <c r="L27" s="1"/>
  <c r="N18"/>
  <c r="R9"/>
  <c r="R18"/>
  <c r="R27"/>
  <c r="AJ9"/>
  <c r="AJ18"/>
  <c r="AJ27"/>
  <c r="AL9"/>
  <c r="AL18"/>
  <c r="AL27"/>
  <c r="AS9"/>
  <c r="AS18"/>
  <c r="AS27"/>
  <c r="AU9"/>
  <c r="AU18"/>
  <c r="AU27"/>
  <c r="AX9"/>
  <c r="J89" i="8" s="1"/>
  <c r="AX18" i="5"/>
  <c r="AX27"/>
  <c r="AV27" s="1"/>
  <c r="BB9"/>
  <c r="H109" i="8" s="1"/>
  <c r="BB18" i="5"/>
  <c r="BB27"/>
  <c r="W9"/>
  <c r="W18"/>
  <c r="W27"/>
  <c r="AF9"/>
  <c r="J49" i="8" s="1"/>
  <c r="Q51" s="1"/>
  <c r="AF18" i="5"/>
  <c r="AF27"/>
  <c r="AO9"/>
  <c r="AO18"/>
  <c r="AO27"/>
  <c r="AQ9"/>
  <c r="AQ18"/>
  <c r="AQ27"/>
  <c r="O7" i="9"/>
  <c r="P7"/>
  <c r="C8" i="3"/>
  <c r="I7" i="1" s="1"/>
  <c r="F7" i="9" s="1"/>
  <c r="F29" s="1"/>
  <c r="C6" i="3"/>
  <c r="I5" i="1" s="1"/>
  <c r="N5" i="9" s="1"/>
  <c r="F27" s="1"/>
  <c r="K5" i="1"/>
  <c r="P5" i="9" s="1"/>
  <c r="H27" s="1"/>
  <c r="J5" i="1"/>
  <c r="O5" i="9" s="1"/>
  <c r="G27" s="1"/>
  <c r="C20" i="3"/>
  <c r="C12"/>
  <c r="I11" i="1" s="1"/>
  <c r="F11" i="9" s="1"/>
  <c r="F33" s="1"/>
  <c r="C11" i="3"/>
  <c r="I10" i="1" s="1"/>
  <c r="F10" i="9" s="1"/>
  <c r="F32" s="1"/>
  <c r="C31" i="3"/>
  <c r="C67" i="2"/>
  <c r="C56"/>
  <c r="C45"/>
  <c r="C34"/>
  <c r="C23"/>
  <c r="N24" i="1" l="1"/>
  <c r="Q24"/>
  <c r="O24"/>
  <c r="S7" i="9"/>
  <c r="I24"/>
  <c r="I45" s="1"/>
  <c r="I15"/>
  <c r="I37" s="1"/>
  <c r="F93" i="8"/>
  <c r="M97" s="1"/>
  <c r="Q97"/>
  <c r="F77"/>
  <c r="M80" s="1"/>
  <c r="O80"/>
  <c r="F118"/>
  <c r="M123" s="1"/>
  <c r="O123"/>
  <c r="F108"/>
  <c r="M113" s="1"/>
  <c r="O113"/>
  <c r="F96"/>
  <c r="M100" s="1"/>
  <c r="Q100"/>
  <c r="F57"/>
  <c r="M59" s="1"/>
  <c r="P59"/>
  <c r="F78"/>
  <c r="M81" s="1"/>
  <c r="O81"/>
  <c r="F89"/>
  <c r="M93" s="1"/>
  <c r="Q93"/>
  <c r="F38"/>
  <c r="M39" s="1"/>
  <c r="O39"/>
  <c r="F37"/>
  <c r="M38" s="1"/>
  <c r="O38"/>
  <c r="F58"/>
  <c r="M60" s="1"/>
  <c r="P60"/>
  <c r="F113"/>
  <c r="M118" s="1"/>
  <c r="O118"/>
  <c r="F109"/>
  <c r="M114" s="1"/>
  <c r="O114"/>
  <c r="F88"/>
  <c r="M92" s="1"/>
  <c r="Q92"/>
  <c r="F117"/>
  <c r="M122" s="1"/>
  <c r="O122"/>
  <c r="I12" i="9"/>
  <c r="O13" i="1"/>
  <c r="P13"/>
  <c r="Q13"/>
  <c r="N13"/>
  <c r="R12"/>
  <c r="R15"/>
  <c r="G4" i="9"/>
  <c r="J4" i="1"/>
  <c r="R24"/>
  <c r="C30" i="3"/>
  <c r="H4" i="9"/>
  <c r="K4" i="1"/>
  <c r="O4" i="9"/>
  <c r="P4"/>
  <c r="H114" i="8"/>
  <c r="J29"/>
  <c r="J33"/>
  <c r="J30"/>
  <c r="Q31" s="1"/>
  <c r="J34"/>
  <c r="Q35" s="1"/>
  <c r="J36"/>
  <c r="J28"/>
  <c r="F24" i="10"/>
  <c r="J41" i="8"/>
  <c r="Q43" s="1"/>
  <c r="J48" i="12"/>
  <c r="J49"/>
  <c r="I14" i="10"/>
  <c r="J43" i="12"/>
  <c r="H16" i="8"/>
  <c r="O16" s="1"/>
  <c r="J50"/>
  <c r="Q52" s="1"/>
  <c r="J90"/>
  <c r="Q94" s="1"/>
  <c r="I59"/>
  <c r="H110"/>
  <c r="I54"/>
  <c r="U27" i="5"/>
  <c r="AD93"/>
  <c r="H74"/>
  <c r="R41"/>
  <c r="AM93"/>
  <c r="H79" i="8" s="1"/>
  <c r="H78" i="5"/>
  <c r="I53" i="8"/>
  <c r="H34"/>
  <c r="O35" s="1"/>
  <c r="I50"/>
  <c r="H17"/>
  <c r="O17" s="1"/>
  <c r="H46" i="5"/>
  <c r="I34" i="8"/>
  <c r="P35" s="1"/>
  <c r="H30"/>
  <c r="K7"/>
  <c r="O43"/>
  <c r="H119"/>
  <c r="O29"/>
  <c r="H19" i="5"/>
  <c r="I30" i="8"/>
  <c r="P31" s="1"/>
  <c r="I49"/>
  <c r="I61"/>
  <c r="H39"/>
  <c r="L90" i="5"/>
  <c r="O37" i="8"/>
  <c r="H116"/>
  <c r="I48"/>
  <c r="J99"/>
  <c r="I56"/>
  <c r="H99" i="5"/>
  <c r="H37"/>
  <c r="H121" i="8"/>
  <c r="J101"/>
  <c r="J94"/>
  <c r="Q98" s="1"/>
  <c r="E15" i="2"/>
  <c r="E14" s="1"/>
  <c r="E37"/>
  <c r="E36" s="1"/>
  <c r="H71" i="5"/>
  <c r="H51"/>
  <c r="H31"/>
  <c r="H13"/>
  <c r="H57"/>
  <c r="H39"/>
  <c r="H21"/>
  <c r="H68"/>
  <c r="H73"/>
  <c r="H53"/>
  <c r="H33"/>
  <c r="H15"/>
  <c r="H59"/>
  <c r="H43"/>
  <c r="H23"/>
  <c r="H75"/>
  <c r="H56"/>
  <c r="H17"/>
  <c r="H61"/>
  <c r="H45"/>
  <c r="H25"/>
  <c r="H77"/>
  <c r="H58"/>
  <c r="H38"/>
  <c r="H20"/>
  <c r="H63"/>
  <c r="H28"/>
  <c r="H10"/>
  <c r="H91"/>
  <c r="H76"/>
  <c r="H80"/>
  <c r="H60"/>
  <c r="H40"/>
  <c r="H22"/>
  <c r="H65"/>
  <c r="H48"/>
  <c r="H30"/>
  <c r="H12"/>
  <c r="H92"/>
  <c r="H62"/>
  <c r="H44"/>
  <c r="H24"/>
  <c r="H79"/>
  <c r="H50"/>
  <c r="H32"/>
  <c r="H14"/>
  <c r="AK6"/>
  <c r="AK96" s="1"/>
  <c r="AL96" s="1"/>
  <c r="H94"/>
  <c r="H64"/>
  <c r="H47"/>
  <c r="H26"/>
  <c r="H69"/>
  <c r="H98"/>
  <c r="H52"/>
  <c r="H34"/>
  <c r="H16"/>
  <c r="H95"/>
  <c r="H66"/>
  <c r="H49"/>
  <c r="H29"/>
  <c r="H11"/>
  <c r="H54"/>
  <c r="H72"/>
  <c r="AT6"/>
  <c r="AT96" s="1"/>
  <c r="AU96" s="1"/>
  <c r="K47" i="8"/>
  <c r="AG6" i="5"/>
  <c r="AG96" s="1"/>
  <c r="AH96" s="1"/>
  <c r="K51" i="8"/>
  <c r="AP6" i="5"/>
  <c r="AP96" s="1"/>
  <c r="AQ96" s="1"/>
  <c r="L55"/>
  <c r="L42"/>
  <c r="U18"/>
  <c r="L18"/>
  <c r="L8" s="1"/>
  <c r="L7" s="1"/>
  <c r="I111" i="8"/>
  <c r="P116" s="1"/>
  <c r="BA6" i="5"/>
  <c r="BA96" s="1"/>
  <c r="BB96" s="1"/>
  <c r="V6"/>
  <c r="V96" s="1"/>
  <c r="W96" s="1"/>
  <c r="AM97"/>
  <c r="AV18"/>
  <c r="AV8" s="1"/>
  <c r="AV36"/>
  <c r="AV42"/>
  <c r="AV55"/>
  <c r="AV90"/>
  <c r="AD97"/>
  <c r="I17" i="8"/>
  <c r="H10" i="1"/>
  <c r="H18"/>
  <c r="R18" i="9" s="1"/>
  <c r="J40" s="1"/>
  <c r="H7" i="1"/>
  <c r="H21"/>
  <c r="S5" i="9"/>
  <c r="K27" s="1"/>
  <c r="E26" i="2"/>
  <c r="E25" s="1"/>
  <c r="I16" i="8"/>
  <c r="P16" s="1"/>
  <c r="F19" i="1"/>
  <c r="F5"/>
  <c r="C22" i="3"/>
  <c r="I21" i="1" s="1"/>
  <c r="F21" i="9" s="1"/>
  <c r="F42" s="1"/>
  <c r="C19" i="3"/>
  <c r="I18" i="1" s="1"/>
  <c r="N18" i="9" s="1"/>
  <c r="D5" i="3"/>
  <c r="Q6" i="5"/>
  <c r="Q96" s="1"/>
  <c r="R96" s="1"/>
  <c r="I93"/>
  <c r="U93"/>
  <c r="S6"/>
  <c r="S96" s="1"/>
  <c r="T96" s="1"/>
  <c r="AN6"/>
  <c r="AN96" s="1"/>
  <c r="AO96" s="1"/>
  <c r="AE6"/>
  <c r="AE96" s="1"/>
  <c r="AF96" s="1"/>
  <c r="J60" i="8" s="1"/>
  <c r="Q63" s="1"/>
  <c r="Q62" s="1"/>
  <c r="Z6" i="5"/>
  <c r="Z96" s="1"/>
  <c r="AA96" s="1"/>
  <c r="I97"/>
  <c r="U97"/>
  <c r="X6"/>
  <c r="X96" s="1"/>
  <c r="Y96" s="1"/>
  <c r="AR6"/>
  <c r="AR96" s="1"/>
  <c r="AS96" s="1"/>
  <c r="AW6"/>
  <c r="AW96" s="1"/>
  <c r="AX96" s="1"/>
  <c r="J100" i="8" s="1"/>
  <c r="AI6" i="5"/>
  <c r="AI96" s="1"/>
  <c r="AJ96" s="1"/>
  <c r="AA8"/>
  <c r="AA7" s="1"/>
  <c r="AA6" s="1"/>
  <c r="T8"/>
  <c r="T7" s="1"/>
  <c r="T6" s="1"/>
  <c r="N8"/>
  <c r="N7" s="1"/>
  <c r="AM27"/>
  <c r="AM9"/>
  <c r="AD18"/>
  <c r="AH41"/>
  <c r="Y41"/>
  <c r="AQ41"/>
  <c r="AM55"/>
  <c r="AM36"/>
  <c r="H68" i="8" s="1"/>
  <c r="U55" i="5"/>
  <c r="U36"/>
  <c r="BB41"/>
  <c r="AU41"/>
  <c r="AL41"/>
  <c r="AD90"/>
  <c r="AD67"/>
  <c r="I67"/>
  <c r="I55"/>
  <c r="I42"/>
  <c r="I36"/>
  <c r="I27"/>
  <c r="I18"/>
  <c r="I9"/>
  <c r="AM18"/>
  <c r="AD27"/>
  <c r="AD9"/>
  <c r="AM42"/>
  <c r="H73" i="8" s="1"/>
  <c r="AD55" i="5"/>
  <c r="AD36"/>
  <c r="U42"/>
  <c r="AF41"/>
  <c r="AD42"/>
  <c r="I90"/>
  <c r="AM90"/>
  <c r="U90"/>
  <c r="AM67"/>
  <c r="H35"/>
  <c r="U67"/>
  <c r="U9"/>
  <c r="U8" s="1"/>
  <c r="AH8"/>
  <c r="AH7" s="1"/>
  <c r="N96"/>
  <c r="L96" s="1"/>
  <c r="Y8"/>
  <c r="Y7" s="1"/>
  <c r="N41"/>
  <c r="L41" s="1"/>
  <c r="AO41"/>
  <c r="W41"/>
  <c r="AX41"/>
  <c r="AV41" s="1"/>
  <c r="AS41"/>
  <c r="AJ41"/>
  <c r="AQ8"/>
  <c r="AQ7" s="1"/>
  <c r="AF8"/>
  <c r="BB8"/>
  <c r="BB7" s="1"/>
  <c r="AU8"/>
  <c r="AU7" s="1"/>
  <c r="AL8"/>
  <c r="AL7" s="1"/>
  <c r="R8"/>
  <c r="R7" s="1"/>
  <c r="R6" s="1"/>
  <c r="AO8"/>
  <c r="W8"/>
  <c r="W7" s="1"/>
  <c r="AX8"/>
  <c r="AX7" s="1"/>
  <c r="AS8"/>
  <c r="AS7" s="1"/>
  <c r="AJ8"/>
  <c r="AJ7" s="1"/>
  <c r="F40" i="9" l="1"/>
  <c r="F25"/>
  <c r="I40" i="8"/>
  <c r="P42" s="1"/>
  <c r="P41" s="1"/>
  <c r="I96" i="5"/>
  <c r="D24" i="9"/>
  <c r="D45" s="1"/>
  <c r="D15"/>
  <c r="D37" s="1"/>
  <c r="D12"/>
  <c r="D34" s="1"/>
  <c r="I34"/>
  <c r="J27" i="8"/>
  <c r="Q28" s="1"/>
  <c r="F73"/>
  <c r="M76" s="1"/>
  <c r="O76"/>
  <c r="F39"/>
  <c r="M40" s="1"/>
  <c r="O40"/>
  <c r="F33"/>
  <c r="M34" s="1"/>
  <c r="O34"/>
  <c r="J8"/>
  <c r="Q8" s="1"/>
  <c r="Q30"/>
  <c r="F100"/>
  <c r="M105" s="1"/>
  <c r="Q105"/>
  <c r="H47" i="12"/>
  <c r="P17" i="8"/>
  <c r="F121"/>
  <c r="M127" s="1"/>
  <c r="O127"/>
  <c r="F53"/>
  <c r="P55"/>
  <c r="F110"/>
  <c r="O115"/>
  <c r="J12"/>
  <c r="Q12" s="1"/>
  <c r="Q34"/>
  <c r="F119"/>
  <c r="M124" s="1"/>
  <c r="O124"/>
  <c r="F54"/>
  <c r="M56" s="1"/>
  <c r="P56"/>
  <c r="F116"/>
  <c r="M121" s="1"/>
  <c r="O121"/>
  <c r="F50"/>
  <c r="M52" s="1"/>
  <c r="P52"/>
  <c r="J15"/>
  <c r="Q15" s="1"/>
  <c r="Q37"/>
  <c r="F99"/>
  <c r="M103" s="1"/>
  <c r="Q103"/>
  <c r="J7"/>
  <c r="Q7" s="1"/>
  <c r="Q29"/>
  <c r="F101"/>
  <c r="M106" s="1"/>
  <c r="Q106"/>
  <c r="F48"/>
  <c r="M50" s="1"/>
  <c r="P50"/>
  <c r="F68"/>
  <c r="M71" s="1"/>
  <c r="O71"/>
  <c r="F56"/>
  <c r="M58" s="1"/>
  <c r="P58"/>
  <c r="F49"/>
  <c r="M51" s="1"/>
  <c r="P51"/>
  <c r="F61"/>
  <c r="M64" s="1"/>
  <c r="P64"/>
  <c r="F30"/>
  <c r="M31" s="1"/>
  <c r="O31"/>
  <c r="F79"/>
  <c r="M82" s="1"/>
  <c r="O82"/>
  <c r="F59"/>
  <c r="M61" s="1"/>
  <c r="P61"/>
  <c r="F114"/>
  <c r="O119"/>
  <c r="F36"/>
  <c r="M37" s="1"/>
  <c r="I13" i="9"/>
  <c r="K4"/>
  <c r="S4"/>
  <c r="N19" i="1"/>
  <c r="O19"/>
  <c r="P19"/>
  <c r="Q19"/>
  <c r="F41" i="8"/>
  <c r="M43" s="1"/>
  <c r="R13" i="1"/>
  <c r="I4"/>
  <c r="R7" i="9"/>
  <c r="F10" i="1"/>
  <c r="P10" s="1"/>
  <c r="J31" i="8"/>
  <c r="Q32" s="1"/>
  <c r="F29"/>
  <c r="M30" s="1"/>
  <c r="F28"/>
  <c r="H111"/>
  <c r="O116" s="1"/>
  <c r="F34"/>
  <c r="M35" s="1"/>
  <c r="J91"/>
  <c r="Q95" s="1"/>
  <c r="F94"/>
  <c r="F16"/>
  <c r="M16" s="1"/>
  <c r="F17"/>
  <c r="M17" s="1"/>
  <c r="J87"/>
  <c r="Q91" s="1"/>
  <c r="F90"/>
  <c r="J9"/>
  <c r="Q9" s="1"/>
  <c r="J13"/>
  <c r="Q13" s="1"/>
  <c r="J40"/>
  <c r="J18"/>
  <c r="Q18" s="1"/>
  <c r="J20"/>
  <c r="Q21" s="1"/>
  <c r="H70"/>
  <c r="O73" s="1"/>
  <c r="H16" i="10"/>
  <c r="H40" s="1"/>
  <c r="I47" i="12"/>
  <c r="F16" i="10"/>
  <c r="F40" s="1"/>
  <c r="G47" i="12"/>
  <c r="H43"/>
  <c r="G14" i="10"/>
  <c r="G38" s="1"/>
  <c r="J44" i="12"/>
  <c r="J45"/>
  <c r="I43"/>
  <c r="H14" i="10"/>
  <c r="H38" s="1"/>
  <c r="F14"/>
  <c r="F38" s="1"/>
  <c r="G43" i="12"/>
  <c r="H48"/>
  <c r="H49"/>
  <c r="Y6" i="5"/>
  <c r="I15" i="10"/>
  <c r="I51" i="8"/>
  <c r="P53" s="1"/>
  <c r="H74"/>
  <c r="O77" s="1"/>
  <c r="BB6" i="5"/>
  <c r="BB5" s="1"/>
  <c r="BB102" s="1"/>
  <c r="H107" i="8"/>
  <c r="O112" s="1"/>
  <c r="AJ6" i="5"/>
  <c r="H27" i="8"/>
  <c r="O28" s="1"/>
  <c r="H18"/>
  <c r="O18" s="1"/>
  <c r="AQ6" i="5"/>
  <c r="AQ5" s="1"/>
  <c r="AQ101" s="1"/>
  <c r="I47" i="8"/>
  <c r="P49" s="1"/>
  <c r="H69"/>
  <c r="O72" s="1"/>
  <c r="AL6" i="5"/>
  <c r="AL5" s="1"/>
  <c r="AL102" s="1"/>
  <c r="H31" i="8"/>
  <c r="O32" s="1"/>
  <c r="H12"/>
  <c r="O12" s="1"/>
  <c r="H7"/>
  <c r="O7" s="1"/>
  <c r="H76"/>
  <c r="H120"/>
  <c r="I60"/>
  <c r="H81"/>
  <c r="O85" s="1"/>
  <c r="L6" i="5"/>
  <c r="L5" s="1"/>
  <c r="K46" i="8"/>
  <c r="K45" s="1"/>
  <c r="I18"/>
  <c r="I20"/>
  <c r="P21" s="1"/>
  <c r="J51"/>
  <c r="Q53" s="1"/>
  <c r="I9"/>
  <c r="P9" s="1"/>
  <c r="U41" i="5"/>
  <c r="AH6"/>
  <c r="AH5" s="1"/>
  <c r="I31" i="8"/>
  <c r="P32" s="1"/>
  <c r="I12"/>
  <c r="P12" s="1"/>
  <c r="I8"/>
  <c r="P8" s="1"/>
  <c r="J31" i="12"/>
  <c r="K31" i="8"/>
  <c r="K27"/>
  <c r="AV7" i="5"/>
  <c r="AV6" s="1"/>
  <c r="I8"/>
  <c r="I7" s="1"/>
  <c r="H18"/>
  <c r="AV96"/>
  <c r="AX6"/>
  <c r="AX5" s="1"/>
  <c r="I107" i="8"/>
  <c r="I67"/>
  <c r="P70" s="1"/>
  <c r="J47"/>
  <c r="Q49" s="1"/>
  <c r="H97" i="5"/>
  <c r="I7" i="8"/>
  <c r="P7" s="1"/>
  <c r="I27"/>
  <c r="P28" s="1"/>
  <c r="H36" i="5"/>
  <c r="G16" i="10"/>
  <c r="G40" s="1"/>
  <c r="H90" i="5"/>
  <c r="U96"/>
  <c r="U7"/>
  <c r="F7" i="1"/>
  <c r="N7" i="9"/>
  <c r="N4" s="1"/>
  <c r="F18" i="1"/>
  <c r="F21"/>
  <c r="F20"/>
  <c r="J39" i="12"/>
  <c r="I15" i="8"/>
  <c r="P15" s="1"/>
  <c r="Q5" i="1"/>
  <c r="P5"/>
  <c r="O5"/>
  <c r="N5"/>
  <c r="Q5" i="9" s="1"/>
  <c r="I27" s="1"/>
  <c r="C5" i="3"/>
  <c r="W6" i="5"/>
  <c r="W5" s="1"/>
  <c r="H42"/>
  <c r="AS6"/>
  <c r="AS5" s="1"/>
  <c r="AU6"/>
  <c r="AU5" s="1"/>
  <c r="H9"/>
  <c r="AM96"/>
  <c r="AD96"/>
  <c r="AJ5"/>
  <c r="H93"/>
  <c r="T5"/>
  <c r="R5"/>
  <c r="Y5"/>
  <c r="N6"/>
  <c r="N5" s="1"/>
  <c r="AA5"/>
  <c r="I41"/>
  <c r="AM41"/>
  <c r="AO7"/>
  <c r="AO6" s="1"/>
  <c r="AO5" s="1"/>
  <c r="AM8"/>
  <c r="H55"/>
  <c r="H67"/>
  <c r="AF7"/>
  <c r="AF6" s="1"/>
  <c r="AF5" s="1"/>
  <c r="AD8"/>
  <c r="AD41"/>
  <c r="H27"/>
  <c r="D13" i="9" l="1"/>
  <c r="D35" s="1"/>
  <c r="I35"/>
  <c r="M104" i="8"/>
  <c r="J26"/>
  <c r="Q27" s="1"/>
  <c r="Q104"/>
  <c r="J86"/>
  <c r="J85" s="1"/>
  <c r="Q89" s="1"/>
  <c r="F31"/>
  <c r="M32" s="1"/>
  <c r="F47"/>
  <c r="M49" s="1"/>
  <c r="F60"/>
  <c r="M63" s="1"/>
  <c r="M62" s="1"/>
  <c r="P63"/>
  <c r="P62" s="1"/>
  <c r="F107"/>
  <c r="M112" s="1"/>
  <c r="M115"/>
  <c r="Q90"/>
  <c r="F91"/>
  <c r="M95" s="1"/>
  <c r="M98"/>
  <c r="J19"/>
  <c r="Q20" s="1"/>
  <c r="Q19" s="1"/>
  <c r="Q42"/>
  <c r="Q41" s="1"/>
  <c r="F111"/>
  <c r="M116" s="1"/>
  <c r="M119"/>
  <c r="G15" i="10"/>
  <c r="G39" s="1"/>
  <c r="P18" i="8"/>
  <c r="F76"/>
  <c r="M79" s="1"/>
  <c r="O79"/>
  <c r="F27"/>
  <c r="M28" s="1"/>
  <c r="M29"/>
  <c r="I106"/>
  <c r="P112"/>
  <c r="F120"/>
  <c r="M126" s="1"/>
  <c r="M125" s="1"/>
  <c r="O126"/>
  <c r="O125" s="1"/>
  <c r="F40"/>
  <c r="M42" s="1"/>
  <c r="M41" s="1"/>
  <c r="O42"/>
  <c r="O41" s="1"/>
  <c r="F87"/>
  <c r="M91" s="1"/>
  <c r="M94"/>
  <c r="F51"/>
  <c r="M53" s="1"/>
  <c r="M55"/>
  <c r="H15" i="10"/>
  <c r="H39" s="1"/>
  <c r="N18" i="1"/>
  <c r="O18"/>
  <c r="P18"/>
  <c r="Q18"/>
  <c r="N21"/>
  <c r="O21"/>
  <c r="P21"/>
  <c r="Q21"/>
  <c r="R19"/>
  <c r="O20"/>
  <c r="P20"/>
  <c r="Q20"/>
  <c r="N20"/>
  <c r="N10"/>
  <c r="O10"/>
  <c r="O7"/>
  <c r="Q10"/>
  <c r="F4" i="9"/>
  <c r="D16" i="10"/>
  <c r="D40" s="1"/>
  <c r="H71" i="8"/>
  <c r="O74" s="1"/>
  <c r="F74"/>
  <c r="H20"/>
  <c r="O21" s="1"/>
  <c r="F81"/>
  <c r="M85" s="1"/>
  <c r="H8"/>
  <c r="F69"/>
  <c r="M72" s="1"/>
  <c r="H106"/>
  <c r="F12"/>
  <c r="M12" s="1"/>
  <c r="F15" i="10"/>
  <c r="F18" i="8"/>
  <c r="M18" s="1"/>
  <c r="F7"/>
  <c r="M7" s="1"/>
  <c r="H9"/>
  <c r="F70"/>
  <c r="M73" s="1"/>
  <c r="D14" i="10"/>
  <c r="D38" s="1"/>
  <c r="U6" i="5"/>
  <c r="J32" i="12"/>
  <c r="J33"/>
  <c r="I44"/>
  <c r="I45"/>
  <c r="I31"/>
  <c r="G31"/>
  <c r="I48"/>
  <c r="I49"/>
  <c r="H13" i="10"/>
  <c r="H37" s="1"/>
  <c r="I39" i="12"/>
  <c r="K6" i="8"/>
  <c r="I10" i="10" s="1"/>
  <c r="J35" i="12"/>
  <c r="G44"/>
  <c r="G45"/>
  <c r="E43"/>
  <c r="G49"/>
  <c r="E47"/>
  <c r="G48"/>
  <c r="J40"/>
  <c r="J41"/>
  <c r="H44"/>
  <c r="H45"/>
  <c r="H31"/>
  <c r="G13" i="10"/>
  <c r="G37" s="1"/>
  <c r="H39" i="12"/>
  <c r="I35"/>
  <c r="I18" i="10"/>
  <c r="I46" i="8"/>
  <c r="K10"/>
  <c r="I11" i="10" s="1"/>
  <c r="H13" i="8"/>
  <c r="O13" s="1"/>
  <c r="BB101" i="5"/>
  <c r="BB103"/>
  <c r="BB104"/>
  <c r="H26" i="8"/>
  <c r="H67"/>
  <c r="AL103" i="5"/>
  <c r="AQ103"/>
  <c r="AQ104"/>
  <c r="AQ102"/>
  <c r="AL104"/>
  <c r="AL101"/>
  <c r="H96"/>
  <c r="H15" i="8"/>
  <c r="H80"/>
  <c r="F106"/>
  <c r="M111" s="1"/>
  <c r="H8" i="5"/>
  <c r="H7" s="1"/>
  <c r="W101"/>
  <c r="W102"/>
  <c r="W103"/>
  <c r="W104"/>
  <c r="N101"/>
  <c r="L101" s="1"/>
  <c r="N102"/>
  <c r="N103"/>
  <c r="L103" s="1"/>
  <c r="N104"/>
  <c r="L104" s="1"/>
  <c r="AU101"/>
  <c r="AU102"/>
  <c r="AU103"/>
  <c r="AU104"/>
  <c r="AA101"/>
  <c r="I101" s="1"/>
  <c r="AA102"/>
  <c r="I102" s="1"/>
  <c r="AA103"/>
  <c r="I103" s="1"/>
  <c r="AA104"/>
  <c r="I104" s="1"/>
  <c r="AX101"/>
  <c r="AV101" s="1"/>
  <c r="AX102"/>
  <c r="AV102" s="1"/>
  <c r="AX103"/>
  <c r="AV103" s="1"/>
  <c r="AX104"/>
  <c r="AV104" s="1"/>
  <c r="AH101"/>
  <c r="AH102"/>
  <c r="AH103"/>
  <c r="AH104"/>
  <c r="T101"/>
  <c r="T102"/>
  <c r="T103"/>
  <c r="T104"/>
  <c r="I26" i="8"/>
  <c r="I13"/>
  <c r="I71"/>
  <c r="I6"/>
  <c r="F86"/>
  <c r="K26"/>
  <c r="K25" s="1"/>
  <c r="J46"/>
  <c r="AV5" i="5"/>
  <c r="J6" i="8"/>
  <c r="J10"/>
  <c r="U5" i="5"/>
  <c r="I19" i="8"/>
  <c r="I6" i="5"/>
  <c r="I5" s="1"/>
  <c r="N7" i="1"/>
  <c r="I7" i="9" s="1"/>
  <c r="I29" s="1"/>
  <c r="Q7" i="1"/>
  <c r="P7"/>
  <c r="I13" i="10"/>
  <c r="R5" i="1"/>
  <c r="L102" i="5"/>
  <c r="AF104"/>
  <c r="AF102"/>
  <c r="AF103"/>
  <c r="AF101"/>
  <c r="AO104"/>
  <c r="AO102"/>
  <c r="AO103"/>
  <c r="AO101"/>
  <c r="R104"/>
  <c r="R102"/>
  <c r="R103"/>
  <c r="R101"/>
  <c r="AJ104"/>
  <c r="AJ102"/>
  <c r="AJ103"/>
  <c r="AJ101"/>
  <c r="Y104"/>
  <c r="Y102"/>
  <c r="Y103"/>
  <c r="Y101"/>
  <c r="AS104"/>
  <c r="AS102"/>
  <c r="AS103"/>
  <c r="AS101"/>
  <c r="H41"/>
  <c r="AM7"/>
  <c r="AM6" s="1"/>
  <c r="AM5" s="1"/>
  <c r="AD7"/>
  <c r="AD6" s="1"/>
  <c r="AD5" s="1"/>
  <c r="J25" i="8" l="1"/>
  <c r="Q26" s="1"/>
  <c r="I20" i="9"/>
  <c r="I41" s="1"/>
  <c r="I10"/>
  <c r="I32" s="1"/>
  <c r="H6" i="8"/>
  <c r="O6" s="1"/>
  <c r="H10" i="10"/>
  <c r="H34" s="1"/>
  <c r="Q6" i="8"/>
  <c r="H11" i="10"/>
  <c r="H35" s="1"/>
  <c r="Q10" i="8"/>
  <c r="I66"/>
  <c r="P74"/>
  <c r="F46"/>
  <c r="M48" s="1"/>
  <c r="J45"/>
  <c r="Q47" s="1"/>
  <c r="Q48"/>
  <c r="H35" i="12"/>
  <c r="H37" s="1"/>
  <c r="P13" i="8"/>
  <c r="G10" i="10"/>
  <c r="G34" s="1"/>
  <c r="P6" i="8"/>
  <c r="H105"/>
  <c r="O110" s="1"/>
  <c r="O111"/>
  <c r="H25"/>
  <c r="O26" s="1"/>
  <c r="O27"/>
  <c r="D15" i="10"/>
  <c r="D39" s="1"/>
  <c r="F39"/>
  <c r="F71" i="8"/>
  <c r="M74" s="1"/>
  <c r="M77"/>
  <c r="I105"/>
  <c r="P111"/>
  <c r="F85"/>
  <c r="M89" s="1"/>
  <c r="M90"/>
  <c r="F15"/>
  <c r="M15" s="1"/>
  <c r="O15"/>
  <c r="G18" i="10"/>
  <c r="G42" s="1"/>
  <c r="P20" i="8"/>
  <c r="P19" s="1"/>
  <c r="H66"/>
  <c r="O69" s="1"/>
  <c r="O70"/>
  <c r="I45"/>
  <c r="P47" s="1"/>
  <c r="P48"/>
  <c r="I25"/>
  <c r="P26" s="1"/>
  <c r="P27"/>
  <c r="F80"/>
  <c r="M84" s="1"/>
  <c r="M83" s="1"/>
  <c r="O84"/>
  <c r="O83" s="1"/>
  <c r="F9"/>
  <c r="M9" s="1"/>
  <c r="O9"/>
  <c r="H18" i="10"/>
  <c r="H42" s="1"/>
  <c r="F8" i="8"/>
  <c r="M8" s="1"/>
  <c r="O8"/>
  <c r="I21" i="9"/>
  <c r="Q18"/>
  <c r="F20" i="8"/>
  <c r="M21" s="1"/>
  <c r="U102" i="5"/>
  <c r="D20" i="9"/>
  <c r="D41" s="1"/>
  <c r="R20" i="1"/>
  <c r="R10"/>
  <c r="R21"/>
  <c r="R18"/>
  <c r="R7"/>
  <c r="H10" i="8"/>
  <c r="F13"/>
  <c r="M13" s="1"/>
  <c r="F67"/>
  <c r="G35" i="12"/>
  <c r="G36" s="1"/>
  <c r="E48"/>
  <c r="F10" i="10"/>
  <c r="F34" s="1"/>
  <c r="E49" i="12"/>
  <c r="I40"/>
  <c r="I41"/>
  <c r="H32"/>
  <c r="H40"/>
  <c r="H41"/>
  <c r="J36"/>
  <c r="J37"/>
  <c r="I32"/>
  <c r="G32"/>
  <c r="E31"/>
  <c r="E44"/>
  <c r="F13" i="10"/>
  <c r="G39" i="12"/>
  <c r="I36"/>
  <c r="I37"/>
  <c r="E45"/>
  <c r="AL105" i="5"/>
  <c r="BB105"/>
  <c r="K5" i="8"/>
  <c r="K4" s="1"/>
  <c r="I9" i="10"/>
  <c r="I5" s="1"/>
  <c r="F26" i="8"/>
  <c r="H123"/>
  <c r="AQ105" i="5"/>
  <c r="AH105"/>
  <c r="F105" i="8"/>
  <c r="M110" s="1"/>
  <c r="F45"/>
  <c r="M47" s="1"/>
  <c r="K24"/>
  <c r="I63"/>
  <c r="P66" s="1"/>
  <c r="I43"/>
  <c r="P45" s="1"/>
  <c r="O45"/>
  <c r="H19"/>
  <c r="J63"/>
  <c r="J103"/>
  <c r="Q108" s="1"/>
  <c r="F6"/>
  <c r="M6" s="1"/>
  <c r="I10"/>
  <c r="L105" i="5"/>
  <c r="J5" i="8"/>
  <c r="AV105" i="5"/>
  <c r="AM104"/>
  <c r="AM103"/>
  <c r="AM101"/>
  <c r="AD102"/>
  <c r="AD103"/>
  <c r="H6"/>
  <c r="H5" s="1"/>
  <c r="U104"/>
  <c r="AD104"/>
  <c r="U103"/>
  <c r="W105"/>
  <c r="Q7" i="9"/>
  <c r="T105" i="5"/>
  <c r="AO105"/>
  <c r="L5" i="9"/>
  <c r="D27" s="1"/>
  <c r="U101" i="5"/>
  <c r="R105"/>
  <c r="AF105"/>
  <c r="N105"/>
  <c r="AD101"/>
  <c r="AU105"/>
  <c r="AM102"/>
  <c r="AX105"/>
  <c r="AJ105"/>
  <c r="AA105"/>
  <c r="O110" s="1"/>
  <c r="Y105"/>
  <c r="AS105"/>
  <c r="D10" i="9" l="1"/>
  <c r="D32" s="1"/>
  <c r="H36" i="12"/>
  <c r="F10" i="8"/>
  <c r="M10" s="1"/>
  <c r="N110" i="5"/>
  <c r="D21" i="9"/>
  <c r="D42" s="1"/>
  <c r="I42"/>
  <c r="L18"/>
  <c r="D40" s="1"/>
  <c r="I40"/>
  <c r="H65" i="8"/>
  <c r="O68" s="1"/>
  <c r="F19"/>
  <c r="M20" s="1"/>
  <c r="M19" s="1"/>
  <c r="O20"/>
  <c r="O19" s="1"/>
  <c r="Q5"/>
  <c r="J4"/>
  <c r="Q4" s="1"/>
  <c r="F123"/>
  <c r="M129" s="1"/>
  <c r="O129"/>
  <c r="F66"/>
  <c r="M70"/>
  <c r="J44"/>
  <c r="Q46" s="1"/>
  <c r="Q66"/>
  <c r="I65"/>
  <c r="P68" s="1"/>
  <c r="P69"/>
  <c r="P110"/>
  <c r="I104"/>
  <c r="P109" s="1"/>
  <c r="G11" i="10"/>
  <c r="G9" s="1"/>
  <c r="G33" s="1"/>
  <c r="P10" i="8"/>
  <c r="F25"/>
  <c r="M26" s="1"/>
  <c r="M27"/>
  <c r="F11" i="10"/>
  <c r="F35" s="1"/>
  <c r="O10" i="8"/>
  <c r="H9" i="10"/>
  <c r="H33" s="1"/>
  <c r="H5" i="8"/>
  <c r="O5" s="1"/>
  <c r="D13" i="10"/>
  <c r="D37" s="1"/>
  <c r="F37"/>
  <c r="D10"/>
  <c r="D34" s="1"/>
  <c r="G37" i="12"/>
  <c r="E37" s="1"/>
  <c r="J84" i="8"/>
  <c r="Q88" s="1"/>
  <c r="F103"/>
  <c r="I44"/>
  <c r="P46" s="1"/>
  <c r="F63"/>
  <c r="M66" s="1"/>
  <c r="E35" i="12"/>
  <c r="E33"/>
  <c r="E32"/>
  <c r="E36"/>
  <c r="F18" i="10"/>
  <c r="F42" s="1"/>
  <c r="G41" i="12"/>
  <c r="E41" s="1"/>
  <c r="G40"/>
  <c r="E40" s="1"/>
  <c r="E39"/>
  <c r="H104" i="8"/>
  <c r="O109" s="1"/>
  <c r="H24"/>
  <c r="H83"/>
  <c r="O87" s="1"/>
  <c r="F5"/>
  <c r="I5"/>
  <c r="AM105" i="5"/>
  <c r="AD105"/>
  <c r="L7" i="9"/>
  <c r="K44" i="8"/>
  <c r="I23"/>
  <c r="J27" i="12"/>
  <c r="I24" i="8"/>
  <c r="P25" s="1"/>
  <c r="U105" i="5"/>
  <c r="O25" i="8" l="1"/>
  <c r="G35" i="10"/>
  <c r="H4" i="8"/>
  <c r="O4" s="1"/>
  <c r="F4"/>
  <c r="M4" s="1"/>
  <c r="M5"/>
  <c r="H5" i="10"/>
  <c r="H29" s="1"/>
  <c r="F84" i="8"/>
  <c r="M88" s="1"/>
  <c r="M108"/>
  <c r="I4"/>
  <c r="P4" s="1"/>
  <c r="P5"/>
  <c r="D11" i="10"/>
  <c r="D35" s="1"/>
  <c r="F44" i="8"/>
  <c r="M46" s="1"/>
  <c r="F65"/>
  <c r="M68" s="1"/>
  <c r="M69"/>
  <c r="F104"/>
  <c r="M109" s="1"/>
  <c r="H27" i="12"/>
  <c r="P24" i="8"/>
  <c r="F9" i="10"/>
  <c r="F33" s="1"/>
  <c r="H64" i="8"/>
  <c r="O67" s="1"/>
  <c r="F83"/>
  <c r="D18" i="10"/>
  <c r="J28" i="12"/>
  <c r="J29"/>
  <c r="J3"/>
  <c r="J23"/>
  <c r="H23" i="8"/>
  <c r="I20" i="10"/>
  <c r="I4" s="1"/>
  <c r="K3" i="8"/>
  <c r="I22" i="10" s="1"/>
  <c r="I26" s="1"/>
  <c r="I64" i="8"/>
  <c r="P67" s="1"/>
  <c r="I28" i="10" l="1"/>
  <c r="I47"/>
  <c r="I3" i="8"/>
  <c r="P3" s="1"/>
  <c r="F64"/>
  <c r="M67" s="1"/>
  <c r="M87"/>
  <c r="G27" i="12"/>
  <c r="G28" s="1"/>
  <c r="O24" i="8"/>
  <c r="D9" i="10"/>
  <c r="D33" s="1"/>
  <c r="D42"/>
  <c r="J24" i="12"/>
  <c r="J4"/>
  <c r="J25"/>
  <c r="J5"/>
  <c r="H28"/>
  <c r="H29"/>
  <c r="H23"/>
  <c r="H3" i="8"/>
  <c r="K5" i="5"/>
  <c r="K102" s="1"/>
  <c r="H102" s="1"/>
  <c r="G22" i="10" l="1"/>
  <c r="F22"/>
  <c r="O3" i="8"/>
  <c r="G29" i="12"/>
  <c r="G23"/>
  <c r="G24"/>
  <c r="H24"/>
  <c r="H25"/>
  <c r="K103" i="5"/>
  <c r="H103" s="1"/>
  <c r="K101"/>
  <c r="K104"/>
  <c r="H104" s="1"/>
  <c r="G25" i="12" l="1"/>
  <c r="J43" i="8"/>
  <c r="Q45" s="1"/>
  <c r="K105" i="5"/>
  <c r="R110" l="1"/>
  <c r="R111" s="1"/>
  <c r="Q110"/>
  <c r="J23" i="8"/>
  <c r="Q24" s="1"/>
  <c r="F43"/>
  <c r="J24"/>
  <c r="Q25" s="1"/>
  <c r="I105" i="5"/>
  <c r="H101"/>
  <c r="H105" s="1"/>
  <c r="F24" i="8" l="1"/>
  <c r="M25" s="1"/>
  <c r="M45"/>
  <c r="F23"/>
  <c r="I27" i="12"/>
  <c r="I29" s="1"/>
  <c r="H20" i="10"/>
  <c r="J3" i="8"/>
  <c r="F3" l="1"/>
  <c r="M3" s="1"/>
  <c r="M24"/>
  <c r="H22" i="10"/>
  <c r="H26" s="1"/>
  <c r="Q3" i="8"/>
  <c r="E27" i="12"/>
  <c r="I3"/>
  <c r="H44" i="10"/>
  <c r="I23" i="12"/>
  <c r="E23" s="1"/>
  <c r="I28"/>
  <c r="E28" s="1"/>
  <c r="I5"/>
  <c r="I25"/>
  <c r="E25" s="1"/>
  <c r="E29"/>
  <c r="H4" i="10"/>
  <c r="H47" s="1"/>
  <c r="E4" i="2"/>
  <c r="E3" s="1"/>
  <c r="H28" i="10" l="1"/>
  <c r="I24" i="12"/>
  <c r="E24" s="1"/>
  <c r="I4"/>
  <c r="C16" i="1"/>
  <c r="C17"/>
  <c r="C23" l="1"/>
  <c r="D17"/>
  <c r="H17" s="1"/>
  <c r="R17" i="9" s="1"/>
  <c r="J39" s="1"/>
  <c r="G17" i="1"/>
  <c r="C13"/>
  <c r="C11"/>
  <c r="C14"/>
  <c r="G14" s="1"/>
  <c r="C9"/>
  <c r="C12"/>
  <c r="D16"/>
  <c r="H16" s="1"/>
  <c r="R16" i="9" s="1"/>
  <c r="J38" s="1"/>
  <c r="G16" i="1"/>
  <c r="E14" i="9" l="1"/>
  <c r="E36" s="1"/>
  <c r="F14" i="1"/>
  <c r="C8"/>
  <c r="G23"/>
  <c r="D23"/>
  <c r="H23" s="1"/>
  <c r="R23" i="9" s="1"/>
  <c r="G11" i="1"/>
  <c r="D11"/>
  <c r="H11" s="1"/>
  <c r="J11" i="9" s="1"/>
  <c r="J33" s="1"/>
  <c r="D9" i="1"/>
  <c r="H9" s="1"/>
  <c r="J9" i="9" s="1"/>
  <c r="J31" s="1"/>
  <c r="G9" i="1"/>
  <c r="M16" i="9"/>
  <c r="E38" s="1"/>
  <c r="F16" i="1"/>
  <c r="M17" i="9"/>
  <c r="E39" s="1"/>
  <c r="F17" i="1"/>
  <c r="R4" i="9" l="1"/>
  <c r="G21" i="10" s="1"/>
  <c r="G45" s="1"/>
  <c r="J44" i="9"/>
  <c r="E9"/>
  <c r="E31" s="1"/>
  <c r="F9" i="1"/>
  <c r="Q16"/>
  <c r="P16"/>
  <c r="O16"/>
  <c r="N16"/>
  <c r="Q14"/>
  <c r="O14"/>
  <c r="N14"/>
  <c r="P14"/>
  <c r="O17"/>
  <c r="N17"/>
  <c r="Q17"/>
  <c r="P17"/>
  <c r="E11" i="9"/>
  <c r="E33" s="1"/>
  <c r="F11" i="1"/>
  <c r="D6"/>
  <c r="H6" s="1"/>
  <c r="G6"/>
  <c r="D8"/>
  <c r="H8" s="1"/>
  <c r="J8" i="9" s="1"/>
  <c r="J30" s="1"/>
  <c r="G8" i="1"/>
  <c r="G22"/>
  <c r="D22"/>
  <c r="H22" s="1"/>
  <c r="J22" i="9" s="1"/>
  <c r="J43" s="1"/>
  <c r="M23"/>
  <c r="E44" s="1"/>
  <c r="F23" i="1"/>
  <c r="M4" i="9" l="1"/>
  <c r="G8" i="10" s="1"/>
  <c r="G6" s="1"/>
  <c r="R17" i="1"/>
  <c r="I14" i="9"/>
  <c r="Q16"/>
  <c r="E22"/>
  <c r="E43" s="1"/>
  <c r="F22" i="1"/>
  <c r="Q9"/>
  <c r="P9"/>
  <c r="O9"/>
  <c r="N9"/>
  <c r="R16"/>
  <c r="Q23"/>
  <c r="N23"/>
  <c r="O23"/>
  <c r="P23"/>
  <c r="Q11"/>
  <c r="P11"/>
  <c r="O11"/>
  <c r="N11"/>
  <c r="J6" i="9"/>
  <c r="H4" i="1"/>
  <c r="E6" i="9"/>
  <c r="E28" s="1"/>
  <c r="G4" i="1"/>
  <c r="F6"/>
  <c r="Q17" i="9"/>
  <c r="E8"/>
  <c r="E30" s="1"/>
  <c r="F8" i="1"/>
  <c r="R14"/>
  <c r="G32" i="10" l="1"/>
  <c r="J4" i="9"/>
  <c r="F21" i="10" s="1"/>
  <c r="D21" s="1"/>
  <c r="D45" s="1"/>
  <c r="J28" i="9"/>
  <c r="L17"/>
  <c r="D39" s="1"/>
  <c r="I39"/>
  <c r="D14"/>
  <c r="D36" s="1"/>
  <c r="I36"/>
  <c r="L16"/>
  <c r="D38" s="1"/>
  <c r="I38"/>
  <c r="R23" i="1"/>
  <c r="O22"/>
  <c r="N22"/>
  <c r="Q22"/>
  <c r="P22"/>
  <c r="Q8"/>
  <c r="P8"/>
  <c r="O8"/>
  <c r="N8"/>
  <c r="E4" i="9"/>
  <c r="F8" i="10" s="1"/>
  <c r="G30"/>
  <c r="G5"/>
  <c r="F4" i="1"/>
  <c r="I9" i="9"/>
  <c r="Q6" i="1"/>
  <c r="P6"/>
  <c r="O6"/>
  <c r="N6"/>
  <c r="I11" i="9"/>
  <c r="R11" i="1"/>
  <c r="Q23" i="9"/>
  <c r="R9" i="1"/>
  <c r="F45" i="10" l="1"/>
  <c r="L23" i="9"/>
  <c r="D44" s="1"/>
  <c r="I44"/>
  <c r="D11"/>
  <c r="D33" s="1"/>
  <c r="I33"/>
  <c r="D9"/>
  <c r="D31" s="1"/>
  <c r="I31"/>
  <c r="Q4" i="1"/>
  <c r="R8"/>
  <c r="I22" i="9"/>
  <c r="R6" i="1"/>
  <c r="F32" i="10"/>
  <c r="F6"/>
  <c r="D8"/>
  <c r="O4" i="1"/>
  <c r="Q4" i="9"/>
  <c r="I8"/>
  <c r="G29" i="10"/>
  <c r="I6" i="9"/>
  <c r="I28" s="1"/>
  <c r="N4" i="1"/>
  <c r="R22"/>
  <c r="P4"/>
  <c r="L4" i="9" l="1"/>
  <c r="G23" i="10" s="1"/>
  <c r="G26" s="1"/>
  <c r="D8" i="9"/>
  <c r="D30" s="1"/>
  <c r="I30"/>
  <c r="D22"/>
  <c r="D43" s="1"/>
  <c r="I43"/>
  <c r="R4" i="1"/>
  <c r="D32" i="10"/>
  <c r="D6"/>
  <c r="H19" i="12"/>
  <c r="G20" i="10"/>
  <c r="I4" i="9"/>
  <c r="D6"/>
  <c r="F30" i="10"/>
  <c r="F5"/>
  <c r="D4" i="9" l="1"/>
  <c r="F23" i="10" s="1"/>
  <c r="F26" s="1"/>
  <c r="D28" i="9"/>
  <c r="G44" i="10"/>
  <c r="G4"/>
  <c r="D30"/>
  <c r="D5"/>
  <c r="G19" i="12"/>
  <c r="F20" i="10"/>
  <c r="F4" s="1"/>
  <c r="F47" s="1"/>
  <c r="H21" i="12"/>
  <c r="H7"/>
  <c r="H20"/>
  <c r="H3"/>
  <c r="F29" i="10"/>
  <c r="T4" i="9" l="1"/>
  <c r="M5" i="10" s="1"/>
  <c r="M8" s="1"/>
  <c r="G28"/>
  <c r="G47"/>
  <c r="K4"/>
  <c r="F28"/>
  <c r="H8" i="12"/>
  <c r="H4"/>
  <c r="E19"/>
  <c r="G7"/>
  <c r="E7" s="1"/>
  <c r="G21"/>
  <c r="G20"/>
  <c r="G3"/>
  <c r="E3" s="1"/>
  <c r="D29" i="10"/>
  <c r="H9" i="12"/>
  <c r="H5"/>
  <c r="F44" i="10"/>
  <c r="D20"/>
  <c r="D44" s="1"/>
  <c r="D4" l="1"/>
  <c r="D28" s="1"/>
  <c r="G9" i="12"/>
  <c r="E9" s="1"/>
  <c r="E21"/>
  <c r="G5"/>
  <c r="E5" s="1"/>
  <c r="G8"/>
  <c r="E8" s="1"/>
  <c r="E20"/>
  <c r="G4"/>
  <c r="E4" l="1"/>
</calcChain>
</file>

<file path=xl/sharedStrings.xml><?xml version="1.0" encoding="utf-8"?>
<sst xmlns="http://schemas.openxmlformats.org/spreadsheetml/2006/main" count="999" uniqueCount="360">
  <si>
    <t>행정구역</t>
  </si>
  <si>
    <t>처리구역</t>
  </si>
  <si>
    <t>비고</t>
  </si>
  <si>
    <t>총 계</t>
  </si>
  <si>
    <t>남포면</t>
  </si>
  <si>
    <t>죽도</t>
  </si>
  <si>
    <t>기존</t>
  </si>
  <si>
    <t>1단계</t>
  </si>
  <si>
    <t>달산리</t>
  </si>
  <si>
    <t>도화담</t>
  </si>
  <si>
    <t>내평리</t>
  </si>
  <si>
    <t>봉성리</t>
  </si>
  <si>
    <t>소성리</t>
  </si>
  <si>
    <t>삽시도1리</t>
  </si>
  <si>
    <t>외연도리</t>
  </si>
  <si>
    <t>원산1리</t>
  </si>
  <si>
    <t>원산2리</t>
  </si>
  <si>
    <t>원산3리</t>
  </si>
  <si>
    <t>호도</t>
  </si>
  <si>
    <t>삽시도2리</t>
  </si>
  <si>
    <t>삽시도3리</t>
  </si>
  <si>
    <t>주교면</t>
  </si>
  <si>
    <t>주교1리</t>
  </si>
  <si>
    <t>관창1리</t>
  </si>
  <si>
    <t>주산면</t>
  </si>
  <si>
    <t>금암리</t>
  </si>
  <si>
    <t>주포면</t>
  </si>
  <si>
    <t>보령,봉당리</t>
  </si>
  <si>
    <t>관산리</t>
  </si>
  <si>
    <t>천북면</t>
  </si>
  <si>
    <t>하만1,2리</t>
  </si>
  <si>
    <t>낙동리</t>
  </si>
  <si>
    <t>장은리</t>
  </si>
  <si>
    <t>청라면</t>
  </si>
  <si>
    <t>의평리</t>
  </si>
  <si>
    <t>라원리</t>
  </si>
  <si>
    <t>황룡리</t>
  </si>
  <si>
    <t>청소면</t>
  </si>
  <si>
    <t>진죽1,2리</t>
  </si>
  <si>
    <t>처리시설</t>
    <phoneticPr fontId="4" type="noConversion"/>
  </si>
  <si>
    <t>시설개요</t>
    <phoneticPr fontId="4" type="noConversion"/>
  </si>
  <si>
    <t>부지매입비</t>
    <phoneticPr fontId="4" type="noConversion"/>
  </si>
  <si>
    <t>하수관거</t>
    <phoneticPr fontId="4" type="noConversion"/>
  </si>
  <si>
    <t>배수설비</t>
    <phoneticPr fontId="4" type="noConversion"/>
  </si>
  <si>
    <t>펌프장</t>
    <phoneticPr fontId="4" type="noConversion"/>
  </si>
  <si>
    <t>구    분</t>
    <phoneticPr fontId="5" type="noConversion"/>
  </si>
  <si>
    <t>시설용량</t>
    <phoneticPr fontId="5" type="noConversion"/>
  </si>
  <si>
    <t>계</t>
    <phoneticPr fontId="5" type="noConversion"/>
  </si>
  <si>
    <t>시설비</t>
    <phoneticPr fontId="5" type="noConversion"/>
  </si>
  <si>
    <t>소계</t>
    <phoneticPr fontId="5" type="noConversion"/>
  </si>
  <si>
    <t>고도처리</t>
    <phoneticPr fontId="5" type="noConversion"/>
  </si>
  <si>
    <t>소독설비</t>
    <phoneticPr fontId="5" type="noConversion"/>
  </si>
  <si>
    <t>여과설비</t>
    <phoneticPr fontId="5" type="noConversion"/>
  </si>
  <si>
    <t>하수처리수재이용</t>
    <phoneticPr fontId="5" type="noConversion"/>
  </si>
  <si>
    <t>시설부대비</t>
    <phoneticPr fontId="5" type="noConversion"/>
  </si>
  <si>
    <t>토지매입비</t>
    <phoneticPr fontId="5" type="noConversion"/>
  </si>
  <si>
    <t>기타비</t>
    <phoneticPr fontId="5" type="noConversion"/>
  </si>
  <si>
    <t>보령
하수
처리시설</t>
    <phoneticPr fontId="4" type="noConversion"/>
  </si>
  <si>
    <t>대천
해수욕장
하수
처리시설</t>
    <phoneticPr fontId="4" type="noConversion"/>
  </si>
  <si>
    <t>웅천
하수
처리시설</t>
    <phoneticPr fontId="4" type="noConversion"/>
  </si>
  <si>
    <t>무창포
하수
처리시설</t>
    <phoneticPr fontId="4" type="noConversion"/>
  </si>
  <si>
    <t>성주
하수
처리시설</t>
    <phoneticPr fontId="4" type="noConversion"/>
  </si>
  <si>
    <t>▣ 소규모하수도 관거 시설연장</t>
    <phoneticPr fontId="5" type="noConversion"/>
  </si>
  <si>
    <t>비고</t>
    <phoneticPr fontId="4" type="noConversion"/>
  </si>
  <si>
    <t>계</t>
    <phoneticPr fontId="4" type="noConversion"/>
  </si>
  <si>
    <t>D80</t>
    <phoneticPr fontId="4" type="noConversion"/>
  </si>
  <si>
    <t>D200</t>
    <phoneticPr fontId="4" type="noConversion"/>
  </si>
  <si>
    <t>D250</t>
    <phoneticPr fontId="4" type="noConversion"/>
  </si>
  <si>
    <t>맨홀펌프</t>
    <phoneticPr fontId="4" type="noConversion"/>
  </si>
  <si>
    <t>오수관거</t>
    <phoneticPr fontId="4" type="noConversion"/>
  </si>
  <si>
    <t>소계</t>
    <phoneticPr fontId="4" type="noConversion"/>
  </si>
  <si>
    <r>
      <t>시설용량
(m</t>
    </r>
    <r>
      <rPr>
        <vertAlign val="superscript"/>
        <sz val="10"/>
        <color rgb="FF000000"/>
        <rFont val="돋움"/>
        <family val="3"/>
        <charset val="129"/>
      </rPr>
      <t>3</t>
    </r>
    <r>
      <rPr>
        <sz val="10"/>
        <color rgb="FF000000"/>
        <rFont val="돋움"/>
        <family val="3"/>
        <charset val="129"/>
      </rPr>
      <t>/일)</t>
    </r>
    <phoneticPr fontId="4" type="noConversion"/>
  </si>
  <si>
    <t>단위공사비(원)</t>
    <phoneticPr fontId="4" type="noConversion"/>
  </si>
  <si>
    <t>주) 1. 「주택단지내 상수ㆍ오수발생량 원단위 산정 및 하수처리시설 소요비용 연구, 2001.7 환경부」에서 제시된 공사비 산정공식 적용</t>
    <phoneticPr fontId="4" type="noConversion"/>
  </si>
  <si>
    <t xml:space="preserve">     4. 토지매입비용 산정시 공시지가의 3배 적용</t>
    <phoneticPr fontId="4" type="noConversion"/>
  </si>
  <si>
    <t>구   분</t>
    <phoneticPr fontId="5" type="noConversion"/>
  </si>
  <si>
    <t>단위</t>
    <phoneticPr fontId="5" type="noConversion"/>
  </si>
  <si>
    <t>단가(천원)</t>
    <phoneticPr fontId="5" type="noConversion"/>
  </si>
  <si>
    <t>총괄공사비</t>
    <phoneticPr fontId="5" type="noConversion"/>
  </si>
  <si>
    <t>대천처리분구</t>
    <phoneticPr fontId="5" type="noConversion"/>
  </si>
  <si>
    <t>동대처리분구</t>
    <phoneticPr fontId="5" type="noConversion"/>
  </si>
  <si>
    <t>명천처리분구</t>
    <phoneticPr fontId="5" type="noConversion"/>
  </si>
  <si>
    <t>궁촌처리분구</t>
    <phoneticPr fontId="5" type="noConversion"/>
  </si>
  <si>
    <t>주교처리분구</t>
    <phoneticPr fontId="5" type="noConversion"/>
  </si>
  <si>
    <t>신흑처리분구</t>
    <phoneticPr fontId="5" type="noConversion"/>
  </si>
  <si>
    <t>흑포,사곡처리분구</t>
    <phoneticPr fontId="5" type="noConversion"/>
  </si>
  <si>
    <t>요암처리분구</t>
    <phoneticPr fontId="5" type="noConversion"/>
  </si>
  <si>
    <t>삼현처리분구</t>
    <phoneticPr fontId="5" type="noConversion"/>
  </si>
  <si>
    <t>대창처리분구</t>
    <phoneticPr fontId="5" type="noConversion"/>
  </si>
  <si>
    <t>노천처리분구</t>
    <phoneticPr fontId="5" type="noConversion"/>
  </si>
  <si>
    <t>성동처리분구</t>
    <phoneticPr fontId="5" type="noConversion"/>
  </si>
  <si>
    <t>시가지</t>
    <phoneticPr fontId="5" type="noConversion"/>
  </si>
  <si>
    <t>취락지</t>
    <phoneticPr fontId="5" type="noConversion"/>
  </si>
  <si>
    <t>수량</t>
    <phoneticPr fontId="5" type="noConversion"/>
  </si>
  <si>
    <t>금액</t>
    <phoneticPr fontId="5" type="noConversion"/>
  </si>
  <si>
    <t>Ⅰ. 하수관거</t>
    <phoneticPr fontId="5" type="noConversion"/>
  </si>
  <si>
    <t xml:space="preserve"> 1. 오수관거</t>
    <phoneticPr fontId="5" type="noConversion"/>
  </si>
  <si>
    <t xml:space="preserve"> 1) 개·보수</t>
    <phoneticPr fontId="5" type="noConversion"/>
  </si>
  <si>
    <t xml:space="preserve"> - 교      체</t>
    <phoneticPr fontId="5" type="noConversion"/>
  </si>
  <si>
    <t xml:space="preserve">    D200mm</t>
    <phoneticPr fontId="5" type="noConversion"/>
  </si>
  <si>
    <t>m</t>
    <phoneticPr fontId="5" type="noConversion"/>
  </si>
  <si>
    <t xml:space="preserve">    D250mm</t>
    <phoneticPr fontId="5" type="noConversion"/>
  </si>
  <si>
    <t xml:space="preserve">    D300mm</t>
    <phoneticPr fontId="5" type="noConversion"/>
  </si>
  <si>
    <t xml:space="preserve">    D400mm</t>
    <phoneticPr fontId="5" type="noConversion"/>
  </si>
  <si>
    <t xml:space="preserve">    D450mm</t>
    <phoneticPr fontId="5" type="noConversion"/>
  </si>
  <si>
    <t xml:space="preserve">    D500mm</t>
    <phoneticPr fontId="5" type="noConversion"/>
  </si>
  <si>
    <t xml:space="preserve">    D600mm</t>
    <phoneticPr fontId="5" type="noConversion"/>
  </si>
  <si>
    <t xml:space="preserve">    D700mm</t>
    <phoneticPr fontId="5" type="noConversion"/>
  </si>
  <si>
    <t xml:space="preserve">    D800mm</t>
    <phoneticPr fontId="5" type="noConversion"/>
  </si>
  <si>
    <t xml:space="preserve">    D900mm</t>
    <phoneticPr fontId="5" type="noConversion"/>
  </si>
  <si>
    <t xml:space="preserve">    D1000mm</t>
    <phoneticPr fontId="5" type="noConversion"/>
  </si>
  <si>
    <t>개소</t>
    <phoneticPr fontId="5" type="noConversion"/>
  </si>
  <si>
    <t xml:space="preserve"> - 전체보수</t>
    <phoneticPr fontId="5" type="noConversion"/>
  </si>
  <si>
    <t xml:space="preserve"> - 부분보수</t>
    <phoneticPr fontId="5" type="noConversion"/>
  </si>
  <si>
    <t xml:space="preserve"> 2) 신   설</t>
    <phoneticPr fontId="5" type="noConversion"/>
  </si>
  <si>
    <t xml:space="preserve">    D1200mm</t>
    <phoneticPr fontId="5" type="noConversion"/>
  </si>
  <si>
    <t>Ⅱ. 배수설비</t>
    <phoneticPr fontId="5" type="noConversion"/>
  </si>
  <si>
    <t xml:space="preserve"> 1. 신설</t>
    <phoneticPr fontId="5" type="noConversion"/>
  </si>
  <si>
    <t xml:space="preserve"> 2. 정비</t>
    <phoneticPr fontId="5" type="noConversion"/>
  </si>
  <si>
    <t>Ⅲ. 유지관리모니터링시스템</t>
    <phoneticPr fontId="5" type="noConversion"/>
  </si>
  <si>
    <t>식</t>
    <phoneticPr fontId="5" type="noConversion"/>
  </si>
  <si>
    <t>Ⅳ. CCTV 조사</t>
    <phoneticPr fontId="5" type="noConversion"/>
  </si>
  <si>
    <t>km</t>
    <phoneticPr fontId="5" type="noConversion"/>
  </si>
  <si>
    <t>Ⅴ. 폐기물처리</t>
    <phoneticPr fontId="5" type="noConversion"/>
  </si>
  <si>
    <t xml:space="preserve">          - 포장(ASP)</t>
    <phoneticPr fontId="5" type="noConversion"/>
  </si>
  <si>
    <t>TON</t>
    <phoneticPr fontId="5" type="noConversion"/>
  </si>
  <si>
    <t xml:space="preserve">          - 포장(CON'C)</t>
    <phoneticPr fontId="5" type="noConversion"/>
  </si>
  <si>
    <t>TON</t>
  </si>
  <si>
    <t>Ⅵ. 초기우수처리시설</t>
    <phoneticPr fontId="5" type="noConversion"/>
  </si>
  <si>
    <t>보령처리구역</t>
    <phoneticPr fontId="5" type="noConversion"/>
  </si>
  <si>
    <t>대천해수욕장
처리구역</t>
    <phoneticPr fontId="5" type="noConversion"/>
  </si>
  <si>
    <t>웅천처리구역</t>
    <phoneticPr fontId="5" type="noConversion"/>
  </si>
  <si>
    <t xml:space="preserve">    D80mm(압송)</t>
    <phoneticPr fontId="5" type="noConversion"/>
  </si>
  <si>
    <t>무창포처리구역</t>
    <phoneticPr fontId="5" type="noConversion"/>
  </si>
  <si>
    <t>성주처리구역</t>
    <phoneticPr fontId="5" type="noConversion"/>
  </si>
  <si>
    <t xml:space="preserve"> - 교      체</t>
    <phoneticPr fontId="5" type="noConversion"/>
  </si>
  <si>
    <t xml:space="preserve"> 2. 우수관거(개보수)</t>
    <phoneticPr fontId="5" type="noConversion"/>
  </si>
  <si>
    <t xml:space="preserve"> 3. 맨홀펌프장</t>
    <phoneticPr fontId="5" type="noConversion"/>
  </si>
  <si>
    <t xml:space="preserve"> 4. BOX(1.8x1.4)</t>
    <phoneticPr fontId="5" type="noConversion"/>
  </si>
  <si>
    <t xml:space="preserve"> 2. 고정식유량계</t>
    <phoneticPr fontId="5" type="noConversion"/>
  </si>
  <si>
    <t xml:space="preserve"> 1. 모니터링시스템</t>
    <phoneticPr fontId="5" type="noConversion"/>
  </si>
  <si>
    <t>개소</t>
    <phoneticPr fontId="5" type="noConversion"/>
  </si>
  <si>
    <t>-</t>
  </si>
  <si>
    <t>소계</t>
    <phoneticPr fontId="4" type="noConversion"/>
  </si>
  <si>
    <t>공 사 비</t>
  </si>
  <si>
    <t>실시설계비</t>
  </si>
  <si>
    <t>공사감리비</t>
  </si>
  <si>
    <t>시설부대비</t>
  </si>
  <si>
    <t>10억원까지</t>
  </si>
  <si>
    <t>20억원까지</t>
  </si>
  <si>
    <t>30억원까지</t>
  </si>
  <si>
    <t>50억원까지</t>
  </si>
  <si>
    <t>100억원까지</t>
  </si>
  <si>
    <t>200억원까지</t>
  </si>
  <si>
    <t>300억원까지</t>
  </si>
  <si>
    <t>500억원까지</t>
  </si>
  <si>
    <t>1,000억원까지</t>
  </si>
  <si>
    <t>2,000억원까지</t>
  </si>
  <si>
    <t>3,000억원까지</t>
  </si>
  <si>
    <t>5,000억원까지</t>
  </si>
  <si>
    <t>기본조사설계비</t>
    <phoneticPr fontId="5" type="noConversion"/>
  </si>
  <si>
    <t>400억원까지</t>
    <phoneticPr fontId="5" type="noConversion"/>
  </si>
  <si>
    <t>600억원까지</t>
    <phoneticPr fontId="5" type="noConversion"/>
  </si>
  <si>
    <t>700억원까지</t>
    <phoneticPr fontId="5" type="noConversion"/>
  </si>
  <si>
    <t>800억원까지</t>
    <phoneticPr fontId="5" type="noConversion"/>
  </si>
  <si>
    <t>900억원까지</t>
    <phoneticPr fontId="5" type="noConversion"/>
  </si>
  <si>
    <t>1,500억원까지</t>
    <phoneticPr fontId="5" type="noConversion"/>
  </si>
  <si>
    <t>▣공사비 계</t>
    <phoneticPr fontId="5" type="noConversion"/>
  </si>
  <si>
    <t>▣기본설계비</t>
    <phoneticPr fontId="5" type="noConversion"/>
  </si>
  <si>
    <t>▣실시설계비</t>
    <phoneticPr fontId="5" type="noConversion"/>
  </si>
  <si>
    <t>▣공사감리비</t>
    <phoneticPr fontId="5" type="noConversion"/>
  </si>
  <si>
    <t>▣시설부대비</t>
    <phoneticPr fontId="5" type="noConversion"/>
  </si>
  <si>
    <t>총 사업비</t>
    <phoneticPr fontId="4" type="noConversion"/>
  </si>
  <si>
    <t>공시지가의3배
(원/㎡)</t>
    <phoneticPr fontId="4" type="noConversion"/>
  </si>
  <si>
    <t>공사비</t>
    <phoneticPr fontId="4" type="noConversion"/>
  </si>
  <si>
    <t>기본설계비</t>
    <phoneticPr fontId="4" type="noConversion"/>
  </si>
  <si>
    <t>실시설계비</t>
    <phoneticPr fontId="4" type="noConversion"/>
  </si>
  <si>
    <t>공사감리비</t>
    <phoneticPr fontId="4" type="noConversion"/>
  </si>
  <si>
    <t>시설부대비</t>
    <phoneticPr fontId="4" type="noConversion"/>
  </si>
  <si>
    <t>시설부대경비</t>
    <phoneticPr fontId="4" type="noConversion"/>
  </si>
  <si>
    <t>폐기물
처리비</t>
    <phoneticPr fontId="4" type="noConversion"/>
  </si>
  <si>
    <t>CCTV
조사비</t>
    <phoneticPr fontId="4" type="noConversion"/>
  </si>
  <si>
    <t>구 분</t>
  </si>
  <si>
    <t>계</t>
  </si>
  <si>
    <t>총괄</t>
  </si>
  <si>
    <t>시설비</t>
  </si>
  <si>
    <t>합 계</t>
  </si>
  <si>
    <t>소 계</t>
  </si>
  <si>
    <t>신 설</t>
  </si>
  <si>
    <t>교 체</t>
  </si>
  <si>
    <t>보 수</t>
  </si>
  <si>
    <t>배수설비</t>
  </si>
  <si>
    <t>중계펌프장</t>
  </si>
  <si>
    <t>초기우수처리시설</t>
  </si>
  <si>
    <t>모니터링시스템구축</t>
  </si>
  <si>
    <t>토지매입비</t>
  </si>
  <si>
    <t>설계비 및 감리비</t>
  </si>
  <si>
    <t>하수관거</t>
    <phoneticPr fontId="4" type="noConversion"/>
  </si>
  <si>
    <t>오수관거</t>
    <phoneticPr fontId="4" type="noConversion"/>
  </si>
  <si>
    <t>우수관거</t>
    <phoneticPr fontId="4" type="noConversion"/>
  </si>
  <si>
    <t>보령
처리구역</t>
    <phoneticPr fontId="4" type="noConversion"/>
  </si>
  <si>
    <t>대천해수욕장
처리구역</t>
    <phoneticPr fontId="4" type="noConversion"/>
  </si>
  <si>
    <t>웅천
처리구역</t>
    <phoneticPr fontId="4" type="noConversion"/>
  </si>
  <si>
    <t>무창포
처리구역</t>
    <phoneticPr fontId="4" type="noConversion"/>
  </si>
  <si>
    <t>성주
처리구역</t>
    <phoneticPr fontId="4" type="noConversion"/>
  </si>
  <si>
    <t>2단계</t>
    <phoneticPr fontId="4" type="noConversion"/>
  </si>
  <si>
    <t>4단계</t>
    <phoneticPr fontId="4" type="noConversion"/>
  </si>
  <si>
    <t>3단계</t>
    <phoneticPr fontId="4" type="noConversion"/>
  </si>
  <si>
    <t>CCTV조사</t>
    <phoneticPr fontId="4" type="noConversion"/>
  </si>
  <si>
    <t>폐기물처리</t>
    <phoneticPr fontId="4" type="noConversion"/>
  </si>
  <si>
    <t>계</t>
    <phoneticPr fontId="4" type="noConversion"/>
  </si>
  <si>
    <t>아스팔트</t>
    <phoneticPr fontId="4" type="noConversion"/>
  </si>
  <si>
    <t>콘크리트</t>
    <phoneticPr fontId="4" type="noConversion"/>
  </si>
  <si>
    <t>폐기물처리비</t>
    <phoneticPr fontId="4" type="noConversion"/>
  </si>
  <si>
    <t>CCTV조사비</t>
    <phoneticPr fontId="4" type="noConversion"/>
  </si>
  <si>
    <r>
      <t>부지면적
(m</t>
    </r>
    <r>
      <rPr>
        <vertAlign val="superscript"/>
        <sz val="10"/>
        <color rgb="FF000000"/>
        <rFont val="돋움"/>
        <family val="3"/>
        <charset val="129"/>
      </rPr>
      <t>2</t>
    </r>
    <r>
      <rPr>
        <sz val="10"/>
        <color rgb="FF000000"/>
        <rFont val="돋움"/>
        <family val="3"/>
        <charset val="129"/>
      </rPr>
      <t>)</t>
    </r>
    <phoneticPr fontId="4" type="noConversion"/>
  </si>
  <si>
    <t>위치</t>
    <phoneticPr fontId="4" type="noConversion"/>
  </si>
  <si>
    <t>공지시가
(원/㎡)</t>
    <phoneticPr fontId="4" type="noConversion"/>
  </si>
  <si>
    <t>용도</t>
    <phoneticPr fontId="4" type="noConversion"/>
  </si>
  <si>
    <t>답</t>
    <phoneticPr fontId="4" type="noConversion"/>
  </si>
  <si>
    <t>면사무소 북측</t>
    <phoneticPr fontId="4" type="noConversion"/>
  </si>
  <si>
    <t>중조마을인근</t>
    <phoneticPr fontId="4" type="noConversion"/>
  </si>
  <si>
    <t>전</t>
    <phoneticPr fontId="4" type="noConversion"/>
  </si>
  <si>
    <t>삽시초교 서측인근</t>
    <phoneticPr fontId="4" type="noConversion"/>
  </si>
  <si>
    <t>광명초교 동측인근</t>
    <phoneticPr fontId="4" type="noConversion"/>
  </si>
  <si>
    <t>전</t>
    <phoneticPr fontId="4" type="noConversion"/>
  </si>
  <si>
    <t>고대초교서측인근</t>
    <phoneticPr fontId="4" type="noConversion"/>
  </si>
  <si>
    <t>대</t>
    <phoneticPr fontId="4" type="noConversion"/>
  </si>
  <si>
    <t>전</t>
    <phoneticPr fontId="4" type="noConversion"/>
  </si>
  <si>
    <t>면사무소 남동측</t>
    <phoneticPr fontId="4" type="noConversion"/>
  </si>
  <si>
    <t>답</t>
    <phoneticPr fontId="4" type="noConversion"/>
  </si>
  <si>
    <t>관창초교인근</t>
    <phoneticPr fontId="4" type="noConversion"/>
  </si>
  <si>
    <t>보령향교 서측인근</t>
    <phoneticPr fontId="4" type="noConversion"/>
  </si>
  <si>
    <t>관산농공단디 남동측 인근</t>
    <phoneticPr fontId="4" type="noConversion"/>
  </si>
  <si>
    <t>당현동마을 남쪽</t>
    <phoneticPr fontId="4" type="noConversion"/>
  </si>
  <si>
    <t>매햘리마을 남쪽인근</t>
    <phoneticPr fontId="4" type="noConversion"/>
  </si>
  <si>
    <t>의평저수지 북동측</t>
    <phoneticPr fontId="4" type="noConversion"/>
  </si>
  <si>
    <t>새터마을 북측</t>
    <phoneticPr fontId="4" type="noConversion"/>
  </si>
  <si>
    <t>황곡교 남동측 근거리</t>
    <phoneticPr fontId="4" type="noConversion"/>
  </si>
  <si>
    <t>장고도 선착장앞</t>
    <phoneticPr fontId="4" type="noConversion"/>
  </si>
  <si>
    <t>기타</t>
    <phoneticPr fontId="4" type="noConversion"/>
  </si>
  <si>
    <t>기타</t>
    <phoneticPr fontId="4" type="noConversion"/>
  </si>
  <si>
    <t>하수관거</t>
    <phoneticPr fontId="4" type="noConversion"/>
  </si>
  <si>
    <t>배수설비</t>
    <phoneticPr fontId="4" type="noConversion"/>
  </si>
  <si>
    <t>설계비 및 감리비</t>
    <phoneticPr fontId="4" type="noConversion"/>
  </si>
  <si>
    <t>총사업비</t>
    <phoneticPr fontId="4" type="noConversion"/>
  </si>
  <si>
    <t>소규모하수도</t>
    <phoneticPr fontId="4" type="noConversion"/>
  </si>
  <si>
    <t>소계</t>
    <phoneticPr fontId="4" type="noConversion"/>
  </si>
  <si>
    <t>설계비 
및 감리비</t>
    <phoneticPr fontId="4" type="noConversion"/>
  </si>
  <si>
    <t>계</t>
    <phoneticPr fontId="4" type="noConversion"/>
  </si>
  <si>
    <t>총계</t>
    <phoneticPr fontId="4" type="noConversion"/>
  </si>
  <si>
    <t>시설비</t>
    <phoneticPr fontId="4" type="noConversion"/>
  </si>
  <si>
    <t>공공하수
처리시설</t>
    <phoneticPr fontId="4" type="noConversion"/>
  </si>
  <si>
    <t>하수처리시설</t>
    <phoneticPr fontId="4" type="noConversion"/>
  </si>
  <si>
    <t>오수관거</t>
    <phoneticPr fontId="4" type="noConversion"/>
  </si>
  <si>
    <t>우수관거</t>
    <phoneticPr fontId="4" type="noConversion"/>
  </si>
  <si>
    <t>중계펌프장</t>
    <phoneticPr fontId="4" type="noConversion"/>
  </si>
  <si>
    <t>모니터링시스템</t>
    <phoneticPr fontId="4" type="noConversion"/>
  </si>
  <si>
    <t>초기우수처리시설</t>
    <phoneticPr fontId="4" type="noConversion"/>
  </si>
  <si>
    <t>토지매입비</t>
    <phoneticPr fontId="4" type="noConversion"/>
  </si>
  <si>
    <t>구분</t>
    <phoneticPr fontId="4" type="noConversion"/>
  </si>
  <si>
    <t>(단위 : 천원)</t>
    <phoneticPr fontId="4" type="noConversion"/>
  </si>
  <si>
    <t>하수처리수 
재이용시설 포함</t>
    <phoneticPr fontId="4" type="noConversion"/>
  </si>
  <si>
    <t>설계 및 감리비</t>
    <phoneticPr fontId="4" type="noConversion"/>
  </si>
  <si>
    <t>처리장 신ㆍ증설</t>
    <phoneticPr fontId="5" type="noConversion"/>
  </si>
  <si>
    <t>계</t>
    <phoneticPr fontId="4" type="noConversion"/>
  </si>
  <si>
    <t>공급관 D100 ,L=300m</t>
    <phoneticPr fontId="4" type="noConversion"/>
  </si>
  <si>
    <t>합계</t>
    <phoneticPr fontId="4" type="noConversion"/>
  </si>
  <si>
    <t>비고</t>
    <phoneticPr fontId="4" type="noConversion"/>
  </si>
  <si>
    <r>
      <t>주) 1. 처리수 재이용시설 C= 1.25X(3,024XQ</t>
    </r>
    <r>
      <rPr>
        <vertAlign val="superscript"/>
        <sz val="10"/>
        <color theme="1"/>
        <rFont val="돋움"/>
        <family val="3"/>
        <charset val="129"/>
      </rPr>
      <t>0.643</t>
    </r>
    <r>
      <rPr>
        <sz val="10"/>
        <color theme="1"/>
        <rFont val="돋움"/>
        <family val="3"/>
        <charset val="129"/>
      </rPr>
      <t>-1,795.2XQ</t>
    </r>
    <r>
      <rPr>
        <vertAlign val="superscript"/>
        <sz val="10"/>
        <color theme="1"/>
        <rFont val="돋움"/>
        <family val="3"/>
        <charset val="129"/>
      </rPr>
      <t>0.622</t>
    </r>
    <r>
      <rPr>
        <sz val="10"/>
        <color theme="1"/>
        <rFont val="돋움"/>
        <family val="3"/>
        <charset val="129"/>
      </rPr>
      <t>)+48.95XQ</t>
    </r>
    <r>
      <rPr>
        <vertAlign val="superscript"/>
        <sz val="10"/>
        <color theme="1"/>
        <rFont val="돋움"/>
        <family val="3"/>
        <charset val="129"/>
      </rPr>
      <t>0.3855</t>
    </r>
    <r>
      <rPr>
        <sz val="10"/>
        <color theme="1"/>
        <rFont val="돋움"/>
        <family val="3"/>
        <charset val="129"/>
      </rPr>
      <t>+송수관로</t>
    </r>
    <phoneticPr fontId="4" type="noConversion"/>
  </si>
  <si>
    <t xml:space="preserve">     2. 대천해수욕장, 웅천, 무창포, 성주의 하수처리수 재이용은 농업용수(100㎥/일)공급으로 공급펌프 및 송수관로 설치</t>
    <phoneticPr fontId="4" type="noConversion"/>
  </si>
  <si>
    <t>주민친화시설</t>
    <phoneticPr fontId="4" type="noConversion"/>
  </si>
  <si>
    <t>(단위 :%)</t>
    <phoneticPr fontId="4" type="noConversion"/>
  </si>
  <si>
    <t>효자도</t>
    <phoneticPr fontId="4" type="noConversion"/>
  </si>
  <si>
    <t>답</t>
    <phoneticPr fontId="4" type="noConversion"/>
  </si>
  <si>
    <t>취락지</t>
    <phoneticPr fontId="4" type="noConversion"/>
  </si>
  <si>
    <t>1단계</t>
    <phoneticPr fontId="4" type="noConversion"/>
  </si>
  <si>
    <t>4단계</t>
    <phoneticPr fontId="4" type="noConversion"/>
  </si>
  <si>
    <t>취락지(해수욕장)</t>
    <phoneticPr fontId="5" type="noConversion"/>
  </si>
  <si>
    <t>계</t>
    <phoneticPr fontId="4" type="noConversion"/>
  </si>
  <si>
    <t>취락지(관당항)</t>
    <phoneticPr fontId="5" type="noConversion"/>
  </si>
  <si>
    <t>4단계
(2026~2030년)</t>
    <phoneticPr fontId="4" type="noConversion"/>
  </si>
  <si>
    <t>4단계
(2026~2030년)</t>
    <phoneticPr fontId="5" type="noConversion"/>
  </si>
  <si>
    <t>Ⅱ. 차집관거</t>
    <phoneticPr fontId="5" type="noConversion"/>
  </si>
  <si>
    <t>보령처리구역 차집관거</t>
    <phoneticPr fontId="4" type="noConversion"/>
  </si>
  <si>
    <t>수량</t>
    <phoneticPr fontId="4" type="noConversion"/>
  </si>
  <si>
    <t>금액</t>
    <phoneticPr fontId="4" type="noConversion"/>
  </si>
  <si>
    <t>차집관거</t>
    <phoneticPr fontId="4" type="noConversion"/>
  </si>
  <si>
    <t>대천빗물펌프장</t>
    <phoneticPr fontId="4" type="noConversion"/>
  </si>
  <si>
    <t>주) 1. 「기상이변을 대비한 수방시설 능력향상(펌프장 분야) 타당성조사(2007년, 서울시)」상의 건설비를 적용</t>
    <phoneticPr fontId="4" type="noConversion"/>
  </si>
  <si>
    <t xml:space="preserve">     2. 산정공식 Y=3880.4Ln(Q)-15511(백만원)</t>
    <phoneticPr fontId="4" type="noConversion"/>
  </si>
  <si>
    <t>(단위 :천원)</t>
    <phoneticPr fontId="4" type="noConversion"/>
  </si>
  <si>
    <t>(단위 : 천원)</t>
    <phoneticPr fontId="4" type="noConversion"/>
  </si>
  <si>
    <t>빗물펌프장</t>
    <phoneticPr fontId="4" type="noConversion"/>
  </si>
  <si>
    <t>국비</t>
    <phoneticPr fontId="4" type="noConversion"/>
  </si>
  <si>
    <t>지방비</t>
    <phoneticPr fontId="4" type="noConversion"/>
  </si>
  <si>
    <t>원인자부담</t>
    <phoneticPr fontId="4" type="noConversion"/>
  </si>
  <si>
    <t>신설</t>
    <phoneticPr fontId="4" type="noConversion"/>
  </si>
  <si>
    <t>교체</t>
    <phoneticPr fontId="4" type="noConversion"/>
  </si>
  <si>
    <t>보수</t>
    <phoneticPr fontId="4" type="noConversion"/>
  </si>
  <si>
    <t>펌프장</t>
    <phoneticPr fontId="4" type="noConversion"/>
  </si>
  <si>
    <t>비율</t>
    <phoneticPr fontId="4" type="noConversion"/>
  </si>
  <si>
    <t>구분</t>
    <phoneticPr fontId="4" type="noConversion"/>
  </si>
  <si>
    <t>사업비 총괄</t>
    <phoneticPr fontId="4" type="noConversion"/>
  </si>
  <si>
    <t>CCTV조사 및
 폐기물처리비</t>
    <phoneticPr fontId="4" type="noConversion"/>
  </si>
  <si>
    <t>초기우수
처리시설</t>
    <phoneticPr fontId="4" type="noConversion"/>
  </si>
  <si>
    <t>공공
하수
처리
시설</t>
    <phoneticPr fontId="4" type="noConversion"/>
  </si>
  <si>
    <t>하수
관거</t>
    <phoneticPr fontId="4" type="noConversion"/>
  </si>
  <si>
    <t>하수
처리수
재이용
시설</t>
    <phoneticPr fontId="4" type="noConversion"/>
  </si>
  <si>
    <t>소규모
하수처리
시설</t>
    <phoneticPr fontId="4" type="noConversion"/>
  </si>
  <si>
    <t>공공
하수처리
시설</t>
    <phoneticPr fontId="4" type="noConversion"/>
  </si>
  <si>
    <t>하수
관거</t>
    <phoneticPr fontId="4" type="noConversion"/>
  </si>
  <si>
    <t>2단계
(2011~2015년)</t>
    <phoneticPr fontId="4" type="noConversion"/>
  </si>
  <si>
    <t>3단계
(2016~2020년)</t>
    <phoneticPr fontId="4" type="noConversion"/>
  </si>
  <si>
    <t>4단계
(2021~2025년)</t>
    <phoneticPr fontId="4" type="noConversion"/>
  </si>
  <si>
    <t>2단계
(2011~2015년)</t>
    <phoneticPr fontId="5" type="noConversion"/>
  </si>
  <si>
    <t>3단계
(2016~2020년)</t>
    <phoneticPr fontId="5" type="noConversion"/>
  </si>
  <si>
    <t>4단계
(2021~2025년)</t>
    <phoneticPr fontId="5" type="noConversion"/>
  </si>
  <si>
    <t>2011~2015년</t>
    <phoneticPr fontId="4" type="noConversion"/>
  </si>
  <si>
    <t>2016~2020년</t>
    <phoneticPr fontId="4" type="noConversion"/>
  </si>
  <si>
    <t>1단계</t>
    <phoneticPr fontId="4" type="noConversion"/>
  </si>
  <si>
    <t>1단계
(~2010년까지)</t>
    <phoneticPr fontId="4" type="noConversion"/>
  </si>
  <si>
    <t>~2010년까지</t>
    <phoneticPr fontId="4" type="noConversion"/>
  </si>
  <si>
    <t>1단계
(~2010년)</t>
    <phoneticPr fontId="4" type="noConversion"/>
  </si>
  <si>
    <r>
      <t xml:space="preserve">     2. 토목공사 : Y=5.13ㆍQ</t>
    </r>
    <r>
      <rPr>
        <vertAlign val="superscript"/>
        <sz val="10"/>
        <rFont val="돋움"/>
        <family val="3"/>
        <charset val="129"/>
      </rPr>
      <t>0.804</t>
    </r>
    <r>
      <rPr>
        <sz val="10"/>
        <rFont val="돋움"/>
        <family val="3"/>
        <charset val="129"/>
      </rPr>
      <t>ㆍa,  전기공사 : Y=65.03ㆍQ</t>
    </r>
    <r>
      <rPr>
        <vertAlign val="superscript"/>
        <sz val="10"/>
        <rFont val="돋움"/>
        <family val="3"/>
        <charset val="129"/>
      </rPr>
      <t>0.386</t>
    </r>
    <r>
      <rPr>
        <sz val="10"/>
        <rFont val="돋움"/>
        <family val="3"/>
        <charset val="129"/>
      </rPr>
      <t>ㆍa,  건축공사 : Y=18.44ㆍQ</t>
    </r>
    <r>
      <rPr>
        <vertAlign val="superscript"/>
        <sz val="10"/>
        <rFont val="돋움"/>
        <family val="3"/>
        <charset val="129"/>
      </rPr>
      <t>0.526</t>
    </r>
    <r>
      <rPr>
        <sz val="10"/>
        <rFont val="돋움"/>
        <family val="3"/>
        <charset val="129"/>
      </rPr>
      <t>ㆍa,  기계공사 : Y=54.35ㆍQ</t>
    </r>
    <r>
      <rPr>
        <vertAlign val="superscript"/>
        <sz val="10"/>
        <rFont val="돋움"/>
        <family val="3"/>
        <charset val="129"/>
      </rPr>
      <t>0.493</t>
    </r>
    <r>
      <rPr>
        <sz val="10"/>
        <rFont val="돋움"/>
        <family val="3"/>
        <charset val="129"/>
      </rPr>
      <t>ㆍa,  조경공사 : Y=0.11ㆍQ</t>
    </r>
    <r>
      <rPr>
        <vertAlign val="superscript"/>
        <sz val="10"/>
        <rFont val="돋움"/>
        <family val="3"/>
        <charset val="129"/>
      </rPr>
      <t>0.941</t>
    </r>
    <r>
      <rPr>
        <sz val="10"/>
        <rFont val="돋움"/>
        <family val="3"/>
        <charset val="129"/>
      </rPr>
      <t>ㆍa
        여기서, Y : 공사비(백만원) , Q : 시설용량 (㎥/일),  a : 디플레이터 : 1.335</t>
    </r>
    <phoneticPr fontId="4" type="noConversion"/>
  </si>
  <si>
    <r>
      <t xml:space="preserve">     3. 토지매입면적 A=72.809 X Q</t>
    </r>
    <r>
      <rPr>
        <vertAlign val="superscript"/>
        <sz val="10"/>
        <rFont val="돋움"/>
        <family val="3"/>
        <charset val="129"/>
      </rPr>
      <t>0.3342</t>
    </r>
    <r>
      <rPr>
        <sz val="10"/>
        <rFont val="돋움"/>
        <family val="3"/>
        <charset val="129"/>
      </rPr>
      <t xml:space="preserve">  ,   여기서 A : 면적(㎡) , Q : 계획하수량(㎥/일)</t>
    </r>
    <phoneticPr fontId="4" type="noConversion"/>
  </si>
  <si>
    <t>BTL 시설임대료</t>
    <phoneticPr fontId="4" type="noConversion"/>
  </si>
  <si>
    <t>BTL 시설 임대료</t>
    <phoneticPr fontId="4" type="noConversion"/>
  </si>
  <si>
    <t>10.3 사업비산출</t>
    <phoneticPr fontId="5" type="noConversion"/>
  </si>
  <si>
    <t xml:space="preserve">   10.3.1 총괄사업비</t>
    <phoneticPr fontId="5" type="noConversion"/>
  </si>
  <si>
    <t xml:space="preserve">   10.3.2 단계별 재원조달계획</t>
    <phoneticPr fontId="5" type="noConversion"/>
  </si>
  <si>
    <t xml:space="preserve">   10.3.3 하수관거 사업비</t>
    <phoneticPr fontId="4" type="noConversion"/>
  </si>
  <si>
    <t xml:space="preserve">   10.3.4 하수관거 사업비 산출근거</t>
    <phoneticPr fontId="4" type="noConversion"/>
  </si>
  <si>
    <t xml:space="preserve">   10.3.5 시설부대경비 요율</t>
    <phoneticPr fontId="4" type="noConversion"/>
  </si>
  <si>
    <t xml:space="preserve">   10.3.6 소규모 하수도 사업비</t>
    <phoneticPr fontId="4" type="noConversion"/>
  </si>
  <si>
    <t xml:space="preserve">   10.3.7 소규모하수도 사업비 산출근거</t>
    <phoneticPr fontId="4" type="noConversion"/>
  </si>
  <si>
    <t xml:space="preserve">   10.3.8 소규모하수도 하수관거 사업비 산출근거</t>
    <phoneticPr fontId="4" type="noConversion"/>
  </si>
  <si>
    <t xml:space="preserve">   10.3.9 소규모하수도 공시지가</t>
    <phoneticPr fontId="4" type="noConversion"/>
  </si>
  <si>
    <t>남포면</t>
    <phoneticPr fontId="4" type="noConversion"/>
  </si>
  <si>
    <t>미산면</t>
    <phoneticPr fontId="4" type="noConversion"/>
  </si>
  <si>
    <t>오천면</t>
    <phoneticPr fontId="4" type="noConversion"/>
  </si>
  <si>
    <t>천북면</t>
    <phoneticPr fontId="4" type="noConversion"/>
  </si>
  <si>
    <t xml:space="preserve">   10.3.10 하수처리시설 사업비</t>
    <phoneticPr fontId="4" type="noConversion"/>
  </si>
  <si>
    <t xml:space="preserve">   10.3.11 빗물펌프장 사업비</t>
    <phoneticPr fontId="4" type="noConversion"/>
  </si>
  <si>
    <t>미산면</t>
  </si>
  <si>
    <t>오천면</t>
  </si>
  <si>
    <t>2단계</t>
  </si>
  <si>
    <t>3단계</t>
  </si>
  <si>
    <t>주교1리</t>
    <phoneticPr fontId="4" type="noConversion"/>
  </si>
  <si>
    <t>2단계</t>
    <phoneticPr fontId="4" type="noConversion"/>
  </si>
  <si>
    <t>3단계</t>
    <phoneticPr fontId="4" type="noConversion"/>
  </si>
  <si>
    <t>4단계</t>
    <phoneticPr fontId="4" type="noConversion"/>
  </si>
  <si>
    <t>4단계</t>
    <phoneticPr fontId="4" type="noConversion"/>
  </si>
  <si>
    <t>취락지(신대리)</t>
    <phoneticPr fontId="5" type="noConversion"/>
  </si>
  <si>
    <t xml:space="preserve">- </t>
  </si>
  <si>
    <t>회수율 70%고려하여 
10,000톤/일 계획</t>
    <phoneticPr fontId="4" type="noConversion"/>
  </si>
  <si>
    <t>주포면</t>
    <phoneticPr fontId="4" type="noConversion"/>
  </si>
  <si>
    <t>봉당리</t>
    <phoneticPr fontId="4" type="noConversion"/>
  </si>
  <si>
    <t>3단계</t>
    <phoneticPr fontId="4" type="noConversion"/>
  </si>
  <si>
    <t>봉당리</t>
    <phoneticPr fontId="4" type="noConversion"/>
  </si>
</sst>
</file>

<file path=xl/styles.xml><?xml version="1.0" encoding="utf-8"?>
<styleSheet xmlns="http://schemas.openxmlformats.org/spreadsheetml/2006/main">
  <numFmts count="34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  <numFmt numFmtId="177" formatCode="&quot;₩&quot;#,##0;&quot;₩&quot;&quot;₩&quot;&quot;₩&quot;&quot;₩&quot;\-#,##0"/>
    <numFmt numFmtId="178" formatCode="#,##0;[Red]&quot;-&quot;#,##0"/>
    <numFmt numFmtId="179" formatCode="0.00\ &quot;)&quot;"/>
    <numFmt numFmtId="180" formatCode="0.00\ &quot;)]&quot;"/>
    <numFmt numFmtId="181" formatCode="&quot;₩&quot;#,##0;[Red]&quot;₩&quot;&quot;₩&quot;&quot;₩&quot;&quot;₩&quot;\-#,##0"/>
    <numFmt numFmtId="182" formatCode="0.000\ &quot;²&quot;"/>
    <numFmt numFmtId="183" formatCode="&quot;(&quot;\ 0.00"/>
    <numFmt numFmtId="184" formatCode="&quot;[(&quot;\ 0.00"/>
    <numFmt numFmtId="185" formatCode="_ * #,##0_ ;_ * &quot;₩&quot;\!\-#,##0_ ;_ * &quot;-&quot;_ ;_ @_ "/>
    <numFmt numFmtId="186" formatCode="_ * #,##0_ ;_ * &quot;₩&quot;&quot;₩&quot;&quot;₩&quot;&quot;₩&quot;\-#,##0_ ;_ * &quot;-&quot;_ ;_ @_ "/>
    <numFmt numFmtId="187" formatCode="#,##0.00_ "/>
    <numFmt numFmtId="188" formatCode="_ * #,##0.00_ ;_ * &quot;₩&quot;\!\-#,##0.00_ ;_ * &quot;-&quot;??_ ;_ @_ "/>
    <numFmt numFmtId="189" formatCode="_-* #,##0.00_-;&quot;₩&quot;&quot;₩&quot;\-* #,##0.00_-;_-* &quot;-&quot;??_-;_-@_-"/>
    <numFmt numFmtId="190" formatCode="_-&quot;₩&quot;* #,##0.00_-;&quot;₩&quot;&quot;₩&quot;\-&quot;₩&quot;* #,##0.00_-;_-&quot;₩&quot;* &quot;-&quot;??_-;_-@_-"/>
    <numFmt numFmtId="191" formatCode="&quot;₩&quot;#,##0.00;&quot;₩&quot;&quot;₩&quot;&quot;₩&quot;&quot;₩&quot;\-#,##0.00"/>
    <numFmt numFmtId="192" formatCode="&quot;S&quot;\ #,##0;[Red]\-&quot;S&quot;\ #,##0"/>
    <numFmt numFmtId="193" formatCode="\$&quot;_x000c__x0009__x0001_-)_x0008__x0004__x0000__x0000__x0005__x0002_&quot;;[Red]\(\$#,##0\)"/>
    <numFmt numFmtId="194" formatCode="&quot;$&quot;#,##0_);[Red]\(&quot;$&quot;#,##0\)"/>
    <numFmt numFmtId="195" formatCode="mm&quot;월&quot;&quot;₩&quot;\!\ dd&quot;일&quot;"/>
    <numFmt numFmtId="196" formatCode="&quot;₩&quot;\!\$#,##0&quot;₩&quot;\!\ ;&quot;₩&quot;\!\(&quot;₩&quot;\!\$#,##0&quot;₩&quot;\!\)"/>
    <numFmt numFmtId="197" formatCode="\(&quot;$&quot;#,##0\);\(&quot;$&quot;#,##0\)"/>
    <numFmt numFmtId="198" formatCode="#,##0.0\ ;\(#,##0.0\);&quot;-&quot;\ "/>
    <numFmt numFmtId="199" formatCode="0\ &quot;EA&quot;"/>
    <numFmt numFmtId="200" formatCode="_-[$€-2]* #,##0.00_-;\-[$€-2]* #,##0.00_-;_-[$€-2]* &quot;-&quot;??_-"/>
    <numFmt numFmtId="201" formatCode="&quot;?#,##0;[Red]\-&quot;&quot;?&quot;#,##0"/>
    <numFmt numFmtId="202" formatCode="0\ &quot;t&quot;"/>
    <numFmt numFmtId="203" formatCode="0.00_ "/>
    <numFmt numFmtId="204" formatCode="#,##0_ "/>
    <numFmt numFmtId="205" formatCode="_-* #,##0.0_-;\-* #,##0.0_-;_-* &quot;-&quot;_-;_-@_-"/>
    <numFmt numFmtId="206" formatCode="#,##0_);[Red]\(#,##0\)"/>
    <numFmt numFmtId="207" formatCode="_-* #,##0_-;\-* #,##0_-;_-* &quot;-&quot;??_-;_-@_-"/>
  </numFmts>
  <fonts count="7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vertAlign val="superscript"/>
      <sz val="10"/>
      <name val="돋움"/>
      <family val="3"/>
      <charset val="129"/>
    </font>
    <font>
      <vertAlign val="superscript"/>
      <sz val="10"/>
      <color rgb="FF000000"/>
      <name val="돋움"/>
      <family val="3"/>
      <charset val="129"/>
    </font>
    <font>
      <b/>
      <sz val="11"/>
      <name val="돋움"/>
      <family val="3"/>
      <charset val="129"/>
    </font>
    <font>
      <sz val="11"/>
      <color theme="1"/>
      <name val="돋움"/>
      <family val="3"/>
      <charset val="129"/>
    </font>
    <font>
      <b/>
      <sz val="10"/>
      <color theme="3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0"/>
      <color rgb="FFFF0000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sz val="12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MS Sans Serif"/>
      <family val="2"/>
    </font>
    <font>
      <u/>
      <sz val="10"/>
      <color indexed="36"/>
      <name val="돋움"/>
      <family val="3"/>
      <charset val="129"/>
    </font>
    <font>
      <sz val="14"/>
      <name val="뼻뮝"/>
      <family val="3"/>
      <charset val="129"/>
    </font>
    <font>
      <sz val="11"/>
      <name val="굴림체"/>
      <family val="3"/>
      <charset val="129"/>
    </font>
    <font>
      <sz val="12"/>
      <name val="뼻뮝"/>
      <family val="1"/>
      <charset val="129"/>
    </font>
    <font>
      <b/>
      <sz val="12"/>
      <color indexed="16"/>
      <name val="굴림체"/>
      <family val="3"/>
      <charset val="129"/>
    </font>
    <font>
      <sz val="10"/>
      <name val="Arial"/>
      <family val="2"/>
    </font>
    <font>
      <sz val="9"/>
      <name val="돋움"/>
      <family val="3"/>
      <charset val="129"/>
    </font>
    <font>
      <sz val="9"/>
      <name val="ARIAL"/>
      <family val="2"/>
    </font>
    <font>
      <sz val="12"/>
      <name val="¹UAAA¼"/>
      <family val="1"/>
      <charset val="129"/>
    </font>
    <font>
      <b/>
      <sz val="10"/>
      <name val="Helv"/>
      <family val="2"/>
    </font>
    <font>
      <sz val="10"/>
      <color indexed="24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2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10"/>
      <color theme="5" tint="-0.249977111117893"/>
      <name val="굴림"/>
      <family val="3"/>
      <charset val="129"/>
    </font>
    <font>
      <b/>
      <sz val="10"/>
      <color theme="6" tint="-0.499984740745262"/>
      <name val="굴림"/>
      <family val="3"/>
      <charset val="129"/>
    </font>
    <font>
      <b/>
      <sz val="10"/>
      <color rgb="FFFF0000"/>
      <name val="굴림"/>
      <family val="3"/>
      <charset val="129"/>
    </font>
    <font>
      <b/>
      <sz val="10"/>
      <color theme="3"/>
      <name val="굴림"/>
      <family val="3"/>
      <charset val="129"/>
    </font>
    <font>
      <sz val="10"/>
      <name val="돋움체"/>
      <family val="3"/>
      <charset val="129"/>
    </font>
    <font>
      <sz val="10"/>
      <color theme="1"/>
      <name val="돋움체"/>
      <family val="3"/>
      <charset val="129"/>
    </font>
    <font>
      <sz val="10"/>
      <color indexed="8"/>
      <name val="돋움체"/>
      <family val="3"/>
      <charset val="129"/>
    </font>
    <font>
      <b/>
      <sz val="10"/>
      <name val="돋움체"/>
      <family val="3"/>
      <charset val="129"/>
    </font>
    <font>
      <b/>
      <sz val="10"/>
      <color indexed="8"/>
      <name val="돋움체"/>
      <family val="3"/>
      <charset val="129"/>
    </font>
    <font>
      <sz val="10"/>
      <color rgb="FF000000"/>
      <name val="돋움체"/>
      <family val="3"/>
      <charset val="129"/>
    </font>
    <font>
      <b/>
      <sz val="10"/>
      <color rgb="FF000000"/>
      <name val="돋움체"/>
      <family val="3"/>
      <charset val="129"/>
    </font>
    <font>
      <sz val="10"/>
      <color theme="5" tint="-0.249977111117893"/>
      <name val="돋움체"/>
      <family val="3"/>
      <charset val="129"/>
    </font>
    <font>
      <sz val="10"/>
      <color theme="7" tint="-0.249977111117893"/>
      <name val="돋움체"/>
      <family val="3"/>
      <charset val="129"/>
    </font>
    <font>
      <sz val="10"/>
      <color theme="3"/>
      <name val="돋움체"/>
      <family val="3"/>
      <charset val="129"/>
    </font>
    <font>
      <sz val="10"/>
      <color rgb="FFFF0000"/>
      <name val="돋움체"/>
      <family val="3"/>
      <charset val="129"/>
    </font>
    <font>
      <sz val="9"/>
      <color theme="1"/>
      <name val="돋움"/>
      <family val="3"/>
      <charset val="129"/>
    </font>
    <font>
      <sz val="10"/>
      <color theme="3"/>
      <name val="돋움"/>
      <family val="3"/>
      <charset val="129"/>
    </font>
    <font>
      <vertAlign val="superscript"/>
      <sz val="10"/>
      <color theme="1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sz val="8.5"/>
      <color rgb="FFFF0000"/>
      <name val="돋움"/>
      <family val="3"/>
      <charset val="129"/>
    </font>
    <font>
      <sz val="8.5"/>
      <color theme="1"/>
      <name val="돋움"/>
      <family val="3"/>
      <charset val="129"/>
    </font>
    <font>
      <sz val="8.5"/>
      <color theme="3"/>
      <name val="돋움"/>
      <family val="3"/>
      <charset val="129"/>
    </font>
    <font>
      <b/>
      <sz val="10"/>
      <name val="-윤고딕120"/>
      <family val="1"/>
      <charset val="129"/>
    </font>
    <font>
      <sz val="11"/>
      <name val="(한)문화방송"/>
      <family val="1"/>
      <charset val="129"/>
    </font>
    <font>
      <sz val="11"/>
      <color theme="1"/>
      <name val="한양신명조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0" fillId="0" borderId="0"/>
    <xf numFmtId="0" fontId="20" fillId="0" borderId="16">
      <alignment horizontal="center"/>
    </xf>
    <xf numFmtId="9" fontId="20" fillId="0" borderId="0">
      <protection locked="0"/>
    </xf>
    <xf numFmtId="177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>
      <protection locked="0"/>
    </xf>
    <xf numFmtId="3" fontId="23" fillId="0" borderId="20">
      <alignment horizontal="center"/>
    </xf>
    <xf numFmtId="0" fontId="22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4" borderId="0" applyFill="0" applyBorder="0" applyProtection="0">
      <alignment horizontal="right"/>
    </xf>
    <xf numFmtId="10" fontId="26" fillId="0" borderId="0" applyFill="0" applyBorder="0" applyProtection="0">
      <alignment horizontal="right"/>
    </xf>
    <xf numFmtId="0" fontId="27" fillId="0" borderId="0"/>
    <xf numFmtId="178" fontId="28" fillId="0" borderId="0">
      <alignment vertical="center"/>
    </xf>
    <xf numFmtId="0" fontId="29" fillId="0" borderId="0"/>
    <xf numFmtId="179" fontId="30" fillId="0" borderId="0" applyFill="0" applyBorder="0">
      <alignment horizontal="centerContinuous"/>
    </xf>
    <xf numFmtId="180" fontId="30" fillId="0" borderId="0" applyFill="0" applyBorder="0">
      <alignment horizontal="centerContinuous"/>
    </xf>
    <xf numFmtId="2" fontId="30" fillId="0" borderId="0" applyFill="0" applyBorder="0" applyProtection="0">
      <alignment horizontal="centerContinuous"/>
    </xf>
    <xf numFmtId="4" fontId="22" fillId="0" borderId="0">
      <protection locked="0"/>
    </xf>
    <xf numFmtId="181" fontId="20" fillId="0" borderId="0">
      <protection locked="0"/>
    </xf>
    <xf numFmtId="182" fontId="31" fillId="0" borderId="0" applyFill="0" applyBorder="0">
      <alignment horizontal="centerContinuous"/>
    </xf>
    <xf numFmtId="183" fontId="30" fillId="0" borderId="0" applyFill="0" applyBorder="0">
      <alignment horizontal="centerContinuous"/>
    </xf>
    <xf numFmtId="184" fontId="30" fillId="0" borderId="0" applyFill="0" applyBorder="0">
      <alignment horizontal="centerContinuous"/>
    </xf>
    <xf numFmtId="0" fontId="20" fillId="0" borderId="0"/>
    <xf numFmtId="185" fontId="20" fillId="0" borderId="0" applyFont="0" applyFill="0" applyBorder="0" applyAlignment="0" applyProtection="0"/>
    <xf numFmtId="186" fontId="29" fillId="0" borderId="12"/>
    <xf numFmtId="187" fontId="26" fillId="4" borderId="0" applyFill="0" applyBorder="0" applyProtection="0">
      <alignment horizontal="right"/>
    </xf>
    <xf numFmtId="188" fontId="20" fillId="0" borderId="0" applyFont="0" applyFill="0" applyBorder="0" applyAlignment="0" applyProtection="0"/>
    <xf numFmtId="189" fontId="20" fillId="0" borderId="0">
      <protection locked="0"/>
    </xf>
    <xf numFmtId="0" fontId="2" fillId="0" borderId="0"/>
    <xf numFmtId="0" fontId="22" fillId="0" borderId="32">
      <protection locked="0"/>
    </xf>
    <xf numFmtId="190" fontId="20" fillId="0" borderId="0">
      <protection locked="0"/>
    </xf>
    <xf numFmtId="191" fontId="20" fillId="0" borderId="0">
      <protection locked="0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92" fontId="2" fillId="0" borderId="0" applyFill="0" applyBorder="0" applyAlignment="0"/>
    <xf numFmtId="0" fontId="33" fillId="0" borderId="0"/>
    <xf numFmtId="38" fontId="23" fillId="0" borderId="0" applyFont="0" applyFill="0" applyBorder="0" applyAlignment="0" applyProtection="0"/>
    <xf numFmtId="193" fontId="2" fillId="0" borderId="0"/>
    <xf numFmtId="188" fontId="29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5" fillId="0" borderId="0" applyNumberFormat="0" applyAlignment="0">
      <alignment horizontal="left"/>
    </xf>
    <xf numFmtId="194" fontId="23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34" fillId="0" borderId="0" applyFont="0" applyFill="0" applyBorder="0" applyAlignment="0" applyProtection="0"/>
    <xf numFmtId="197" fontId="2" fillId="0" borderId="0"/>
    <xf numFmtId="0" fontId="34" fillId="0" borderId="0" applyFont="0" applyFill="0" applyBorder="0" applyAlignment="0" applyProtection="0"/>
    <xf numFmtId="198" fontId="2" fillId="0" borderId="0"/>
    <xf numFmtId="199" fontId="31" fillId="0" borderId="0" applyFill="0" applyBorder="0">
      <alignment horizontal="centerContinuous"/>
    </xf>
    <xf numFmtId="0" fontId="36" fillId="0" borderId="0" applyNumberFormat="0" applyAlignment="0">
      <alignment horizontal="left"/>
    </xf>
    <xf numFmtId="200" fontId="2" fillId="0" borderId="0" applyFont="0" applyFill="0" applyBorder="0" applyAlignment="0" applyProtection="0"/>
    <xf numFmtId="2" fontId="34" fillId="0" borderId="0" applyFont="0" applyFill="0" applyBorder="0" applyAlignment="0" applyProtection="0"/>
    <xf numFmtId="38" fontId="37" fillId="3" borderId="0" applyNumberFormat="0" applyBorder="0" applyAlignment="0" applyProtection="0"/>
    <xf numFmtId="0" fontId="38" fillId="0" borderId="0">
      <alignment horizontal="left"/>
    </xf>
    <xf numFmtId="0" fontId="39" fillId="0" borderId="33" applyNumberFormat="0" applyAlignment="0" applyProtection="0">
      <alignment horizontal="left" vertical="center"/>
    </xf>
    <xf numFmtId="0" fontId="39" fillId="0" borderId="34">
      <alignment horizontal="left" vertical="center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Protection="0"/>
    <xf numFmtId="0" fontId="39" fillId="0" borderId="0" applyProtection="0"/>
    <xf numFmtId="10" fontId="37" fillId="5" borderId="12" applyNumberFormat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3" fillId="0" borderId="35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2" fillId="0" borderId="0"/>
    <xf numFmtId="0" fontId="29" fillId="0" borderId="0"/>
    <xf numFmtId="10" fontId="29" fillId="0" borderId="0" applyFont="0" applyFill="0" applyBorder="0" applyAlignment="0" applyProtection="0"/>
    <xf numFmtId="10" fontId="44" fillId="0" borderId="0" applyProtection="0"/>
    <xf numFmtId="30" fontId="45" fillId="0" borderId="0" applyNumberFormat="0" applyFill="0" applyBorder="0" applyAlignment="0" applyProtection="0">
      <alignment horizontal="left"/>
    </xf>
    <xf numFmtId="0" fontId="43" fillId="0" borderId="0"/>
    <xf numFmtId="40" fontId="46" fillId="0" borderId="0" applyBorder="0">
      <alignment horizontal="right"/>
    </xf>
    <xf numFmtId="0" fontId="47" fillId="0" borderId="0" applyFill="0" applyBorder="0" applyProtection="0">
      <alignment horizontal="centerContinuous" vertical="center"/>
    </xf>
    <xf numFmtId="0" fontId="48" fillId="4" borderId="0" applyFill="0" applyBorder="0" applyProtection="0">
      <alignment horizontal="center" vertical="center"/>
    </xf>
    <xf numFmtId="202" fontId="31" fillId="0" borderId="0" applyFill="0" applyBorder="0">
      <alignment horizontal="centerContinuous"/>
    </xf>
    <xf numFmtId="0" fontId="34" fillId="0" borderId="32" applyNumberFormat="0" applyFont="0" applyFill="0" applyAlignment="0" applyProtection="0"/>
    <xf numFmtId="9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6" fillId="0" borderId="0"/>
  </cellStyleXfs>
  <cellXfs count="541">
    <xf numFmtId="0" fontId="0" fillId="0" borderId="0" xfId="0">
      <alignment vertical="center"/>
    </xf>
    <xf numFmtId="0" fontId="6" fillId="0" borderId="0" xfId="2" applyFont="1" applyFill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41" fontId="9" fillId="0" borderId="4" xfId="3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7" xfId="0" applyFont="1" applyBorder="1">
      <alignment vertical="center"/>
    </xf>
    <xf numFmtId="41" fontId="6" fillId="0" borderId="17" xfId="1" applyFont="1" applyBorder="1" applyAlignment="1">
      <alignment horizontal="center" vertical="center"/>
    </xf>
    <xf numFmtId="41" fontId="6" fillId="0" borderId="17" xfId="1" applyFont="1" applyBorder="1" applyAlignment="1">
      <alignment horizontal="left" vertical="center"/>
    </xf>
    <xf numFmtId="41" fontId="6" fillId="0" borderId="18" xfId="1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41" fontId="6" fillId="0" borderId="17" xfId="1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1" fontId="6" fillId="0" borderId="17" xfId="1" applyFont="1" applyBorder="1">
      <alignment vertical="center"/>
    </xf>
    <xf numFmtId="0" fontId="6" fillId="0" borderId="17" xfId="0" applyFont="1" applyBorder="1" applyAlignment="1">
      <alignment horizontal="centerContinuous" vertical="center"/>
    </xf>
    <xf numFmtId="41" fontId="6" fillId="0" borderId="17" xfId="1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Continuous" vertical="center"/>
    </xf>
    <xf numFmtId="41" fontId="6" fillId="0" borderId="20" xfId="1" applyFont="1" applyBorder="1" applyAlignment="1">
      <alignment horizontal="left" vertical="center"/>
    </xf>
    <xf numFmtId="41" fontId="6" fillId="0" borderId="20" xfId="1" applyFont="1" applyFill="1" applyBorder="1" applyAlignment="1">
      <alignment horizontal="left" vertical="center"/>
    </xf>
    <xf numFmtId="41" fontId="13" fillId="0" borderId="0" xfId="1" applyFont="1" applyFill="1" applyAlignment="1">
      <alignment horizontal="left" vertical="center"/>
    </xf>
    <xf numFmtId="0" fontId="14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4" fillId="0" borderId="4" xfId="0" applyFont="1" applyFill="1" applyBorder="1">
      <alignment vertical="center"/>
    </xf>
    <xf numFmtId="41" fontId="14" fillId="0" borderId="0" xfId="0" applyNumberFormat="1" applyFont="1" applyFill="1">
      <alignment vertical="center"/>
    </xf>
    <xf numFmtId="41" fontId="3" fillId="0" borderId="4" xfId="1" applyFont="1" applyFill="1" applyBorder="1" applyAlignment="1">
      <alignment horizontal="center" vertical="center" wrapText="1"/>
    </xf>
    <xf numFmtId="41" fontId="6" fillId="0" borderId="4" xfId="1" applyFont="1" applyFill="1" applyBorder="1" applyAlignment="1">
      <alignment horizontal="center" vertical="center" wrapText="1"/>
    </xf>
    <xf numFmtId="41" fontId="6" fillId="0" borderId="7" xfId="1" applyFont="1" applyFill="1" applyBorder="1" applyAlignment="1">
      <alignment horizontal="center" vertical="center" wrapText="1"/>
    </xf>
    <xf numFmtId="41" fontId="9" fillId="0" borderId="4" xfId="1" applyFont="1" applyBorder="1" applyAlignment="1">
      <alignment horizontal="center" vertical="center" wrapText="1"/>
    </xf>
    <xf numFmtId="41" fontId="9" fillId="0" borderId="7" xfId="1" applyFont="1" applyBorder="1" applyAlignment="1">
      <alignment horizontal="center" vertical="center" wrapText="1"/>
    </xf>
    <xf numFmtId="41" fontId="6" fillId="0" borderId="0" xfId="1" applyFont="1" applyFill="1" applyAlignment="1">
      <alignment horizontal="center" vertical="center"/>
    </xf>
    <xf numFmtId="41" fontId="9" fillId="0" borderId="3" xfId="1" applyFont="1" applyBorder="1" applyAlignment="1">
      <alignment horizontal="center" vertical="center" wrapText="1"/>
    </xf>
    <xf numFmtId="41" fontId="9" fillId="0" borderId="6" xfId="1" applyFont="1" applyBorder="1" applyAlignment="1">
      <alignment horizontal="center" vertical="center" wrapText="1"/>
    </xf>
    <xf numFmtId="4" fontId="15" fillId="0" borderId="4" xfId="3" applyNumberFormat="1" applyFont="1" applyBorder="1" applyAlignment="1">
      <alignment horizontal="center" vertical="center" wrapText="1"/>
    </xf>
    <xf numFmtId="41" fontId="15" fillId="0" borderId="4" xfId="1" applyFont="1" applyBorder="1" applyAlignment="1">
      <alignment horizontal="center" vertical="center" wrapText="1"/>
    </xf>
    <xf numFmtId="41" fontId="15" fillId="0" borderId="3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1" fontId="6" fillId="0" borderId="0" xfId="1" applyFont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center" vertical="center"/>
    </xf>
    <xf numFmtId="41" fontId="19" fillId="0" borderId="0" xfId="5" applyFont="1" applyFill="1" applyBorder="1" applyAlignment="1">
      <alignment horizontal="center" vertical="center"/>
    </xf>
    <xf numFmtId="41" fontId="19" fillId="0" borderId="0" xfId="5" applyFont="1" applyFill="1" applyBorder="1" applyAlignment="1">
      <alignment vertical="center"/>
    </xf>
    <xf numFmtId="0" fontId="19" fillId="0" borderId="0" xfId="4" applyFont="1" applyFill="1" applyBorder="1" applyAlignment="1">
      <alignment horizontal="left" vertical="center"/>
    </xf>
    <xf numFmtId="0" fontId="19" fillId="0" borderId="0" xfId="4" applyFont="1" applyFill="1" applyBorder="1">
      <alignment vertical="center"/>
    </xf>
    <xf numFmtId="0" fontId="19" fillId="0" borderId="0" xfId="4" applyFont="1" applyFill="1" applyBorder="1" applyAlignment="1">
      <alignment horizontal="center"/>
    </xf>
    <xf numFmtId="41" fontId="19" fillId="0" borderId="0" xfId="5" applyFont="1" applyFill="1" applyBorder="1" applyAlignment="1">
      <alignment horizontal="center"/>
    </xf>
    <xf numFmtId="41" fontId="19" fillId="0" borderId="0" xfId="5" applyFont="1" applyFill="1" applyBorder="1">
      <alignment vertical="center"/>
    </xf>
    <xf numFmtId="0" fontId="49" fillId="0" borderId="0" xfId="4" applyFont="1" applyFill="1" applyBorder="1" applyAlignment="1">
      <alignment vertical="center"/>
    </xf>
    <xf numFmtId="0" fontId="50" fillId="0" borderId="0" xfId="4" applyFont="1" applyFill="1" applyBorder="1" applyAlignment="1">
      <alignment vertical="center"/>
    </xf>
    <xf numFmtId="0" fontId="51" fillId="0" borderId="0" xfId="4" applyFont="1" applyFill="1" applyBorder="1" applyAlignment="1">
      <alignment vertical="center"/>
    </xf>
    <xf numFmtId="0" fontId="52" fillId="0" borderId="0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0" fontId="54" fillId="0" borderId="0" xfId="0" applyFont="1">
      <alignment vertical="center"/>
    </xf>
    <xf numFmtId="41" fontId="54" fillId="0" borderId="0" xfId="0" applyNumberFormat="1" applyFont="1">
      <alignment vertical="center"/>
    </xf>
    <xf numFmtId="0" fontId="55" fillId="0" borderId="39" xfId="0" applyFont="1" applyBorder="1" applyAlignment="1">
      <alignment horizontal="center" vertical="center" wrapText="1"/>
    </xf>
    <xf numFmtId="0" fontId="55" fillId="0" borderId="40" xfId="0" applyFont="1" applyBorder="1" applyAlignment="1">
      <alignment horizontal="center" vertical="center" wrapText="1"/>
    </xf>
    <xf numFmtId="203" fontId="55" fillId="0" borderId="40" xfId="0" applyNumberFormat="1" applyFont="1" applyBorder="1" applyAlignment="1">
      <alignment horizontal="center" vertical="center" wrapText="1"/>
    </xf>
    <xf numFmtId="0" fontId="55" fillId="0" borderId="42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 vertical="center" wrapText="1"/>
    </xf>
    <xf numFmtId="0" fontId="55" fillId="0" borderId="45" xfId="0" applyFont="1" applyBorder="1" applyAlignment="1">
      <alignment horizontal="center" vertical="center" wrapText="1"/>
    </xf>
    <xf numFmtId="0" fontId="55" fillId="0" borderId="46" xfId="0" applyFont="1" applyBorder="1" applyAlignment="1">
      <alignment horizontal="center" vertical="center" wrapText="1"/>
    </xf>
    <xf numFmtId="0" fontId="57" fillId="2" borderId="48" xfId="0" applyFont="1" applyFill="1" applyBorder="1" applyAlignment="1">
      <alignment horizontal="center" vertical="center" wrapText="1"/>
    </xf>
    <xf numFmtId="0" fontId="57" fillId="2" borderId="49" xfId="0" applyFont="1" applyFill="1" applyBorder="1" applyAlignment="1">
      <alignment horizontal="center" vertical="center" wrapText="1"/>
    </xf>
    <xf numFmtId="0" fontId="57" fillId="2" borderId="50" xfId="0" applyFont="1" applyFill="1" applyBorder="1" applyAlignment="1">
      <alignment horizontal="center" vertical="center" wrapText="1"/>
    </xf>
    <xf numFmtId="41" fontId="8" fillId="2" borderId="3" xfId="1" applyFont="1" applyFill="1" applyBorder="1" applyAlignment="1">
      <alignment horizontal="center" vertical="center" wrapText="1"/>
    </xf>
    <xf numFmtId="41" fontId="8" fillId="2" borderId="4" xfId="1" applyFont="1" applyFill="1" applyBorder="1" applyAlignment="1">
      <alignment horizontal="center" vertical="center" wrapText="1"/>
    </xf>
    <xf numFmtId="41" fontId="58" fillId="0" borderId="4" xfId="1" applyFont="1" applyBorder="1" applyAlignment="1">
      <alignment horizontal="right" vertical="center" wrapText="1"/>
    </xf>
    <xf numFmtId="41" fontId="58" fillId="0" borderId="5" xfId="1" applyFont="1" applyBorder="1" applyAlignment="1">
      <alignment horizontal="right" vertical="center" wrapText="1"/>
    </xf>
    <xf numFmtId="41" fontId="58" fillId="0" borderId="7" xfId="1" applyFont="1" applyBorder="1" applyAlignment="1">
      <alignment horizontal="right" vertical="center" wrapText="1"/>
    </xf>
    <xf numFmtId="41" fontId="58" fillId="0" borderId="8" xfId="1" applyFont="1" applyBorder="1" applyAlignment="1">
      <alignment horizontal="right" vertical="center" wrapText="1"/>
    </xf>
    <xf numFmtId="41" fontId="60" fillId="0" borderId="4" xfId="1" applyFont="1" applyBorder="1" applyAlignment="1">
      <alignment horizontal="right" vertical="center" wrapText="1"/>
    </xf>
    <xf numFmtId="41" fontId="61" fillId="0" borderId="4" xfId="1" applyFont="1" applyBorder="1" applyAlignment="1">
      <alignment horizontal="right" vertical="center" wrapText="1"/>
    </xf>
    <xf numFmtId="41" fontId="62" fillId="0" borderId="4" xfId="1" applyFont="1" applyBorder="1" applyAlignment="1">
      <alignment horizontal="right" vertical="center" wrapText="1"/>
    </xf>
    <xf numFmtId="41" fontId="63" fillId="0" borderId="10" xfId="1" applyFont="1" applyBorder="1" applyAlignment="1">
      <alignment horizontal="right" vertical="center" wrapText="1"/>
    </xf>
    <xf numFmtId="0" fontId="59" fillId="2" borderId="58" xfId="0" applyFont="1" applyFill="1" applyBorder="1" applyAlignment="1">
      <alignment horizontal="center" vertical="center" wrapText="1"/>
    </xf>
    <xf numFmtId="41" fontId="63" fillId="0" borderId="2" xfId="1" applyFont="1" applyBorder="1" applyAlignment="1">
      <alignment horizontal="right" vertical="center" wrapText="1"/>
    </xf>
    <xf numFmtId="41" fontId="63" fillId="0" borderId="53" xfId="1" applyFont="1" applyBorder="1" applyAlignment="1">
      <alignment horizontal="right" vertical="center" wrapText="1"/>
    </xf>
    <xf numFmtId="41" fontId="62" fillId="0" borderId="5" xfId="1" applyFont="1" applyBorder="1" applyAlignment="1">
      <alignment horizontal="right" vertical="center" wrapText="1"/>
    </xf>
    <xf numFmtId="41" fontId="61" fillId="0" borderId="5" xfId="1" applyFont="1" applyBorder="1" applyAlignment="1">
      <alignment horizontal="right" vertical="center" wrapText="1"/>
    </xf>
    <xf numFmtId="41" fontId="60" fillId="0" borderId="5" xfId="1" applyFont="1" applyBorder="1" applyAlignment="1">
      <alignment horizontal="right" vertical="center" wrapText="1"/>
    </xf>
    <xf numFmtId="41" fontId="63" fillId="0" borderId="52" xfId="1" applyFont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/>
    </xf>
    <xf numFmtId="41" fontId="3" fillId="0" borderId="7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41" fontId="10" fillId="0" borderId="4" xfId="1" applyFont="1" applyFill="1" applyBorder="1" applyAlignment="1">
      <alignment horizontal="center" vertical="center" wrapText="1"/>
    </xf>
    <xf numFmtId="176" fontId="6" fillId="0" borderId="4" xfId="1" applyNumberFormat="1" applyFont="1" applyFill="1" applyBorder="1" applyAlignment="1">
      <alignment horizontal="center" vertical="center" wrapText="1"/>
    </xf>
    <xf numFmtId="41" fontId="8" fillId="2" borderId="5" xfId="1" applyFont="1" applyFill="1" applyBorder="1" applyAlignment="1">
      <alignment horizontal="center" vertical="center" wrapText="1"/>
    </xf>
    <xf numFmtId="41" fontId="15" fillId="0" borderId="5" xfId="1" applyFont="1" applyBorder="1" applyAlignment="1">
      <alignment horizontal="center" vertical="center" wrapText="1"/>
    </xf>
    <xf numFmtId="41" fontId="9" fillId="0" borderId="5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1" fontId="53" fillId="0" borderId="4" xfId="1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7" xfId="3" applyFont="1" applyBorder="1" applyAlignment="1">
      <alignment horizontal="center" vertical="center" wrapText="1"/>
    </xf>
    <xf numFmtId="41" fontId="53" fillId="0" borderId="7" xfId="1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41" fontId="16" fillId="0" borderId="57" xfId="1" applyFont="1" applyFill="1" applyBorder="1" applyAlignment="1">
      <alignment horizontal="center" vertical="center" wrapText="1"/>
    </xf>
    <xf numFmtId="0" fontId="16" fillId="0" borderId="57" xfId="3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/>
    </xf>
    <xf numFmtId="41" fontId="15" fillId="0" borderId="2" xfId="1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41" fontId="9" fillId="0" borderId="4" xfId="0" applyNumberFormat="1" applyFont="1" applyBorder="1">
      <alignment vertical="center"/>
    </xf>
    <xf numFmtId="41" fontId="9" fillId="0" borderId="5" xfId="0" applyNumberFormat="1" applyFont="1" applyBorder="1">
      <alignment vertical="center"/>
    </xf>
    <xf numFmtId="41" fontId="9" fillId="0" borderId="7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4" fillId="0" borderId="0" xfId="0" applyFont="1" applyAlignment="1"/>
    <xf numFmtId="41" fontId="65" fillId="0" borderId="17" xfId="1" applyFont="1" applyFill="1" applyBorder="1" applyAlignment="1">
      <alignment horizontal="center" vertical="center"/>
    </xf>
    <xf numFmtId="41" fontId="6" fillId="0" borderId="37" xfId="1" applyFont="1" applyBorder="1" applyAlignment="1">
      <alignment horizontal="center" vertical="center"/>
    </xf>
    <xf numFmtId="41" fontId="16" fillId="0" borderId="37" xfId="1" applyFont="1" applyBorder="1" applyAlignment="1">
      <alignment horizontal="center" vertical="center"/>
    </xf>
    <xf numFmtId="0" fontId="6" fillId="0" borderId="65" xfId="0" applyFont="1" applyBorder="1" applyAlignment="1">
      <alignment horizontal="centerContinuous" vertical="center"/>
    </xf>
    <xf numFmtId="41" fontId="6" fillId="0" borderId="65" xfId="1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1" fontId="6" fillId="2" borderId="68" xfId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41" fontId="6" fillId="0" borderId="60" xfId="1" applyFont="1" applyBorder="1" applyAlignment="1">
      <alignment horizontal="center" vertical="center"/>
    </xf>
    <xf numFmtId="41" fontId="16" fillId="0" borderId="60" xfId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55" fillId="0" borderId="47" xfId="0" applyFont="1" applyBorder="1" applyAlignment="1">
      <alignment horizontal="center" vertical="center" wrapText="1"/>
    </xf>
    <xf numFmtId="0" fontId="55" fillId="0" borderId="41" xfId="0" applyFont="1" applyBorder="1" applyAlignment="1">
      <alignment horizontal="center" vertical="center" wrapText="1"/>
    </xf>
    <xf numFmtId="0" fontId="55" fillId="0" borderId="44" xfId="0" applyFont="1" applyBorder="1" applyAlignment="1">
      <alignment horizontal="center" vertical="center" wrapText="1"/>
    </xf>
    <xf numFmtId="0" fontId="54" fillId="0" borderId="0" xfId="0" applyFont="1" applyAlignment="1">
      <alignment horizontal="right"/>
    </xf>
    <xf numFmtId="41" fontId="9" fillId="0" borderId="0" xfId="0" applyNumberFormat="1" applyFont="1">
      <alignment vertical="center"/>
    </xf>
    <xf numFmtId="41" fontId="6" fillId="0" borderId="0" xfId="2" applyNumberFormat="1" applyFont="1" applyFill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1" fontId="6" fillId="2" borderId="68" xfId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9" fontId="9" fillId="0" borderId="0" xfId="91" applyFont="1" applyAlignment="1">
      <alignment horizontal="center" vertical="center"/>
    </xf>
    <xf numFmtId="9" fontId="9" fillId="2" borderId="60" xfId="91" applyFont="1" applyFill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13" fillId="0" borderId="0" xfId="92" applyFont="1" applyFill="1" applyAlignment="1">
      <alignment horizontal="left" vertical="center"/>
    </xf>
    <xf numFmtId="0" fontId="3" fillId="0" borderId="0" xfId="93" applyFont="1" applyBorder="1" applyAlignment="1">
      <alignment horizontal="left" vertical="center"/>
    </xf>
    <xf numFmtId="0" fontId="56" fillId="0" borderId="78" xfId="4" applyFont="1" applyFill="1" applyBorder="1" applyAlignment="1">
      <alignment vertical="center"/>
    </xf>
    <xf numFmtId="41" fontId="68" fillId="0" borderId="17" xfId="1" applyFont="1" applyBorder="1" applyAlignment="1">
      <alignment horizontal="center" vertical="center"/>
    </xf>
    <xf numFmtId="41" fontId="68" fillId="0" borderId="30" xfId="1" applyFont="1" applyBorder="1" applyAlignment="1">
      <alignment horizontal="center" vertical="center"/>
    </xf>
    <xf numFmtId="0" fontId="69" fillId="0" borderId="18" xfId="0" applyFont="1" applyBorder="1" applyAlignment="1">
      <alignment horizontal="center" vertical="center"/>
    </xf>
    <xf numFmtId="41" fontId="70" fillId="0" borderId="17" xfId="1" applyFont="1" applyBorder="1" applyAlignment="1">
      <alignment horizontal="center" vertical="center"/>
    </xf>
    <xf numFmtId="41" fontId="70" fillId="0" borderId="30" xfId="1" applyFont="1" applyBorder="1" applyAlignment="1">
      <alignment horizontal="center" vertical="center"/>
    </xf>
    <xf numFmtId="41" fontId="69" fillId="0" borderId="17" xfId="1" applyFont="1" applyBorder="1" applyAlignment="1">
      <alignment horizontal="center" vertical="center"/>
    </xf>
    <xf numFmtId="41" fontId="69" fillId="0" borderId="30" xfId="1" applyFont="1" applyBorder="1" applyAlignment="1">
      <alignment horizontal="center" vertical="center"/>
    </xf>
    <xf numFmtId="0" fontId="69" fillId="0" borderId="18" xfId="0" applyFont="1" applyBorder="1" applyAlignment="1">
      <alignment horizontal="center" vertical="center" wrapText="1"/>
    </xf>
    <xf numFmtId="41" fontId="69" fillId="0" borderId="18" xfId="0" applyNumberFormat="1" applyFont="1" applyBorder="1" applyAlignment="1">
      <alignment horizontal="center" vertical="center"/>
    </xf>
    <xf numFmtId="0" fontId="70" fillId="0" borderId="18" xfId="0" applyFont="1" applyBorder="1" applyAlignment="1">
      <alignment horizontal="center" vertical="center"/>
    </xf>
    <xf numFmtId="41" fontId="69" fillId="0" borderId="20" xfId="1" applyFont="1" applyBorder="1" applyAlignment="1">
      <alignment horizontal="center" vertical="center"/>
    </xf>
    <xf numFmtId="41" fontId="69" fillId="0" borderId="63" xfId="1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9" fontId="9" fillId="0" borderId="80" xfId="91" applyFont="1" applyBorder="1" applyAlignment="1">
      <alignment horizontal="center" vertical="center"/>
    </xf>
    <xf numFmtId="41" fontId="58" fillId="0" borderId="4" xfId="1" applyFont="1" applyFill="1" applyBorder="1" applyAlignment="1">
      <alignment horizontal="right" vertical="center" wrapText="1"/>
    </xf>
    <xf numFmtId="41" fontId="60" fillId="0" borderId="4" xfId="1" applyFont="1" applyFill="1" applyBorder="1" applyAlignment="1">
      <alignment horizontal="right" vertical="center" wrapText="1"/>
    </xf>
    <xf numFmtId="41" fontId="18" fillId="2" borderId="83" xfId="5" applyFont="1" applyFill="1" applyBorder="1" applyAlignment="1">
      <alignment horizontal="center" vertical="center"/>
    </xf>
    <xf numFmtId="41" fontId="18" fillId="2" borderId="84" xfId="5" applyFont="1" applyFill="1" applyBorder="1" applyAlignment="1">
      <alignment horizontal="center" vertical="center"/>
    </xf>
    <xf numFmtId="0" fontId="19" fillId="0" borderId="83" xfId="4" applyFont="1" applyFill="1" applyBorder="1" applyAlignment="1">
      <alignment horizontal="center" vertical="center"/>
    </xf>
    <xf numFmtId="41" fontId="18" fillId="0" borderId="83" xfId="5" applyFont="1" applyFill="1" applyBorder="1" applyAlignment="1">
      <alignment horizontal="center" vertical="center"/>
    </xf>
    <xf numFmtId="41" fontId="18" fillId="0" borderId="83" xfId="5" applyNumberFormat="1" applyFont="1" applyFill="1" applyBorder="1" applyAlignment="1">
      <alignment horizontal="center" vertical="center"/>
    </xf>
    <xf numFmtId="41" fontId="18" fillId="0" borderId="84" xfId="5" applyNumberFormat="1" applyFont="1" applyFill="1" applyBorder="1" applyAlignment="1">
      <alignment horizontal="center" vertical="center"/>
    </xf>
    <xf numFmtId="0" fontId="52" fillId="0" borderId="83" xfId="4" applyFont="1" applyFill="1" applyBorder="1" applyAlignment="1">
      <alignment horizontal="center" vertical="center"/>
    </xf>
    <xf numFmtId="41" fontId="52" fillId="0" borderId="83" xfId="5" applyFont="1" applyFill="1" applyBorder="1" applyAlignment="1">
      <alignment horizontal="center" vertical="center"/>
    </xf>
    <xf numFmtId="41" fontId="52" fillId="0" borderId="83" xfId="5" applyFont="1" applyFill="1" applyBorder="1" applyAlignment="1">
      <alignment vertical="center"/>
    </xf>
    <xf numFmtId="41" fontId="52" fillId="0" borderId="84" xfId="5" applyFont="1" applyFill="1" applyBorder="1" applyAlignment="1">
      <alignment vertical="center"/>
    </xf>
    <xf numFmtId="0" fontId="51" fillId="0" borderId="88" xfId="4" applyFont="1" applyFill="1" applyBorder="1" applyAlignment="1">
      <alignment vertical="center"/>
    </xf>
    <xf numFmtId="0" fontId="51" fillId="0" borderId="83" xfId="4" applyFont="1" applyFill="1" applyBorder="1" applyAlignment="1">
      <alignment horizontal="center" vertical="center"/>
    </xf>
    <xf numFmtId="41" fontId="51" fillId="0" borderId="83" xfId="5" applyFont="1" applyFill="1" applyBorder="1" applyAlignment="1">
      <alignment horizontal="center" vertical="center"/>
    </xf>
    <xf numFmtId="41" fontId="51" fillId="0" borderId="83" xfId="5" applyFont="1" applyFill="1" applyBorder="1" applyAlignment="1">
      <alignment vertical="center"/>
    </xf>
    <xf numFmtId="41" fontId="51" fillId="0" borderId="84" xfId="5" applyFont="1" applyFill="1" applyBorder="1" applyAlignment="1">
      <alignment vertical="center"/>
    </xf>
    <xf numFmtId="0" fontId="50" fillId="0" borderId="88" xfId="4" applyFont="1" applyFill="1" applyBorder="1" applyAlignment="1">
      <alignment vertical="center"/>
    </xf>
    <xf numFmtId="0" fontId="50" fillId="0" borderId="83" xfId="4" applyFont="1" applyFill="1" applyBorder="1" applyAlignment="1">
      <alignment horizontal="left" vertical="center"/>
    </xf>
    <xf numFmtId="0" fontId="50" fillId="0" borderId="83" xfId="4" applyFont="1" applyFill="1" applyBorder="1" applyAlignment="1">
      <alignment horizontal="center" vertical="center"/>
    </xf>
    <xf numFmtId="41" fontId="50" fillId="0" borderId="83" xfId="5" applyFont="1" applyFill="1" applyBorder="1" applyAlignment="1">
      <alignment horizontal="center" vertical="center"/>
    </xf>
    <xf numFmtId="41" fontId="50" fillId="0" borderId="83" xfId="5" applyFont="1" applyFill="1" applyBorder="1" applyAlignment="1">
      <alignment vertical="center"/>
    </xf>
    <xf numFmtId="41" fontId="50" fillId="0" borderId="84" xfId="5" applyFont="1" applyFill="1" applyBorder="1" applyAlignment="1">
      <alignment vertical="center"/>
    </xf>
    <xf numFmtId="0" fontId="49" fillId="0" borderId="88" xfId="4" applyFont="1" applyFill="1" applyBorder="1" applyAlignment="1">
      <alignment vertical="center"/>
    </xf>
    <xf numFmtId="0" fontId="49" fillId="0" borderId="83" xfId="4" applyFont="1" applyFill="1" applyBorder="1" applyAlignment="1">
      <alignment horizontal="left" vertical="center"/>
    </xf>
    <xf numFmtId="0" fontId="49" fillId="0" borderId="83" xfId="4" applyFont="1" applyFill="1" applyBorder="1" applyAlignment="1">
      <alignment vertical="center"/>
    </xf>
    <xf numFmtId="0" fontId="49" fillId="0" borderId="83" xfId="4" applyFont="1" applyFill="1" applyBorder="1" applyAlignment="1">
      <alignment horizontal="center" vertical="center"/>
    </xf>
    <xf numFmtId="41" fontId="49" fillId="0" borderId="83" xfId="5" applyFont="1" applyFill="1" applyBorder="1" applyAlignment="1">
      <alignment horizontal="center" vertical="center"/>
    </xf>
    <xf numFmtId="41" fontId="49" fillId="0" borderId="83" xfId="5" applyFont="1" applyFill="1" applyBorder="1" applyAlignment="1">
      <alignment horizontal="right" vertical="center"/>
    </xf>
    <xf numFmtId="41" fontId="49" fillId="0" borderId="84" xfId="5" applyFont="1" applyFill="1" applyBorder="1" applyAlignment="1">
      <alignment horizontal="right" vertical="center"/>
    </xf>
    <xf numFmtId="0" fontId="19" fillId="0" borderId="88" xfId="4" applyFont="1" applyFill="1" applyBorder="1" applyAlignment="1">
      <alignment vertical="center"/>
    </xf>
    <xf numFmtId="0" fontId="19" fillId="0" borderId="83" xfId="4" applyFont="1" applyFill="1" applyBorder="1" applyAlignment="1">
      <alignment horizontal="left" vertical="center"/>
    </xf>
    <xf numFmtId="41" fontId="19" fillId="0" borderId="83" xfId="5" applyFont="1" applyFill="1" applyBorder="1" applyAlignment="1">
      <alignment horizontal="center" vertical="center"/>
    </xf>
    <xf numFmtId="41" fontId="19" fillId="0" borderId="83" xfId="5" applyFont="1" applyFill="1" applyBorder="1" applyAlignment="1">
      <alignment horizontal="right" vertical="center"/>
    </xf>
    <xf numFmtId="41" fontId="19" fillId="0" borderId="83" xfId="5" applyFont="1" applyFill="1" applyBorder="1" applyAlignment="1">
      <alignment vertical="center"/>
    </xf>
    <xf numFmtId="41" fontId="19" fillId="0" borderId="84" xfId="5" applyFont="1" applyFill="1" applyBorder="1" applyAlignment="1">
      <alignment vertical="center"/>
    </xf>
    <xf numFmtId="0" fontId="19" fillId="0" borderId="88" xfId="4" applyFont="1" applyFill="1" applyBorder="1" applyAlignment="1">
      <alignment horizontal="right" vertical="center"/>
    </xf>
    <xf numFmtId="0" fontId="49" fillId="0" borderId="88" xfId="4" quotePrefix="1" applyFont="1" applyFill="1" applyBorder="1" applyAlignment="1">
      <alignment vertical="center"/>
    </xf>
    <xf numFmtId="0" fontId="49" fillId="0" borderId="83" xfId="4" quotePrefix="1" applyFont="1" applyFill="1" applyBorder="1" applyAlignment="1">
      <alignment horizontal="left" vertical="center"/>
    </xf>
    <xf numFmtId="0" fontId="49" fillId="0" borderId="83" xfId="4" quotePrefix="1" applyFont="1" applyFill="1" applyBorder="1" applyAlignment="1">
      <alignment vertical="center"/>
    </xf>
    <xf numFmtId="41" fontId="50" fillId="0" borderId="83" xfId="5" applyFont="1" applyFill="1" applyBorder="1" applyAlignment="1">
      <alignment horizontal="right" vertical="center"/>
    </xf>
    <xf numFmtId="41" fontId="51" fillId="0" borderId="83" xfId="5" applyFont="1" applyFill="1" applyBorder="1" applyAlignment="1">
      <alignment horizontal="right" vertical="center"/>
    </xf>
    <xf numFmtId="41" fontId="49" fillId="0" borderId="83" xfId="5" applyFont="1" applyFill="1" applyBorder="1" applyAlignment="1">
      <alignment vertical="center"/>
    </xf>
    <xf numFmtId="0" fontId="19" fillId="0" borderId="89" xfId="4" applyFont="1" applyFill="1" applyBorder="1" applyAlignment="1">
      <alignment horizontal="right" vertical="center"/>
    </xf>
    <xf numFmtId="0" fontId="19" fillId="0" borderId="85" xfId="4" applyFont="1" applyFill="1" applyBorder="1" applyAlignment="1">
      <alignment horizontal="left" vertical="center"/>
    </xf>
    <xf numFmtId="0" fontId="19" fillId="0" borderId="85" xfId="4" applyFont="1" applyFill="1" applyBorder="1" applyAlignment="1">
      <alignment horizontal="center" vertical="center"/>
    </xf>
    <xf numFmtId="41" fontId="19" fillId="0" borderId="85" xfId="5" applyFont="1" applyFill="1" applyBorder="1" applyAlignment="1">
      <alignment horizontal="center" vertical="center"/>
    </xf>
    <xf numFmtId="41" fontId="19" fillId="0" borderId="85" xfId="5" applyFont="1" applyFill="1" applyBorder="1" applyAlignment="1">
      <alignment horizontal="right" vertical="center"/>
    </xf>
    <xf numFmtId="41" fontId="19" fillId="0" borderId="85" xfId="5" applyFont="1" applyFill="1" applyBorder="1" applyAlignment="1">
      <alignment vertical="center"/>
    </xf>
    <xf numFmtId="41" fontId="19" fillId="0" borderId="86" xfId="5" applyFont="1" applyFill="1" applyBorder="1" applyAlignment="1">
      <alignment vertical="center"/>
    </xf>
    <xf numFmtId="0" fontId="49" fillId="0" borderId="59" xfId="4" applyFont="1" applyFill="1" applyBorder="1" applyAlignment="1">
      <alignment vertical="center"/>
    </xf>
    <xf numFmtId="0" fontId="49" fillId="0" borderId="60" xfId="4" applyFont="1" applyFill="1" applyBorder="1" applyAlignment="1">
      <alignment horizontal="left" vertical="center"/>
    </xf>
    <xf numFmtId="0" fontId="49" fillId="0" borderId="60" xfId="4" applyFont="1" applyFill="1" applyBorder="1" applyAlignment="1">
      <alignment vertical="center"/>
    </xf>
    <xf numFmtId="0" fontId="49" fillId="0" borderId="60" xfId="4" applyFont="1" applyFill="1" applyBorder="1" applyAlignment="1">
      <alignment horizontal="center" vertical="center"/>
    </xf>
    <xf numFmtId="41" fontId="49" fillId="0" borderId="60" xfId="5" applyFont="1" applyFill="1" applyBorder="1" applyAlignment="1">
      <alignment horizontal="center" vertical="center"/>
    </xf>
    <xf numFmtId="41" fontId="49" fillId="0" borderId="60" xfId="5" applyFont="1" applyFill="1" applyBorder="1" applyAlignment="1">
      <alignment horizontal="right" vertical="center"/>
    </xf>
    <xf numFmtId="41" fontId="49" fillId="0" borderId="60" xfId="5" applyFont="1" applyFill="1" applyBorder="1" applyAlignment="1">
      <alignment vertical="center"/>
    </xf>
    <xf numFmtId="41" fontId="49" fillId="0" borderId="61" xfId="5" applyFont="1" applyFill="1" applyBorder="1" applyAlignment="1">
      <alignment horizontal="right" vertical="center"/>
    </xf>
    <xf numFmtId="0" fontId="51" fillId="0" borderId="88" xfId="4" applyFont="1" applyFill="1" applyBorder="1" applyAlignment="1">
      <alignment horizontal="right" vertical="center"/>
    </xf>
    <xf numFmtId="0" fontId="52" fillId="0" borderId="83" xfId="4" applyFont="1" applyFill="1" applyBorder="1" applyAlignment="1">
      <alignment vertical="center"/>
    </xf>
    <xf numFmtId="41" fontId="52" fillId="0" borderId="83" xfId="5" applyFont="1" applyFill="1" applyBorder="1" applyAlignment="1">
      <alignment horizontal="right" vertical="center"/>
    </xf>
    <xf numFmtId="0" fontId="51" fillId="0" borderId="83" xfId="4" applyFont="1" applyFill="1" applyBorder="1" applyAlignment="1">
      <alignment vertical="center"/>
    </xf>
    <xf numFmtId="0" fontId="18" fillId="0" borderId="88" xfId="4" applyFont="1" applyFill="1" applyBorder="1" applyAlignment="1">
      <alignment horizontal="left" vertical="center"/>
    </xf>
    <xf numFmtId="41" fontId="52" fillId="0" borderId="84" xfId="5" applyFont="1" applyFill="1" applyBorder="1" applyAlignment="1">
      <alignment horizontal="right" vertical="center"/>
    </xf>
    <xf numFmtId="176" fontId="52" fillId="0" borderId="83" xfId="5" applyNumberFormat="1" applyFont="1" applyFill="1" applyBorder="1" applyAlignment="1">
      <alignment vertical="center"/>
    </xf>
    <xf numFmtId="41" fontId="52" fillId="0" borderId="83" xfId="5" applyNumberFormat="1" applyFont="1" applyFill="1" applyBorder="1" applyAlignment="1">
      <alignment vertical="center"/>
    </xf>
    <xf numFmtId="41" fontId="52" fillId="0" borderId="84" xfId="5" applyNumberFormat="1" applyFont="1" applyFill="1" applyBorder="1" applyAlignment="1">
      <alignment vertical="center"/>
    </xf>
    <xf numFmtId="41" fontId="19" fillId="0" borderId="83" xfId="5" applyNumberFormat="1" applyFont="1" applyFill="1" applyBorder="1" applyAlignment="1">
      <alignment horizontal="center" vertical="center"/>
    </xf>
    <xf numFmtId="41" fontId="19" fillId="0" borderId="83" xfId="5" applyNumberFormat="1" applyFont="1" applyFill="1" applyBorder="1" applyAlignment="1">
      <alignment vertical="center"/>
    </xf>
    <xf numFmtId="41" fontId="18" fillId="0" borderId="83" xfId="5" applyFont="1" applyFill="1" applyBorder="1" applyAlignment="1">
      <alignment horizontal="right" vertical="center"/>
    </xf>
    <xf numFmtId="41" fontId="18" fillId="0" borderId="83" xfId="5" applyFont="1" applyFill="1" applyBorder="1" applyAlignment="1">
      <alignment vertical="center"/>
    </xf>
    <xf numFmtId="41" fontId="18" fillId="0" borderId="83" xfId="5" applyNumberFormat="1" applyFont="1" applyFill="1" applyBorder="1" applyAlignment="1">
      <alignment vertical="center"/>
    </xf>
    <xf numFmtId="41" fontId="18" fillId="0" borderId="84" xfId="5" applyFont="1" applyFill="1" applyBorder="1" applyAlignment="1">
      <alignment vertical="center"/>
    </xf>
    <xf numFmtId="41" fontId="18" fillId="0" borderId="85" xfId="5" applyFont="1" applyFill="1" applyBorder="1" applyAlignment="1">
      <alignment horizontal="center" vertical="center"/>
    </xf>
    <xf numFmtId="41" fontId="18" fillId="0" borderId="85" xfId="5" applyFont="1" applyFill="1" applyBorder="1" applyAlignment="1">
      <alignment vertical="center"/>
    </xf>
    <xf numFmtId="41" fontId="18" fillId="0" borderId="86" xfId="5" applyFont="1" applyFill="1" applyBorder="1" applyAlignment="1">
      <alignment vertical="center"/>
    </xf>
    <xf numFmtId="41" fontId="18" fillId="2" borderId="82" xfId="5" applyFont="1" applyFill="1" applyBorder="1" applyAlignment="1">
      <alignment horizontal="center" vertical="center"/>
    </xf>
    <xf numFmtId="41" fontId="18" fillId="2" borderId="91" xfId="5" applyFont="1" applyFill="1" applyBorder="1" applyAlignment="1">
      <alignment horizontal="center" vertical="center"/>
    </xf>
    <xf numFmtId="41" fontId="18" fillId="0" borderId="59" xfId="5" applyNumberFormat="1" applyFont="1" applyFill="1" applyBorder="1" applyAlignment="1">
      <alignment horizontal="center" vertical="center"/>
    </xf>
    <xf numFmtId="41" fontId="18" fillId="0" borderId="60" xfId="5" applyFont="1" applyFill="1" applyBorder="1" applyAlignment="1">
      <alignment horizontal="center" vertical="center"/>
    </xf>
    <xf numFmtId="41" fontId="18" fillId="0" borderId="60" xfId="5" applyNumberFormat="1" applyFont="1" applyFill="1" applyBorder="1" applyAlignment="1">
      <alignment horizontal="center" vertical="center"/>
    </xf>
    <xf numFmtId="41" fontId="18" fillId="0" borderId="61" xfId="5" applyNumberFormat="1" applyFont="1" applyFill="1" applyBorder="1" applyAlignment="1">
      <alignment horizontal="center" vertical="center"/>
    </xf>
    <xf numFmtId="41" fontId="52" fillId="0" borderId="88" xfId="5" applyFont="1" applyFill="1" applyBorder="1" applyAlignment="1">
      <alignment vertical="center"/>
    </xf>
    <xf numFmtId="41" fontId="51" fillId="0" borderId="88" xfId="5" applyFont="1" applyFill="1" applyBorder="1" applyAlignment="1">
      <alignment vertical="center"/>
    </xf>
    <xf numFmtId="41" fontId="50" fillId="0" borderId="88" xfId="5" applyFont="1" applyFill="1" applyBorder="1" applyAlignment="1">
      <alignment vertical="center"/>
    </xf>
    <xf numFmtId="41" fontId="49" fillId="0" borderId="88" xfId="5" applyFont="1" applyFill="1" applyBorder="1" applyAlignment="1">
      <alignment horizontal="right" vertical="center"/>
    </xf>
    <xf numFmtId="41" fontId="19" fillId="0" borderId="88" xfId="5" applyFont="1" applyFill="1" applyBorder="1" applyAlignment="1">
      <alignment horizontal="right" vertical="center"/>
    </xf>
    <xf numFmtId="41" fontId="50" fillId="0" borderId="88" xfId="5" applyFont="1" applyFill="1" applyBorder="1" applyAlignment="1">
      <alignment horizontal="right" vertical="center"/>
    </xf>
    <xf numFmtId="41" fontId="51" fillId="0" borderId="88" xfId="5" applyFont="1" applyFill="1" applyBorder="1" applyAlignment="1">
      <alignment horizontal="right" vertical="center"/>
    </xf>
    <xf numFmtId="41" fontId="49" fillId="0" borderId="88" xfId="5" applyFont="1" applyFill="1" applyBorder="1" applyAlignment="1">
      <alignment vertical="center"/>
    </xf>
    <xf numFmtId="41" fontId="19" fillId="0" borderId="89" xfId="5" applyFont="1" applyFill="1" applyBorder="1" applyAlignment="1">
      <alignment horizontal="right" vertical="center"/>
    </xf>
    <xf numFmtId="41" fontId="49" fillId="0" borderId="59" xfId="5" applyFont="1" applyFill="1" applyBorder="1" applyAlignment="1">
      <alignment vertical="center"/>
    </xf>
    <xf numFmtId="41" fontId="52" fillId="0" borderId="88" xfId="5" applyFont="1" applyFill="1" applyBorder="1" applyAlignment="1">
      <alignment horizontal="right" vertical="center"/>
    </xf>
    <xf numFmtId="41" fontId="18" fillId="0" borderId="88" xfId="5" applyFont="1" applyFill="1" applyBorder="1" applyAlignment="1">
      <alignment horizontal="right" vertical="center"/>
    </xf>
    <xf numFmtId="41" fontId="18" fillId="0" borderId="89" xfId="5" applyFont="1" applyFill="1" applyBorder="1" applyAlignment="1">
      <alignment vertical="center"/>
    </xf>
    <xf numFmtId="41" fontId="18" fillId="2" borderId="87" xfId="5" applyFont="1" applyFill="1" applyBorder="1" applyAlignment="1">
      <alignment horizontal="center" vertical="center"/>
    </xf>
    <xf numFmtId="41" fontId="18" fillId="2" borderId="79" xfId="5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8" fillId="0" borderId="57" xfId="3" applyFont="1" applyFill="1" applyBorder="1" applyAlignment="1">
      <alignment horizontal="center" vertical="center" wrapText="1"/>
    </xf>
    <xf numFmtId="0" fontId="56" fillId="0" borderId="0" xfId="4" applyFont="1" applyFill="1" applyBorder="1" applyAlignment="1">
      <alignment vertical="center"/>
    </xf>
    <xf numFmtId="41" fontId="9" fillId="0" borderId="0" xfId="1" applyFont="1" applyAlignment="1">
      <alignment horizontal="center" vertical="center"/>
    </xf>
    <xf numFmtId="41" fontId="9" fillId="2" borderId="60" xfId="1" applyFont="1" applyFill="1" applyBorder="1" applyAlignment="1">
      <alignment horizontal="center" vertical="center"/>
    </xf>
    <xf numFmtId="205" fontId="19" fillId="0" borderId="0" xfId="5" applyNumberFormat="1" applyFont="1" applyFill="1" applyBorder="1" applyAlignment="1">
      <alignment vertical="center"/>
    </xf>
    <xf numFmtId="41" fontId="15" fillId="0" borderId="0" xfId="1" applyFont="1" applyAlignment="1">
      <alignment vertical="center"/>
    </xf>
    <xf numFmtId="41" fontId="63" fillId="0" borderId="22" xfId="1" applyFont="1" applyBorder="1" applyAlignment="1">
      <alignment horizontal="right" vertical="center" wrapText="1"/>
    </xf>
    <xf numFmtId="41" fontId="62" fillId="0" borderId="24" xfId="1" applyFont="1" applyBorder="1" applyAlignment="1">
      <alignment horizontal="right" vertical="center" wrapText="1"/>
    </xf>
    <xf numFmtId="41" fontId="61" fillId="0" borderId="24" xfId="1" applyFont="1" applyBorder="1" applyAlignment="1">
      <alignment horizontal="right" vertical="center" wrapText="1"/>
    </xf>
    <xf numFmtId="41" fontId="60" fillId="0" borderId="24" xfId="1" applyFont="1" applyBorder="1" applyAlignment="1">
      <alignment horizontal="right" vertical="center" wrapText="1"/>
    </xf>
    <xf numFmtId="41" fontId="58" fillId="0" borderId="24" xfId="1" applyFont="1" applyBorder="1" applyAlignment="1">
      <alignment horizontal="right" vertical="center" wrapText="1"/>
    </xf>
    <xf numFmtId="41" fontId="58" fillId="0" borderId="100" xfId="1" applyFont="1" applyBorder="1" applyAlignment="1">
      <alignment horizontal="right" vertical="center" wrapText="1"/>
    </xf>
    <xf numFmtId="0" fontId="54" fillId="0" borderId="22" xfId="0" applyFont="1" applyBorder="1">
      <alignment vertical="center"/>
    </xf>
    <xf numFmtId="0" fontId="54" fillId="0" borderId="24" xfId="0" applyFont="1" applyBorder="1">
      <alignment vertical="center"/>
    </xf>
    <xf numFmtId="0" fontId="54" fillId="0" borderId="100" xfId="0" applyFont="1" applyBorder="1">
      <alignment vertical="center"/>
    </xf>
    <xf numFmtId="41" fontId="62" fillId="0" borderId="26" xfId="1" applyFont="1" applyBorder="1" applyAlignment="1">
      <alignment horizontal="right" vertical="center" wrapText="1"/>
    </xf>
    <xf numFmtId="0" fontId="59" fillId="2" borderId="101" xfId="0" applyFont="1" applyFill="1" applyBorder="1" applyAlignment="1">
      <alignment horizontal="center" vertical="center" wrapText="1"/>
    </xf>
    <xf numFmtId="41" fontId="63" fillId="0" borderId="28" xfId="1" applyFont="1" applyBorder="1" applyAlignment="1">
      <alignment horizontal="right" vertical="center" wrapText="1"/>
    </xf>
    <xf numFmtId="41" fontId="58" fillId="0" borderId="102" xfId="1" applyFont="1" applyBorder="1" applyAlignment="1">
      <alignment horizontal="right" vertical="center" wrapText="1"/>
    </xf>
    <xf numFmtId="41" fontId="58" fillId="0" borderId="7" xfId="1" applyFont="1" applyFill="1" applyBorder="1" applyAlignment="1">
      <alignment horizontal="right" vertical="center" wrapText="1"/>
    </xf>
    <xf numFmtId="0" fontId="6" fillId="0" borderId="93" xfId="0" applyFont="1" applyBorder="1">
      <alignment vertical="center"/>
    </xf>
    <xf numFmtId="41" fontId="6" fillId="0" borderId="93" xfId="1" applyFont="1" applyBorder="1" applyAlignment="1">
      <alignment horizontal="center" vertical="center"/>
    </xf>
    <xf numFmtId="41" fontId="65" fillId="0" borderId="93" xfId="1" applyFont="1" applyFill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3" xfId="0" applyFont="1" applyBorder="1" applyAlignment="1">
      <alignment horizontal="left" vertical="center" wrapText="1"/>
    </xf>
    <xf numFmtId="41" fontId="6" fillId="0" borderId="93" xfId="1" applyFont="1" applyBorder="1" applyAlignment="1">
      <alignment horizontal="left" vertical="center"/>
    </xf>
    <xf numFmtId="0" fontId="6" fillId="0" borderId="93" xfId="0" applyFont="1" applyBorder="1" applyAlignment="1">
      <alignment horizontal="left" vertical="center"/>
    </xf>
    <xf numFmtId="41" fontId="6" fillId="0" borderId="93" xfId="1" applyFont="1" applyBorder="1">
      <alignment vertical="center"/>
    </xf>
    <xf numFmtId="41" fontId="6" fillId="0" borderId="93" xfId="1" applyFont="1" applyFill="1" applyBorder="1" applyAlignment="1">
      <alignment horizontal="left" vertical="center"/>
    </xf>
    <xf numFmtId="0" fontId="6" fillId="0" borderId="93" xfId="0" applyFont="1" applyBorder="1" applyAlignment="1">
      <alignment horizontal="centerContinuous" vertical="center"/>
    </xf>
    <xf numFmtId="41" fontId="6" fillId="0" borderId="93" xfId="1" applyFont="1" applyBorder="1" applyAlignment="1">
      <alignment horizontal="centerContinuous" vertical="center"/>
    </xf>
    <xf numFmtId="0" fontId="6" fillId="0" borderId="98" xfId="0" applyFont="1" applyBorder="1" applyAlignment="1">
      <alignment horizontal="centerContinuous" vertical="center"/>
    </xf>
    <xf numFmtId="41" fontId="6" fillId="0" borderId="98" xfId="1" applyFont="1" applyBorder="1" applyAlignment="1">
      <alignment horizontal="left" vertical="center"/>
    </xf>
    <xf numFmtId="0" fontId="6" fillId="0" borderId="99" xfId="0" applyFont="1" applyBorder="1" applyAlignment="1">
      <alignment horizontal="center" vertical="center"/>
    </xf>
    <xf numFmtId="41" fontId="6" fillId="0" borderId="94" xfId="1" applyFont="1" applyBorder="1" applyAlignment="1">
      <alignment horizontal="center" vertical="center"/>
    </xf>
    <xf numFmtId="41" fontId="6" fillId="0" borderId="98" xfId="1" applyFont="1" applyFill="1" applyBorder="1" applyAlignment="1">
      <alignment horizontal="left" vertical="center"/>
    </xf>
    <xf numFmtId="0" fontId="9" fillId="0" borderId="93" xfId="0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 wrapText="1"/>
    </xf>
    <xf numFmtId="0" fontId="59" fillId="2" borderId="57" xfId="0" applyFont="1" applyFill="1" applyBorder="1" applyAlignment="1">
      <alignment horizontal="center" vertical="center" wrapText="1"/>
    </xf>
    <xf numFmtId="41" fontId="3" fillId="0" borderId="2" xfId="1" applyFont="1" applyFill="1" applyBorder="1" applyAlignment="1">
      <alignment horizontal="center" vertical="center" wrapText="1"/>
    </xf>
    <xf numFmtId="41" fontId="9" fillId="0" borderId="8" xfId="1" applyFont="1" applyBorder="1" applyAlignment="1">
      <alignment horizontal="center" vertical="center" wrapText="1"/>
    </xf>
    <xf numFmtId="41" fontId="15" fillId="0" borderId="23" xfId="1" applyFont="1" applyBorder="1" applyAlignment="1">
      <alignment horizontal="center" vertical="center" wrapText="1"/>
    </xf>
    <xf numFmtId="41" fontId="9" fillId="0" borderId="23" xfId="1" applyFont="1" applyBorder="1" applyAlignment="1">
      <alignment horizontal="center" vertical="center" wrapText="1"/>
    </xf>
    <xf numFmtId="41" fontId="9" fillId="0" borderId="25" xfId="1" applyFont="1" applyBorder="1" applyAlignment="1">
      <alignment horizontal="center" vertical="center" wrapText="1"/>
    </xf>
    <xf numFmtId="41" fontId="16" fillId="0" borderId="4" xfId="0" applyNumberFormat="1" applyFont="1" applyFill="1" applyBorder="1">
      <alignment vertical="center"/>
    </xf>
    <xf numFmtId="41" fontId="16" fillId="0" borderId="5" xfId="0" applyNumberFormat="1" applyFont="1" applyFill="1" applyBorder="1">
      <alignment vertical="center"/>
    </xf>
    <xf numFmtId="0" fontId="9" fillId="2" borderId="26" xfId="0" applyFont="1" applyFill="1" applyBorder="1" applyAlignment="1">
      <alignment horizontal="center" vertical="center"/>
    </xf>
    <xf numFmtId="41" fontId="16" fillId="0" borderId="26" xfId="0" applyNumberFormat="1" applyFont="1" applyFill="1" applyBorder="1">
      <alignment vertical="center"/>
    </xf>
    <xf numFmtId="41" fontId="16" fillId="0" borderId="26" xfId="0" applyNumberFormat="1" applyFont="1" applyBorder="1">
      <alignment vertical="center"/>
    </xf>
    <xf numFmtId="41" fontId="16" fillId="0" borderId="23" xfId="0" applyNumberFormat="1" applyFont="1" applyFill="1" applyBorder="1">
      <alignment vertical="center"/>
    </xf>
    <xf numFmtId="41" fontId="9" fillId="0" borderId="23" xfId="0" applyNumberFormat="1" applyFont="1" applyBorder="1">
      <alignment vertical="center"/>
    </xf>
    <xf numFmtId="0" fontId="9" fillId="0" borderId="23" xfId="0" applyFont="1" applyBorder="1">
      <alignment vertical="center"/>
    </xf>
    <xf numFmtId="41" fontId="9" fillId="0" borderId="25" xfId="0" applyNumberFormat="1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41" fontId="16" fillId="0" borderId="3" xfId="0" applyNumberFormat="1" applyFont="1" applyFill="1" applyBorder="1">
      <alignment vertical="center"/>
    </xf>
    <xf numFmtId="41" fontId="54" fillId="0" borderId="0" xfId="1" applyFont="1">
      <alignment vertical="center"/>
    </xf>
    <xf numFmtId="41" fontId="69" fillId="0" borderId="93" xfId="1" applyFont="1" applyBorder="1" applyAlignment="1">
      <alignment horizontal="center" vertical="center"/>
    </xf>
    <xf numFmtId="0" fontId="69" fillId="0" borderId="94" xfId="0" applyFont="1" applyBorder="1" applyAlignment="1">
      <alignment horizontal="center" vertical="center" wrapText="1"/>
    </xf>
    <xf numFmtId="41" fontId="58" fillId="0" borderId="5" xfId="1" applyFont="1" applyFill="1" applyBorder="1" applyAlignment="1">
      <alignment horizontal="right" vertical="center" wrapText="1"/>
    </xf>
    <xf numFmtId="41" fontId="63" fillId="0" borderId="57" xfId="1" applyFont="1" applyBorder="1" applyAlignment="1">
      <alignment horizontal="right" vertical="center" wrapText="1"/>
    </xf>
    <xf numFmtId="41" fontId="63" fillId="0" borderId="57" xfId="0" applyNumberFormat="1" applyFont="1" applyBorder="1">
      <alignment vertical="center"/>
    </xf>
    <xf numFmtId="41" fontId="63" fillId="0" borderId="57" xfId="1" applyFont="1" applyBorder="1">
      <alignment vertical="center"/>
    </xf>
    <xf numFmtId="41" fontId="63" fillId="0" borderId="58" xfId="1" applyFont="1" applyBorder="1">
      <alignment vertical="center"/>
    </xf>
    <xf numFmtId="43" fontId="9" fillId="0" borderId="0" xfId="0" applyNumberFormat="1" applyFont="1">
      <alignment vertical="center"/>
    </xf>
    <xf numFmtId="204" fontId="9" fillId="0" borderId="0" xfId="0" applyNumberFormat="1" applyFont="1">
      <alignment vertical="center"/>
    </xf>
    <xf numFmtId="204" fontId="9" fillId="0" borderId="0" xfId="1" applyNumberFormat="1" applyFont="1">
      <alignment vertical="center"/>
    </xf>
    <xf numFmtId="0" fontId="9" fillId="2" borderId="60" xfId="0" applyFont="1" applyFill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53" fillId="0" borderId="3" xfId="3" applyFont="1" applyBorder="1" applyAlignment="1">
      <alignment horizontal="center" vertical="center" wrapText="1"/>
    </xf>
    <xf numFmtId="0" fontId="53" fillId="0" borderId="4" xfId="3" applyFont="1" applyBorder="1" applyAlignment="1">
      <alignment horizontal="center" vertical="center" wrapText="1"/>
    </xf>
    <xf numFmtId="204" fontId="9" fillId="0" borderId="0" xfId="0" applyNumberFormat="1" applyFont="1" applyAlignment="1">
      <alignment horizontal="center" vertical="center"/>
    </xf>
    <xf numFmtId="0" fontId="71" fillId="0" borderId="0" xfId="93" applyFont="1" applyBorder="1" applyAlignment="1">
      <alignment horizontal="left" vertical="center"/>
    </xf>
    <xf numFmtId="0" fontId="9" fillId="2" borderId="74" xfId="0" applyFont="1" applyFill="1" applyBorder="1" applyAlignment="1">
      <alignment horizontal="center" vertical="center"/>
    </xf>
    <xf numFmtId="204" fontId="9" fillId="0" borderId="103" xfId="1" applyNumberFormat="1" applyFont="1" applyBorder="1" applyAlignment="1">
      <alignment horizontal="center" vertical="center"/>
    </xf>
    <xf numFmtId="204" fontId="9" fillId="0" borderId="104" xfId="1" applyNumberFormat="1" applyFont="1" applyBorder="1" applyAlignment="1">
      <alignment horizontal="center" vertical="center"/>
    </xf>
    <xf numFmtId="204" fontId="9" fillId="0" borderId="105" xfId="1" applyNumberFormat="1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9" fontId="9" fillId="0" borderId="107" xfId="91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9" fontId="9" fillId="0" borderId="111" xfId="91" applyFont="1" applyBorder="1" applyAlignment="1">
      <alignment horizontal="center" vertical="center"/>
    </xf>
    <xf numFmtId="41" fontId="9" fillId="0" borderId="107" xfId="1" applyFont="1" applyBorder="1" applyAlignment="1">
      <alignment horizontal="center" vertical="center"/>
    </xf>
    <xf numFmtId="41" fontId="9" fillId="0" borderId="108" xfId="1" applyFont="1" applyBorder="1" applyAlignment="1">
      <alignment horizontal="center" vertical="center"/>
    </xf>
    <xf numFmtId="41" fontId="9" fillId="0" borderId="111" xfId="1" applyFont="1" applyBorder="1" applyAlignment="1">
      <alignment horizontal="center" vertical="center"/>
    </xf>
    <xf numFmtId="41" fontId="9" fillId="0" borderId="112" xfId="1" applyFont="1" applyBorder="1" applyAlignment="1">
      <alignment horizontal="center" vertical="center"/>
    </xf>
    <xf numFmtId="41" fontId="9" fillId="0" borderId="80" xfId="1" applyFont="1" applyBorder="1" applyAlignment="1">
      <alignment horizontal="center" vertical="center"/>
    </xf>
    <xf numFmtId="41" fontId="9" fillId="0" borderId="81" xfId="1" applyFont="1" applyBorder="1" applyAlignment="1">
      <alignment horizontal="center" vertical="center"/>
    </xf>
    <xf numFmtId="41" fontId="9" fillId="0" borderId="8" xfId="0" applyNumberFormat="1" applyFont="1" applyBorder="1">
      <alignment vertical="center"/>
    </xf>
    <xf numFmtId="0" fontId="6" fillId="0" borderId="107" xfId="0" applyFont="1" applyBorder="1">
      <alignment vertical="center"/>
    </xf>
    <xf numFmtId="41" fontId="6" fillId="0" borderId="107" xfId="1" applyFont="1" applyBorder="1" applyAlignment="1">
      <alignment horizontal="center" vertical="center"/>
    </xf>
    <xf numFmtId="41" fontId="65" fillId="0" borderId="107" xfId="1" applyFont="1" applyFill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7" xfId="0" applyFont="1" applyBorder="1" applyAlignment="1">
      <alignment horizontal="left" vertical="center" wrapText="1"/>
    </xf>
    <xf numFmtId="41" fontId="6" fillId="0" borderId="107" xfId="1" applyFont="1" applyBorder="1" applyAlignment="1">
      <alignment horizontal="left" vertical="center"/>
    </xf>
    <xf numFmtId="41" fontId="6" fillId="0" borderId="107" xfId="1" applyFont="1" applyFill="1" applyBorder="1" applyAlignment="1">
      <alignment horizontal="left" vertical="center"/>
    </xf>
    <xf numFmtId="0" fontId="6" fillId="0" borderId="107" xfId="0" applyFont="1" applyBorder="1" applyAlignment="1">
      <alignment horizontal="left" vertical="center"/>
    </xf>
    <xf numFmtId="41" fontId="6" fillId="0" borderId="107" xfId="1" applyFont="1" applyBorder="1">
      <alignment vertical="center"/>
    </xf>
    <xf numFmtId="0" fontId="6" fillId="0" borderId="107" xfId="0" applyFont="1" applyBorder="1" applyAlignment="1">
      <alignment horizontal="centerContinuous" vertical="center"/>
    </xf>
    <xf numFmtId="41" fontId="6" fillId="0" borderId="107" xfId="1" applyFont="1" applyBorder="1" applyAlignment="1">
      <alignment horizontal="centerContinuous" vertical="center"/>
    </xf>
    <xf numFmtId="0" fontId="6" fillId="0" borderId="111" xfId="0" applyFont="1" applyBorder="1" applyAlignment="1">
      <alignment horizontal="centerContinuous" vertical="center"/>
    </xf>
    <xf numFmtId="41" fontId="6" fillId="0" borderId="111" xfId="1" applyFont="1" applyBorder="1" applyAlignment="1">
      <alignment horizontal="left" vertical="center"/>
    </xf>
    <xf numFmtId="0" fontId="6" fillId="0" borderId="112" xfId="0" applyFont="1" applyBorder="1" applyAlignment="1">
      <alignment horizontal="center" vertical="center"/>
    </xf>
    <xf numFmtId="41" fontId="72" fillId="0" borderId="0" xfId="92" applyFont="1" applyFill="1" applyAlignment="1">
      <alignment horizontal="left" vertical="center"/>
    </xf>
    <xf numFmtId="0" fontId="9" fillId="0" borderId="3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41" fontId="8" fillId="2" borderId="26" xfId="1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41" fontId="14" fillId="0" borderId="4" xfId="1" applyFont="1" applyFill="1" applyBorder="1">
      <alignment vertical="center"/>
    </xf>
    <xf numFmtId="41" fontId="14" fillId="0" borderId="5" xfId="1" applyFont="1" applyFill="1" applyBorder="1">
      <alignment vertical="center"/>
    </xf>
    <xf numFmtId="41" fontId="14" fillId="0" borderId="7" xfId="1" applyFont="1" applyFill="1" applyBorder="1">
      <alignment vertical="center"/>
    </xf>
    <xf numFmtId="41" fontId="14" fillId="0" borderId="8" xfId="1" applyFont="1" applyFill="1" applyBorder="1">
      <alignment vertical="center"/>
    </xf>
    <xf numFmtId="0" fontId="64" fillId="0" borderId="0" xfId="0" applyFont="1" applyAlignment="1">
      <alignment horizontal="right"/>
    </xf>
    <xf numFmtId="41" fontId="17" fillId="0" borderId="4" xfId="1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41" fontId="9" fillId="0" borderId="7" xfId="3" applyNumberFormat="1" applyFont="1" applyBorder="1" applyAlignment="1">
      <alignment horizontal="center" vertical="center" wrapText="1"/>
    </xf>
    <xf numFmtId="41" fontId="17" fillId="0" borderId="7" xfId="1" applyFont="1" applyBorder="1" applyAlignment="1">
      <alignment horizontal="center" vertical="center" wrapText="1"/>
    </xf>
    <xf numFmtId="41" fontId="15" fillId="0" borderId="26" xfId="1" applyFont="1" applyBorder="1" applyAlignment="1">
      <alignment horizontal="center" vertical="center" wrapText="1"/>
    </xf>
    <xf numFmtId="41" fontId="9" fillId="0" borderId="26" xfId="1" applyFont="1" applyBorder="1" applyAlignment="1">
      <alignment horizontal="center" vertical="center" wrapText="1"/>
    </xf>
    <xf numFmtId="41" fontId="9" fillId="0" borderId="27" xfId="1" applyFont="1" applyBorder="1" applyAlignment="1">
      <alignment horizontal="center" vertical="center" wrapText="1"/>
    </xf>
    <xf numFmtId="41" fontId="16" fillId="0" borderId="3" xfId="0" applyNumberFormat="1" applyFont="1" applyBorder="1">
      <alignment vertical="center"/>
    </xf>
    <xf numFmtId="0" fontId="16" fillId="0" borderId="3" xfId="0" applyFont="1" applyBorder="1">
      <alignment vertical="center"/>
    </xf>
    <xf numFmtId="41" fontId="16" fillId="0" borderId="6" xfId="0" applyNumberFormat="1" applyFont="1" applyBorder="1">
      <alignment vertical="center"/>
    </xf>
    <xf numFmtId="41" fontId="16" fillId="0" borderId="27" xfId="0" applyNumberFormat="1" applyFont="1" applyBorder="1">
      <alignment vertical="center"/>
    </xf>
    <xf numFmtId="206" fontId="54" fillId="0" borderId="0" xfId="0" applyNumberFormat="1" applyFont="1">
      <alignment vertical="center"/>
    </xf>
    <xf numFmtId="206" fontId="63" fillId="0" borderId="0" xfId="0" applyNumberFormat="1" applyFont="1">
      <alignment vertical="center"/>
    </xf>
    <xf numFmtId="206" fontId="53" fillId="0" borderId="0" xfId="0" applyNumberFormat="1" applyFont="1">
      <alignment vertical="center"/>
    </xf>
    <xf numFmtId="3" fontId="73" fillId="0" borderId="115" xfId="0" applyNumberFormat="1" applyFont="1" applyBorder="1" applyAlignment="1">
      <alignment vertical="center" wrapText="1"/>
    </xf>
    <xf numFmtId="0" fontId="73" fillId="0" borderId="115" xfId="0" applyFont="1" applyBorder="1" applyAlignment="1">
      <alignment vertical="center" wrapText="1"/>
    </xf>
    <xf numFmtId="207" fontId="9" fillId="0" borderId="0" xfId="0" applyNumberFormat="1" applyFont="1">
      <alignment vertical="center"/>
    </xf>
    <xf numFmtId="0" fontId="9" fillId="0" borderId="3" xfId="3" applyFont="1" applyFill="1" applyBorder="1" applyAlignment="1">
      <alignment horizontal="center" vertical="center" wrapText="1"/>
    </xf>
    <xf numFmtId="41" fontId="6" fillId="0" borderId="18" xfId="1" applyFont="1" applyBorder="1" applyAlignment="1">
      <alignment horizontal="center" vertical="center" wrapText="1"/>
    </xf>
    <xf numFmtId="41" fontId="9" fillId="0" borderId="23" xfId="1" applyFont="1" applyBorder="1">
      <alignment vertical="center"/>
    </xf>
    <xf numFmtId="0" fontId="9" fillId="0" borderId="3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10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29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wrapText="1"/>
    </xf>
    <xf numFmtId="0" fontId="54" fillId="0" borderId="5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0" borderId="54" xfId="0" applyFont="1" applyBorder="1" applyAlignment="1">
      <alignment horizontal="center" vertical="center" wrapText="1"/>
    </xf>
    <xf numFmtId="0" fontId="58" fillId="0" borderId="55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6" fillId="0" borderId="0" xfId="4" applyFont="1" applyFill="1" applyBorder="1" applyAlignment="1">
      <alignment vertical="center"/>
    </xf>
    <xf numFmtId="0" fontId="0" fillId="0" borderId="55" xfId="0" applyBorder="1">
      <alignment vertical="center"/>
    </xf>
    <xf numFmtId="0" fontId="0" fillId="0" borderId="10" xfId="0" applyBorder="1">
      <alignment vertical="center"/>
    </xf>
    <xf numFmtId="0" fontId="59" fillId="2" borderId="56" xfId="0" applyFont="1" applyFill="1" applyBorder="1" applyAlignment="1">
      <alignment horizontal="center" vertical="center" wrapText="1"/>
    </xf>
    <xf numFmtId="0" fontId="59" fillId="2" borderId="57" xfId="0" applyFont="1" applyFill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52" fillId="0" borderId="88" xfId="4" applyFont="1" applyFill="1" applyBorder="1" applyAlignment="1">
      <alignment horizontal="left" vertical="center"/>
    </xf>
    <xf numFmtId="0" fontId="52" fillId="0" borderId="83" xfId="4" applyFont="1" applyFill="1" applyBorder="1" applyAlignment="1">
      <alignment horizontal="left" vertical="center"/>
    </xf>
    <xf numFmtId="41" fontId="18" fillId="2" borderId="13" xfId="5" applyFont="1" applyFill="1" applyBorder="1" applyAlignment="1">
      <alignment horizontal="center" vertical="center"/>
    </xf>
    <xf numFmtId="41" fontId="18" fillId="2" borderId="15" xfId="5" applyFont="1" applyFill="1" applyBorder="1" applyAlignment="1">
      <alignment horizontal="center" vertical="center"/>
    </xf>
    <xf numFmtId="41" fontId="18" fillId="2" borderId="14" xfId="5" applyFont="1" applyFill="1" applyBorder="1" applyAlignment="1">
      <alignment horizontal="center" vertical="center"/>
    </xf>
    <xf numFmtId="41" fontId="18" fillId="2" borderId="73" xfId="5" applyFont="1" applyFill="1" applyBorder="1" applyAlignment="1">
      <alignment horizontal="center" vertical="center"/>
    </xf>
    <xf numFmtId="41" fontId="18" fillId="2" borderId="72" xfId="5" applyFont="1" applyFill="1" applyBorder="1" applyAlignment="1">
      <alignment horizontal="center" vertical="center"/>
    </xf>
    <xf numFmtId="41" fontId="18" fillId="2" borderId="74" xfId="5" applyFont="1" applyFill="1" applyBorder="1" applyAlignment="1">
      <alignment horizontal="center" vertical="center"/>
    </xf>
    <xf numFmtId="0" fontId="19" fillId="0" borderId="83" xfId="4" applyFont="1" applyFill="1" applyBorder="1" applyAlignment="1">
      <alignment horizontal="left" vertical="center"/>
    </xf>
    <xf numFmtId="41" fontId="18" fillId="2" borderId="60" xfId="5" applyFont="1" applyFill="1" applyBorder="1" applyAlignment="1">
      <alignment horizontal="center" vertical="center"/>
    </xf>
    <xf numFmtId="41" fontId="18" fillId="2" borderId="83" xfId="5" applyFont="1" applyFill="1" applyBorder="1" applyAlignment="1">
      <alignment horizontal="center" vertical="center"/>
    </xf>
    <xf numFmtId="0" fontId="51" fillId="0" borderId="83" xfId="4" applyFont="1" applyFill="1" applyBorder="1" applyAlignment="1">
      <alignment horizontal="left" vertical="center"/>
    </xf>
    <xf numFmtId="0" fontId="50" fillId="0" borderId="83" xfId="4" applyFont="1" applyFill="1" applyBorder="1" applyAlignment="1">
      <alignment vertical="center"/>
    </xf>
    <xf numFmtId="41" fontId="18" fillId="2" borderId="16" xfId="5" applyFont="1" applyFill="1" applyBorder="1" applyAlignment="1">
      <alignment horizontal="center" vertical="center"/>
    </xf>
    <xf numFmtId="41" fontId="18" fillId="2" borderId="18" xfId="5" applyFont="1" applyFill="1" applyBorder="1" applyAlignment="1">
      <alignment horizontal="center" vertical="center"/>
    </xf>
    <xf numFmtId="0" fontId="19" fillId="0" borderId="88" xfId="4" applyFont="1" applyFill="1" applyBorder="1" applyAlignment="1">
      <alignment horizontal="left" vertical="center"/>
    </xf>
    <xf numFmtId="41" fontId="18" fillId="2" borderId="17" xfId="5" applyFont="1" applyFill="1" applyBorder="1" applyAlignment="1">
      <alignment horizontal="center" vertical="center"/>
    </xf>
    <xf numFmtId="41" fontId="18" fillId="2" borderId="31" xfId="5" applyFont="1" applyFill="1" applyBorder="1" applyAlignment="1">
      <alignment horizontal="center" vertical="center"/>
    </xf>
    <xf numFmtId="41" fontId="18" fillId="2" borderId="84" xfId="5" applyFont="1" applyFill="1" applyBorder="1" applyAlignment="1">
      <alignment horizontal="center" vertical="center"/>
    </xf>
    <xf numFmtId="41" fontId="18" fillId="2" borderId="13" xfId="5" applyFont="1" applyFill="1" applyBorder="1" applyAlignment="1">
      <alignment horizontal="center" vertical="center" wrapText="1"/>
    </xf>
    <xf numFmtId="41" fontId="18" fillId="2" borderId="79" xfId="5" applyFont="1" applyFill="1" applyBorder="1" applyAlignment="1">
      <alignment horizontal="center" vertical="center"/>
    </xf>
    <xf numFmtId="41" fontId="18" fillId="2" borderId="64" xfId="5" applyFont="1" applyFill="1" applyBorder="1" applyAlignment="1">
      <alignment horizontal="center" vertical="center"/>
    </xf>
    <xf numFmtId="41" fontId="18" fillId="2" borderId="76" xfId="5" applyFont="1" applyFill="1" applyBorder="1" applyAlignment="1">
      <alignment horizontal="center" vertical="center"/>
    </xf>
    <xf numFmtId="41" fontId="18" fillId="2" borderId="87" xfId="5" applyFont="1" applyFill="1" applyBorder="1" applyAlignment="1">
      <alignment horizontal="center" vertical="center"/>
    </xf>
    <xf numFmtId="41" fontId="18" fillId="2" borderId="90" xfId="5" applyFont="1" applyFill="1" applyBorder="1" applyAlignment="1">
      <alignment horizontal="center" vertical="center"/>
    </xf>
    <xf numFmtId="41" fontId="18" fillId="2" borderId="61" xfId="5" applyFont="1" applyFill="1" applyBorder="1" applyAlignment="1">
      <alignment horizontal="center" vertical="center"/>
    </xf>
    <xf numFmtId="0" fontId="18" fillId="2" borderId="59" xfId="4" applyFont="1" applyFill="1" applyBorder="1" applyAlignment="1">
      <alignment horizontal="center" vertical="center"/>
    </xf>
    <xf numFmtId="0" fontId="18" fillId="2" borderId="60" xfId="4" applyFont="1" applyFill="1" applyBorder="1" applyAlignment="1">
      <alignment horizontal="center" vertical="center"/>
    </xf>
    <xf numFmtId="0" fontId="18" fillId="2" borderId="88" xfId="4" applyFont="1" applyFill="1" applyBorder="1" applyAlignment="1">
      <alignment horizontal="center" vertical="center"/>
    </xf>
    <xf numFmtId="0" fontId="18" fillId="2" borderId="83" xfId="4" applyFont="1" applyFill="1" applyBorder="1" applyAlignment="1">
      <alignment horizontal="center" vertical="center"/>
    </xf>
    <xf numFmtId="0" fontId="19" fillId="0" borderId="89" xfId="4" applyFont="1" applyFill="1" applyBorder="1" applyAlignment="1">
      <alignment horizontal="center" vertical="center"/>
    </xf>
    <xf numFmtId="0" fontId="19" fillId="0" borderId="85" xfId="4" applyFont="1" applyFill="1" applyBorder="1" applyAlignment="1">
      <alignment horizontal="center" vertical="center"/>
    </xf>
    <xf numFmtId="41" fontId="18" fillId="2" borderId="71" xfId="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23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/>
    </xf>
    <xf numFmtId="0" fontId="15" fillId="0" borderId="3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2" borderId="5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41" fontId="8" fillId="2" borderId="2" xfId="1" applyFont="1" applyFill="1" applyBorder="1" applyAlignment="1">
      <alignment horizontal="center" vertical="center" wrapText="1"/>
    </xf>
    <xf numFmtId="41" fontId="8" fillId="2" borderId="4" xfId="1" applyFont="1" applyFill="1" applyBorder="1" applyAlignment="1">
      <alignment horizontal="center" vertical="center" wrapText="1"/>
    </xf>
    <xf numFmtId="41" fontId="8" fillId="2" borderId="51" xfId="1" applyFont="1" applyFill="1" applyBorder="1" applyAlignment="1">
      <alignment horizontal="center" vertical="center" wrapText="1"/>
    </xf>
    <xf numFmtId="41" fontId="8" fillId="2" borderId="1" xfId="1" applyFont="1" applyFill="1" applyBorder="1" applyAlignment="1">
      <alignment horizontal="center" vertical="center" wrapText="1"/>
    </xf>
    <xf numFmtId="41" fontId="8" fillId="2" borderId="53" xfId="1" applyFont="1" applyFill="1" applyBorder="1" applyAlignment="1">
      <alignment horizontal="center" vertical="center" wrapText="1"/>
    </xf>
    <xf numFmtId="41" fontId="8" fillId="2" borderId="11" xfId="1" applyFont="1" applyFill="1" applyBorder="1" applyAlignment="1">
      <alignment horizontal="center" vertical="center" wrapText="1"/>
    </xf>
    <xf numFmtId="41" fontId="8" fillId="2" borderId="23" xfId="1" applyFont="1" applyFill="1" applyBorder="1" applyAlignment="1">
      <alignment horizontal="center" vertical="center" wrapText="1"/>
    </xf>
    <xf numFmtId="0" fontId="9" fillId="0" borderId="114" xfId="3" applyFont="1" applyFill="1" applyBorder="1" applyAlignment="1">
      <alignment horizontal="center" vertical="center" wrapText="1"/>
    </xf>
    <xf numFmtId="0" fontId="9" fillId="0" borderId="9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8" fillId="0" borderId="56" xfId="3" applyFont="1" applyFill="1" applyBorder="1" applyAlignment="1">
      <alignment horizontal="center" vertical="center" wrapText="1"/>
    </xf>
    <xf numFmtId="0" fontId="8" fillId="0" borderId="57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53" fillId="0" borderId="3" xfId="3" applyFont="1" applyBorder="1" applyAlignment="1">
      <alignment horizontal="center" vertical="center" wrapText="1"/>
    </xf>
    <xf numFmtId="0" fontId="53" fillId="0" borderId="6" xfId="3" applyFont="1" applyBorder="1" applyAlignment="1">
      <alignment horizontal="center" vertical="center" wrapText="1"/>
    </xf>
    <xf numFmtId="0" fontId="53" fillId="2" borderId="1" xfId="3" applyFont="1" applyFill="1" applyBorder="1" applyAlignment="1">
      <alignment horizontal="center" vertical="center" wrapText="1"/>
    </xf>
    <xf numFmtId="0" fontId="53" fillId="2" borderId="3" xfId="3" applyFont="1" applyFill="1" applyBorder="1" applyAlignment="1">
      <alignment horizontal="center" vertical="center" wrapText="1"/>
    </xf>
    <xf numFmtId="0" fontId="53" fillId="2" borderId="2" xfId="3" applyFont="1" applyFill="1" applyBorder="1" applyAlignment="1">
      <alignment horizontal="center" vertical="center" wrapText="1"/>
    </xf>
    <xf numFmtId="0" fontId="53" fillId="2" borderId="4" xfId="3" applyFont="1" applyFill="1" applyBorder="1" applyAlignment="1">
      <alignment horizontal="center" vertical="center" wrapText="1"/>
    </xf>
    <xf numFmtId="0" fontId="53" fillId="0" borderId="4" xfId="3" applyFont="1" applyBorder="1" applyAlignment="1">
      <alignment horizontal="center" vertical="center" wrapText="1"/>
    </xf>
    <xf numFmtId="41" fontId="53" fillId="2" borderId="2" xfId="1" applyFont="1" applyFill="1" applyBorder="1" applyAlignment="1">
      <alignment horizontal="center" vertical="center" wrapText="1"/>
    </xf>
    <xf numFmtId="41" fontId="53" fillId="2" borderId="4" xfId="1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3" fillId="2" borderId="53" xfId="0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7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</cellXfs>
  <cellStyles count="94">
    <cellStyle name="??&amp;O?&amp;H?_x0008_??_x0007__x0001__x0001_" xfId="6"/>
    <cellStyle name="2)" xfId="7"/>
    <cellStyle name="60" xfId="8"/>
    <cellStyle name="고정소숫점" xfId="9"/>
    <cellStyle name="고정출력1" xfId="10"/>
    <cellStyle name="고정출력2" xfId="11"/>
    <cellStyle name="날짜" xfId="12"/>
    <cellStyle name="내역서" xfId="13"/>
    <cellStyle name="달러" xfId="14"/>
    <cellStyle name="뒤에 오는 하이퍼링크_단위수량1" xfId="15"/>
    <cellStyle name="똿뗦먛귟 [0.00]_PRODUCT DETAIL Q1" xfId="16"/>
    <cellStyle name="똿뗦먛귟_PRODUCT DETAIL Q1" xfId="17"/>
    <cellStyle name="믅됞 [0.00]_PRODUCT DETAIL Q1" xfId="18"/>
    <cellStyle name="믅됞_PRODUCT DETAIL Q1" xfId="19"/>
    <cellStyle name="백분율" xfId="91" builtinId="5"/>
    <cellStyle name="백분율 [0]" xfId="20"/>
    <cellStyle name="백분율 [2]" xfId="21"/>
    <cellStyle name="뷭?_BOOKSHIP" xfId="22"/>
    <cellStyle name="숫자(R)" xfId="23"/>
    <cellStyle name="쉼표 [0]" xfId="1" builtinId="6"/>
    <cellStyle name="쉼표 [0] 2" xfId="5"/>
    <cellStyle name="쉼표 [0] 2 2" xfId="92"/>
    <cellStyle name="스타일 1" xfId="24"/>
    <cellStyle name="우괄호_박심배수구조물공" xfId="25"/>
    <cellStyle name="우측양괄호" xfId="26"/>
    <cellStyle name="일반" xfId="27"/>
    <cellStyle name="자리수" xfId="28"/>
    <cellStyle name="자리수0" xfId="29"/>
    <cellStyle name="제곱" xfId="30"/>
    <cellStyle name="좌괄호_박심배수구조물공" xfId="31"/>
    <cellStyle name="좌측양괄호" xfId="32"/>
    <cellStyle name="지정되지 않음" xfId="33"/>
    <cellStyle name="콤마 [0]_(1.토)" xfId="34"/>
    <cellStyle name="콤마 [1]" xfId="35"/>
    <cellStyle name="콤마 [2]" xfId="36"/>
    <cellStyle name="콤마_(1.토)" xfId="37"/>
    <cellStyle name="퍼센트" xfId="38"/>
    <cellStyle name="표준" xfId="0" builtinId="0"/>
    <cellStyle name="표준 2" xfId="4"/>
    <cellStyle name="표준 3" xfId="3"/>
    <cellStyle name="표준_제1,2장 계획인구및오수량원단위산정" xfId="93"/>
    <cellStyle name="標準_Akia(F）-8" xfId="39"/>
    <cellStyle name="표준_Book1" xfId="2"/>
    <cellStyle name="합산" xfId="40"/>
    <cellStyle name="화폐기호" xfId="41"/>
    <cellStyle name="화폐기호0" xfId="42"/>
    <cellStyle name="AeE­ [0]_INQUIRY ¿μ¾÷AßAø " xfId="43"/>
    <cellStyle name="AeE­_INQUIRY ¿μ¾÷AßAø " xfId="44"/>
    <cellStyle name="ALIGNMENT" xfId="45"/>
    <cellStyle name="AÞ¸¶ [0]_INQUIRY ¿μ¾÷AßAø " xfId="46"/>
    <cellStyle name="AÞ¸¶_INQUIRY ¿μ¾÷AßAø " xfId="47"/>
    <cellStyle name="C￥AØ_¿μ¾÷CoE² " xfId="48"/>
    <cellStyle name="Calc Currency (0)" xfId="49"/>
    <cellStyle name="category" xfId="50"/>
    <cellStyle name="Comma [0]" xfId="51"/>
    <cellStyle name="comma zerodec" xfId="52"/>
    <cellStyle name="Comma_ SG&amp;A Bridge " xfId="53"/>
    <cellStyle name="Comma0" xfId="54"/>
    <cellStyle name="Copied" xfId="55"/>
    <cellStyle name="Currency [0]" xfId="56"/>
    <cellStyle name="Currency_ SG&amp;A Bridge " xfId="57"/>
    <cellStyle name="Currency0" xfId="58"/>
    <cellStyle name="Currency1" xfId="59"/>
    <cellStyle name="Date" xfId="60"/>
    <cellStyle name="Dollar (zero dec)" xfId="61"/>
    <cellStyle name="EA" xfId="62"/>
    <cellStyle name="Entered" xfId="63"/>
    <cellStyle name="Euro" xfId="64"/>
    <cellStyle name="Fixed" xfId="65"/>
    <cellStyle name="Grey" xfId="66"/>
    <cellStyle name="HEADER" xfId="67"/>
    <cellStyle name="Header1" xfId="68"/>
    <cellStyle name="Header2" xfId="69"/>
    <cellStyle name="Heading 1" xfId="70"/>
    <cellStyle name="Heading 2" xfId="71"/>
    <cellStyle name="HEADING1" xfId="72"/>
    <cellStyle name="HEADING2" xfId="73"/>
    <cellStyle name="Input [yellow]" xfId="74"/>
    <cellStyle name="Milliers [0]_Arabian Spec" xfId="75"/>
    <cellStyle name="Milliers_Arabian Spec" xfId="76"/>
    <cellStyle name="Model" xfId="77"/>
    <cellStyle name="Mon?aire [0]_Arabian Spec" xfId="78"/>
    <cellStyle name="Mon?aire_Arabian Spec" xfId="79"/>
    <cellStyle name="Normal - Style1" xfId="80"/>
    <cellStyle name="Normal_ SG&amp;A Bridge " xfId="81"/>
    <cellStyle name="Percent [2]" xfId="82"/>
    <cellStyle name="Percent_USW" xfId="83"/>
    <cellStyle name="RevList" xfId="84"/>
    <cellStyle name="subhead" xfId="85"/>
    <cellStyle name="Subtotal" xfId="86"/>
    <cellStyle name="title [1]" xfId="87"/>
    <cellStyle name="title [2]" xfId="88"/>
    <cellStyle name="ton" xfId="89"/>
    <cellStyle name="Total" xfId="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k\my%20documents\&#44148;&#54868;\&#54868;&#49457;&#49884;\&#49688;&#47049;&#49328;&#52636;(&#52572;&#51333;)\&#51109;&#51664;&#47532;\15&#51109;A-&#47592;&#54848;&#53664;&#4427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228;&#51312;\&#53356;&#47021;&#53356;&#50808;\EXCEL\&#51312;&#44221;&#4523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57;&#50857;\&#44033;&#51333;&#51088;&#47308;&#46308;\2000&#45380;\&#49345;&#50516;&#46041;\&#49688;&#47049;\&#53664;&#4427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IC&#49688;&#47049;/&#48176;&#49688;&#44288;&#44277;(IC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51652;&#44508;\&#50416;&#44592;&#48169;\&#44404;&#54252;&#52380;\&#49688;&#47049;&#49688;&#51221;(6&#50900;25&#51068;)\&#50696;&#49328;&#49436;0525-&#49340;&#5050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44221;&#50896;\C\&#48512;&#54217;&#48176;&#49688;&#51648;\&#50864;&#48176;&#49688;&#53664;&#4427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960;&#47196;&#47217;\D\CIVIL\EXCLE\DAT\&#44288;&#51116;&#4730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652;&#50724;\PROJECT2\&#50416;&#44592;\&#44537;&#50501;\&#50685;&#44592;\&#50864;&#49688;&#49688;&#4704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592;&#44228;&#44221;&#4870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51312;&#44221;&#452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CIVIL\EXCLE\DAT\&#44256;&#50577;&#44288;&#511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652;&#50724;\PROJECT2\job\12&#44305;&#51452;&#49888;&#52285;&#51648;&#44396;\&#49892;&#49884;&#49444;&#44228;\&#50724;&#49688;&#44277;\&#49688;&#47049;&#49328;&#52636;\&#50864;&#49688;&#49688;&#47049;\&#53664;&#44277;(1&#44277;&#44396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652;&#50724;\PROJECT2\My%20Documents\&#44592;&#53440;\projct\ANSAN\EXL\GONG181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652;&#50724;\PROJECT2\My%20Documents\&#44592;&#53440;\projct\ANSAN\EXL\gongsu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01.%20&#44228;&#54925;&#51648;&#54364;&#49328;&#51221;/&#51228;5&#51109;%20&#44288;&#44144;&#51221;&#48708;&#44228;&#54925;/101.%20&#49888;&#49444;&#44228;&#54925;%20&#48143;%20&#45800;&#44228;&#48324;%20&#44288;&#44144;&#50672;&#5110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6&#51109;%20&#54616;&#49688;&#44288;&#44144;%20&#51221;&#48708;&#44228;&#54925;/6.2%20&#49888;&#49444;&#44228;&#54925;%20&#48143;%20&#45800;&#44228;&#48324;%20&#44288;&#44144;&#50672;&#5110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01.%20&#44228;&#54925;&#51648;&#54364;&#49328;&#51221;/&#51228;5&#51109;%20&#44288;&#44144;&#51221;&#48708;&#44228;&#54925;/100.%20&#44592;&#51316;&#44288;&#44144;%20&#54788;&#54889;%20&#48143;%20&#44060;&#48372;&#49688;&#44228;&#5492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09&#45380;%20&#44277;&#49324;&#48708;%20&#49328;&#52636;&#44540;&#4414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01.&#51648;&#44552;&#54616;&#44256;%20&#51080;&#45716;%20&#54532;&#47196;&#51229;&#53944;/SP09C080(&#48372;&#47161;&#49884;%20&#54616;&#49688;&#46020;&#51221;&#48708;%20&#44592;&#48376;&#44228;&#54925;%20&#48320;&#44221;)/&#48372;&#44256;&#49436;%20&#51089;&#49457;/8&#50900;%2026&#51068;_&#44552;&#44053;&#50976;&#50669;&#52397;%20&#48372;&#50756;/03.%20&#48512;&#47197;/&#51228;3&#51109;%20&#44228;&#54925;&#54616;&#49688;&#47049;/3.4-1%20&#49548;&#44508;&#47784;&#54616;&#49688;&#46020;%20&#44228;&#54925;&#54616;&#49688;&#470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960;&#47196;&#47217;\D\CIVIL\EXCLE\DAT\&#44256;&#50577;&#44288;&#5111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IVIL\EXCLE\DAT\&#44256;&#50577;&#44288;&#5111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k\my%20documents\jobdata\&#50864;&#45824;\&#51648;&#54217;\&#49688;&#47049;&#49328;&#52636;\&#49688;&#47049;\&#44592;&#48376;&#53664;&#4932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k\my%20documents\&#51089;&#50629;\&#51109;&#54840;&#50896;\&#44396;&#51312;&#47932;\&#44032;&#49884;&#49444;&#44277;\&#44592;&#48376;&#53664;&#49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j\jmj\1&#52397;&#49328;&#47732;\&#49688;&#47049;\CIVIL\EXCLE\DAT\&#44256;&#50577;&#44288;&#5111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&#52397;&#49328;&#47732;\&#49688;&#47049;\CIVIL\EXCLE\DAT\&#44256;&#50577;&#44288;&#5111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CAD\&#54620;&#51312;\&#49688;&#47049;\&#48512;&#54217;&#48176;&#49688;&#51648;\&#50864;&#48176;&#49688;&#53664;&#442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호맨홀가시설토공"/>
      <sheetName val="1호맨홀토공"/>
      <sheetName val="1호맨홀토공 (4)"/>
      <sheetName val="1호맨홀연결관토공 (2)"/>
      <sheetName val="15장A-맨홀토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"/>
      <sheetName val="건축내역"/>
    </sheetNames>
    <sheetDataSet>
      <sheetData sheetId="0" refreshError="1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집계표"/>
      <sheetName val="상수관로"/>
      <sheetName val="음수대유입"/>
      <sheetName val="음수대유출"/>
      <sheetName val="음수대방류"/>
      <sheetName val="A LINE"/>
      <sheetName val="B LINE"/>
      <sheetName val="공원내"/>
      <sheetName val="드레인관"/>
      <sheetName val="가압장"/>
      <sheetName val="공기변실"/>
      <sheetName val="음수대방류맨홀"/>
      <sheetName val="관보호공집계표"/>
      <sheetName val="관보호공단위수량"/>
      <sheetName val="조서 (0.7)"/>
      <sheetName val="오수맨홀조서"/>
      <sheetName val="토공수량집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C.배수관공"/>
      <sheetName val="가배수관"/>
      <sheetName val="2.10횡배수관"/>
      <sheetName val="전체현황"/>
      <sheetName val="평균터파기"/>
      <sheetName val="RC관집계"/>
      <sheetName val="RC관현황"/>
      <sheetName val="보강집계"/>
      <sheetName val="보강현황"/>
      <sheetName val="흄관집계"/>
      <sheetName val="흄관현황"/>
      <sheetName val="종배수관집계"/>
      <sheetName val="종배수관현황"/>
      <sheetName val="종배수관단위"/>
      <sheetName val="2.12기존배수관세척"/>
      <sheetName val="2.13날개벽및면벽"/>
      <sheetName val="RC관날개벽"/>
      <sheetName val="보강날개벽"/>
      <sheetName val="흄관날개벽"/>
      <sheetName val="면벽수량집계"/>
      <sheetName val="2.14집수정"/>
      <sheetName val="성토부집수정집계"/>
      <sheetName val="절토부집수정집계"/>
      <sheetName val="집수정현황"/>
      <sheetName val="집수정부분합"/>
      <sheetName val="Sheet13"/>
      <sheetName val="A간지"/>
      <sheetName val="A집계"/>
      <sheetName val="A관자재계"/>
      <sheetName val="A관로"/>
      <sheetName val="A토공계"/>
      <sheetName val="A관로토공"/>
      <sheetName val="A평균H"/>
      <sheetName val="A맨홀계"/>
      <sheetName val="A맨홀"/>
      <sheetName val="A맨홀H"/>
      <sheetName val="A연결관"/>
      <sheetName val="A연결토공"/>
      <sheetName val="A연결조서"/>
      <sheetName val="A터파기단위"/>
      <sheetName val="배수관공(IC)"/>
      <sheetName val="제목"/>
      <sheetName val="자재"/>
      <sheetName val="집계표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xxxxxx"/>
      <sheetName val="배수관공집계"/>
      <sheetName val="횡집계"/>
      <sheetName val="배수관집계표"/>
      <sheetName val="횡배수관현황"/>
      <sheetName val="날개면벽집계"/>
      <sheetName val="날개벽"/>
      <sheetName val="단위수량"/>
      <sheetName val="평균터파기고"/>
      <sheetName val="평균터파기1"/>
      <sheetName val="H"/>
      <sheetName val="깍기공"/>
      <sheetName val="날개벽유동집계표"/>
      <sheetName val="유입방지턱수량"/>
      <sheetName val="유입방지턱표지"/>
      <sheetName val="유입방지턱단위수량"/>
      <sheetName val="배수관로집계"/>
      <sheetName val="배수관로수량현황"/>
      <sheetName val="배수관로수량집계"/>
      <sheetName val="배수관로수량집계L-8,9,11"/>
      <sheetName val="배수관수량집계(1)"/>
      <sheetName val="배수관수량집계(2)"/>
      <sheetName val="횡배수관공수량집계"/>
      <sheetName val="횡배수관연장조서"/>
      <sheetName val="제작관수량집계"/>
      <sheetName val="토피별RC관현황"/>
      <sheetName val="보강흄관수량집계"/>
      <sheetName val="토피별보강흄관현황"/>
      <sheetName val="흄관수량집계"/>
      <sheetName val="토피별흄관현황"/>
      <sheetName val="종배수관수량집계"/>
      <sheetName val="배수날개면벽수량집계"/>
      <sheetName val="날개벽수량(RC관)"/>
      <sheetName val="날개벽수량(보강흄관)"/>
      <sheetName val="날개벽수량(흄관)"/>
      <sheetName val="면벽수량"/>
      <sheetName val="집수정수량집계(1)"/>
      <sheetName val="집수정수량집계(2)"/>
      <sheetName val="흙쌓기부집수정"/>
      <sheetName val="땅깍기부집수정(1)"/>
      <sheetName val="땅깍기부집수정(2)"/>
      <sheetName val="땅깍기부집수정(3)"/>
      <sheetName val="측구공수량집계표"/>
      <sheetName val="맹암거수량집계표"/>
      <sheetName val="배수관수량집계표"/>
      <sheetName val="배수관공총괄수량집계표"/>
      <sheetName val="절성경계보강공현황및집계 "/>
      <sheetName val="집수정공수량집계표"/>
      <sheetName val="암거공토공수량집계표"/>
      <sheetName val="암거공일반수량집계표"/>
      <sheetName val="암거공철근집계표"/>
      <sheetName val="강판집계표"/>
      <sheetName val="수로보호공현황및집계"/>
      <sheetName val="도수로집계표"/>
      <sheetName val="U형개거집계표"/>
      <sheetName val="침전조집계표"/>
      <sheetName val="석축집계표"/>
      <sheetName val="암거간지1"/>
      <sheetName val="총괄집계"/>
      <sheetName val="구체집계표"/>
      <sheetName val="암거간지2"/>
      <sheetName val="암거간지3"/>
      <sheetName val="암거간지5"/>
      <sheetName val="구체집계2.0x2.0(0-3)"/>
      <sheetName val="구체2.0X2.0(0-3)"/>
      <sheetName val="구체집계2.0x2.0(3-5)"/>
      <sheetName val="구체2.0x2.0(3-5)"/>
      <sheetName val="구체집계2.0x2.0(5-7)"/>
      <sheetName val="구체2.0x2.0(5-7)"/>
      <sheetName val="구체집계2.0x2.0(7-10)"/>
      <sheetName val="구체2.0x2.0(7-10)"/>
      <sheetName val="암거간지2@"/>
      <sheetName val="구체집계2@2.5x2.5"/>
      <sheetName val="구체2@2.5x2.5"/>
      <sheetName val="암거간지"/>
      <sheetName val="구체집계3.0x2.0(0-3)"/>
      <sheetName val="구체3.0x2.0(0-3)"/>
      <sheetName val="구체집계3.0x2.0(6-8)"/>
      <sheetName val="구체3.0x2.0(6-8)"/>
      <sheetName val="암거간지7"/>
      <sheetName val="암거간지8"/>
      <sheetName val="구체집계3.5x3.5(8-10)"/>
      <sheetName val="구체3.5x3.5(8-10)"/>
      <sheetName val="암거간지10"/>
      <sheetName val="구체집계4.5x4.5(2-3)"/>
      <sheetName val="구체4.5x4.5(2-3)"/>
      <sheetName val="구체집계4.5x4.5(4-5)"/>
      <sheetName val="구체4.5x4.5(4-5)"/>
      <sheetName val="암거현황"/>
      <sheetName val="터파기"/>
      <sheetName val="구체2.5x2.0(6-8)"/>
      <sheetName val="구체3.5x3.5-8-10"/>
      <sheetName val="암거간지4"/>
      <sheetName val="증감총괄"/>
      <sheetName val="내역"/>
      <sheetName val="잡비"/>
      <sheetName val="증감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지급자재명세서(1)"/>
      <sheetName val="지급자재명세서(2)"/>
      <sheetName val="지급자재명세서(3)"/>
      <sheetName val="철근"/>
      <sheetName val="시멘트및콘크리트"/>
      <sheetName val="골재"/>
      <sheetName val="아스콘및코팅재집계표"/>
      <sheetName val="골재집계"/>
      <sheetName val="타공종이월수량"/>
      <sheetName val="타공종이기수량"/>
      <sheetName val="원가계산서(년도별)"/>
      <sheetName val="집계표(도급)"/>
      <sheetName val="내역서(도급)"/>
      <sheetName val="6월호"/>
      <sheetName val="C.간지"/>
      <sheetName val="배수관공집계표"/>
      <sheetName val="2.10간지"/>
      <sheetName val="횡배수관집계표(현장)"/>
      <sheetName val="횡배수관현황(현장)"/>
      <sheetName val="평균터파기(현장)"/>
      <sheetName val="횡배수산근(현장)"/>
      <sheetName val="2.11간지"/>
      <sheetName val="종배수관및흄관집계표"/>
      <sheetName val="종배수관수량"/>
      <sheetName val="흄관수집계"/>
      <sheetName val="흄관평균터파기"/>
      <sheetName val="흄관산출(0+725)"/>
      <sheetName val="2.13간지"/>
      <sheetName val="날개벽및면벽집계표"/>
      <sheetName val="날개벽수량집계표"/>
      <sheetName val="날개벽단위수량"/>
      <sheetName val="2.14간지"/>
      <sheetName val="콘크리트집수정수량집계"/>
      <sheetName val="땅깍기부집수정집계"/>
      <sheetName val="갑지"/>
      <sheetName val="목차"/>
      <sheetName val="변경사유서간지"/>
      <sheetName val="변경사유서"/>
      <sheetName val="공사비집계표간지"/>
      <sheetName val="공사비집계표"/>
      <sheetName val="공사비증감내역서간지"/>
      <sheetName val="공사비증감내역서"/>
      <sheetName val="수량산출서간지"/>
      <sheetName val="상림1교간지"/>
      <sheetName val="상림1교수량집계표"/>
      <sheetName val="상림1교(교대A1)당초"/>
      <sheetName val="상림1교(교대A1)변경"/>
      <sheetName val="횡단면도"/>
      <sheetName val="사진대지"/>
      <sheetName val="상림1A1"/>
      <sheetName val="기타공표지"/>
      <sheetName val="기타공유동수량집계"/>
      <sheetName val="a,수로보호공"/>
      <sheetName val="수로보호공집계"/>
      <sheetName val="수로보호공현황(형식1~3)"/>
      <sheetName val="수로보호공현황(형식-4)"/>
      <sheetName val="수로보호공현황(형식-5)"/>
      <sheetName val="b.수로이설"/>
      <sheetName val="c.돌붙임후면배수표지"/>
      <sheetName val="d.기존배수관폐쇄표지"/>
      <sheetName val="e.기존BOX폐쇄표지"/>
      <sheetName val="f기존배수관세척"/>
      <sheetName val="g계단"/>
      <sheetName val="j.제작집수정표지"/>
      <sheetName val="제작집수정유동집"/>
      <sheetName val="제작집수정집계"/>
      <sheetName val="제작집수정현황"/>
      <sheetName val="제작집수정수량(1)"/>
      <sheetName val="제작집수정수량(2)"/>
      <sheetName val="k. 문비"/>
      <sheetName val="문비수량집계"/>
      <sheetName val="문비현황"/>
      <sheetName val="문비단위수량"/>
      <sheetName val="Module1"/>
      <sheetName val="표지(하천명)"/>
      <sheetName val="총괄자재"/>
      <sheetName val="표지"/>
      <sheetName val="제목(집계)"/>
      <sheetName val="주요"/>
      <sheetName val="주요자재"/>
      <sheetName val="제목 (토공)"/>
      <sheetName val="토공집계표"/>
      <sheetName val="토공수량(좌안)"/>
      <sheetName val="토적표좌안"/>
      <sheetName val="규준틀및경계말목 (좌안)"/>
      <sheetName val="제목(호안)"/>
      <sheetName val="호안공집계"/>
      <sheetName val="전석집계"/>
      <sheetName val="전석수량(좌1)"/>
      <sheetName val="전석면적(좌1)"/>
      <sheetName val="u형측구 집계표"/>
      <sheetName val="1지구u형측구"/>
      <sheetName val="2지구u형측구 "/>
      <sheetName val="DATE"/>
      <sheetName val="신일위"/>
      <sheetName val="변일위"/>
      <sheetName val="재집"/>
      <sheetName val="종평"/>
      <sheetName val="토집"/>
      <sheetName val="담장"/>
      <sheetName val="조경"/>
      <sheetName val="옹집"/>
      <sheetName val="옹벽수량"/>
      <sheetName val="간지"/>
      <sheetName val="파형강판 총수량집계표"/>
      <sheetName val="통로"/>
      <sheetName val="철근수량 집계표"/>
      <sheetName val="45,46"/>
      <sheetName val="전신환매도율"/>
      <sheetName val="BOQ"/>
      <sheetName val="을지"/>
      <sheetName val=""/>
      <sheetName val="공사비증감"/>
      <sheetName val="내역서"/>
      <sheetName val="시멘트,모래"/>
      <sheetName val="배수관공수량집계"/>
      <sheetName val="면벽단위"/>
      <sheetName val="흄관단위"/>
      <sheetName val="흄관토공수량"/>
      <sheetName val="흄관설치현황"/>
      <sheetName val="역T형옹벽(3.0)"/>
      <sheetName val="1+214(수로)"/>
      <sheetName val="1+185(통로)"/>
      <sheetName val="구체,날개,보강철근수량"/>
      <sheetName val="난간및차수벽철근량"/>
      <sheetName val="접속저판"/>
      <sheetName val="INPUT"/>
      <sheetName val="직노"/>
      <sheetName val="보차도경계석"/>
    </sheetNames>
    <definedNames>
      <definedName name="매크로11"/>
      <definedName name="매크로4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/>
      <sheetData sheetId="274" refreshError="1"/>
      <sheetData sheetId="275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 refreshError="1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1안 기계공사원가계산서"/>
      <sheetName val="기계공사집계표"/>
      <sheetName val="배관자재비"/>
      <sheetName val="배관설치비"/>
      <sheetName val="기기설치비"/>
      <sheetName val="기기자재비"/>
      <sheetName val="일위대가목록"/>
      <sheetName val="일위대가표"/>
      <sheetName val="단가비교표"/>
      <sheetName val="견적대비표"/>
      <sheetName val="노임단가"/>
      <sheetName val="기기리스트"/>
      <sheetName val="수량산출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8">
          <cell r="F8">
            <v>60590</v>
          </cell>
        </row>
        <row r="19">
          <cell r="L19">
            <v>40922</v>
          </cell>
        </row>
      </sheetData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우배수"/>
      <sheetName val="계산식"/>
      <sheetName val="우배수토공"/>
    </sheetNames>
    <sheetDataSet>
      <sheetData sheetId="0"/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</sheetNames>
    <sheetDataSet>
      <sheetData sheetId="0" refreshError="1">
        <row r="61">
          <cell r="G61">
            <v>4.3</v>
          </cell>
        </row>
        <row r="62">
          <cell r="G62">
            <v>4.7</v>
          </cell>
        </row>
        <row r="63">
          <cell r="G63">
            <v>5.9</v>
          </cell>
        </row>
        <row r="64">
          <cell r="G64">
            <v>6</v>
          </cell>
        </row>
        <row r="65">
          <cell r="G65">
            <v>9.4</v>
          </cell>
        </row>
        <row r="66">
          <cell r="G66">
            <v>13.3</v>
          </cell>
        </row>
        <row r="67">
          <cell r="G67">
            <v>16.399999999999999</v>
          </cell>
        </row>
        <row r="68">
          <cell r="G68">
            <v>20.7</v>
          </cell>
        </row>
        <row r="69">
          <cell r="G69">
            <v>24.3</v>
          </cell>
        </row>
        <row r="70">
          <cell r="G70">
            <v>30.2</v>
          </cell>
        </row>
        <row r="71">
          <cell r="G71">
            <v>37.4</v>
          </cell>
        </row>
        <row r="72">
          <cell r="G72">
            <v>53.8</v>
          </cell>
        </row>
        <row r="73">
          <cell r="G73">
            <v>77.099999999999994</v>
          </cell>
        </row>
        <row r="74">
          <cell r="G74">
            <v>94.9</v>
          </cell>
        </row>
        <row r="75">
          <cell r="G75">
            <v>116.5</v>
          </cell>
        </row>
        <row r="76">
          <cell r="G76">
            <v>150.9</v>
          </cell>
        </row>
        <row r="77">
          <cell r="G77">
            <v>156</v>
          </cell>
        </row>
        <row r="78">
          <cell r="G78">
            <v>175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총괄집계"/>
      <sheetName val="몰탈,연장집계"/>
      <sheetName val="연장집계"/>
      <sheetName val="연장산출"/>
      <sheetName val="절단집계"/>
      <sheetName val="절단수량"/>
      <sheetName val="맨홀집계"/>
      <sheetName val="맨홀수량"/>
      <sheetName val="맨홀단위"/>
      <sheetName val="맨홀H"/>
      <sheetName val="평균높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기계경비"/>
    </sheetNames>
    <sheetDataSet>
      <sheetData sheetId="0" refreshError="1">
        <row r="61">
          <cell r="J61" t="str">
            <v>에어호스(3/4inch)  19mm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"/>
      <sheetName val="건축내역"/>
      <sheetName val="laroux"/>
      <sheetName val="제출문"/>
      <sheetName val="조사개요"/>
      <sheetName val="물가변동지수표"/>
      <sheetName val="비목별계수표"/>
      <sheetName val="결과표(총)"/>
      <sheetName val="장비가격"/>
      <sheetName val="지수조정율산출결과표"/>
      <sheetName val="내역서(1)"/>
      <sheetName val="지수조정율산출결과표(2)"/>
      <sheetName val="내역서(2)"/>
      <sheetName val="N"/>
      <sheetName val="일위(건축)"/>
      <sheetName val="S"/>
      <sheetName val="기계"/>
      <sheetName val="원가"/>
      <sheetName val="결과표"/>
      <sheetName val="내역서"/>
      <sheetName val="적용대가"/>
      <sheetName val="지수산출방법"/>
      <sheetName val="산출방법"/>
      <sheetName val="원가 (2)"/>
      <sheetName val="토목"/>
      <sheetName val="건축"/>
      <sheetName val="설비"/>
      <sheetName val="N(TO)"/>
      <sheetName val="N(GUN)"/>
      <sheetName val="S배수공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  <sheetName val="관경고용테이프수집"/>
      <sheetName val="관경고용산근"/>
      <sheetName val="summary"/>
      <sheetName val="chart"/>
      <sheetName val="chart update"/>
      <sheetName val="남평1"/>
      <sheetName val="남평2"/>
      <sheetName val="남평3"/>
      <sheetName val="회동1"/>
      <sheetName val="회동2"/>
      <sheetName val="회동3"/>
      <sheetName val="회동4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4.포장공"/>
      <sheetName val="관로"/>
      <sheetName val="가정연결관"/>
      <sheetName val="5.부대공"/>
      <sheetName val="(1)가시설공"/>
      <sheetName val="(2)경고"/>
      <sheetName val="(3)기타"/>
      <sheetName val="6.주요자재대"/>
      <sheetName val="7.폐기물"/>
      <sheetName val="중부"/>
      <sheetName val="북부"/>
      <sheetName val="남부"/>
      <sheetName val="이월도표"/>
      <sheetName val="추적+궁합"/>
      <sheetName val="로또정석"/>
      <sheetName val="최근21회정석"/>
      <sheetName val="당첨금"/>
      <sheetName val="로또그림"/>
      <sheetName val="로또용어"/>
      <sheetName val="로또abc"/>
      <sheetName val="로또10계명"/>
      <sheetName val="Sheet7"/>
      <sheetName val="Sheet6"/>
      <sheetName val="Sheet5"/>
      <sheetName val="Sheet4"/>
      <sheetName val="Sheet3 (2)"/>
    </sheetNames>
    <sheetDataSet>
      <sheetData sheetId="0" refreshError="1">
        <row r="24">
          <cell r="C24" t="str">
            <v>D=100×11¼˚</v>
          </cell>
          <cell r="E24">
            <v>10</v>
          </cell>
        </row>
        <row r="25">
          <cell r="C25" t="str">
            <v>D=150×11¼˚</v>
          </cell>
          <cell r="E25">
            <v>12</v>
          </cell>
        </row>
        <row r="26">
          <cell r="C26" t="str">
            <v>D=100×11¼˚</v>
          </cell>
          <cell r="E26">
            <v>17</v>
          </cell>
        </row>
        <row r="27">
          <cell r="C27" t="str">
            <v>D=100×22½˚</v>
          </cell>
          <cell r="E27">
            <v>20</v>
          </cell>
        </row>
        <row r="28">
          <cell r="C28" t="str">
            <v>D=150×22½˚</v>
          </cell>
          <cell r="E28">
            <v>4</v>
          </cell>
        </row>
        <row r="29">
          <cell r="C29" t="str">
            <v>D=100×22½˚</v>
          </cell>
          <cell r="E29">
            <v>5</v>
          </cell>
        </row>
        <row r="30">
          <cell r="C30" t="str">
            <v>D=100×45˚</v>
          </cell>
          <cell r="E30">
            <v>5</v>
          </cell>
        </row>
        <row r="31">
          <cell r="C31" t="str">
            <v>D=150×45˚</v>
          </cell>
          <cell r="E31">
            <v>5</v>
          </cell>
        </row>
        <row r="32">
          <cell r="C32" t="str">
            <v>D=100×45˚</v>
          </cell>
          <cell r="E32">
            <v>4</v>
          </cell>
        </row>
        <row r="33">
          <cell r="C33" t="str">
            <v>D=100×90˚</v>
          </cell>
          <cell r="E33">
            <v>6</v>
          </cell>
        </row>
        <row r="34">
          <cell r="C34" t="str">
            <v>D=100×90˚</v>
          </cell>
          <cell r="E34">
            <v>5</v>
          </cell>
        </row>
        <row r="35">
          <cell r="C35" t="str">
            <v>D=100×90˚</v>
          </cell>
          <cell r="E35">
            <v>55</v>
          </cell>
        </row>
        <row r="36">
          <cell r="C36" t="str">
            <v>D=100×100</v>
          </cell>
          <cell r="E36">
            <v>5</v>
          </cell>
        </row>
        <row r="37">
          <cell r="C37" t="str">
            <v>D=100×100</v>
          </cell>
          <cell r="E37">
            <v>5</v>
          </cell>
        </row>
        <row r="38">
          <cell r="C38" t="str">
            <v>D=100×100</v>
          </cell>
          <cell r="E38">
            <v>6</v>
          </cell>
        </row>
        <row r="39">
          <cell r="C39" t="str">
            <v>D=100×100</v>
          </cell>
          <cell r="E39">
            <v>4</v>
          </cell>
        </row>
        <row r="40">
          <cell r="C40" t="str">
            <v>D=100×100</v>
          </cell>
          <cell r="E40">
            <v>5</v>
          </cell>
        </row>
        <row r="41">
          <cell r="C41" t="str">
            <v>D=100×100</v>
          </cell>
          <cell r="E41">
            <v>8</v>
          </cell>
        </row>
        <row r="42">
          <cell r="C42" t="str">
            <v>D=80</v>
          </cell>
          <cell r="E42">
            <v>9</v>
          </cell>
        </row>
        <row r="43">
          <cell r="C43" t="str">
            <v>D=100</v>
          </cell>
          <cell r="E43">
            <v>10</v>
          </cell>
        </row>
        <row r="44">
          <cell r="C44" t="str">
            <v>D=150</v>
          </cell>
          <cell r="E44">
            <v>12</v>
          </cell>
        </row>
        <row r="45">
          <cell r="C45" t="str">
            <v>D=200</v>
          </cell>
          <cell r="E45">
            <v>18</v>
          </cell>
        </row>
        <row r="46">
          <cell r="C46" t="str">
            <v>D=250</v>
          </cell>
          <cell r="E46">
            <v>25</v>
          </cell>
        </row>
        <row r="47">
          <cell r="C47" t="str">
            <v>D=300</v>
          </cell>
          <cell r="E47">
            <v>34</v>
          </cell>
        </row>
        <row r="48">
          <cell r="C48" t="str">
            <v>D=80</v>
          </cell>
          <cell r="E48">
            <v>7.9</v>
          </cell>
        </row>
        <row r="49">
          <cell r="C49" t="str">
            <v>D=100</v>
          </cell>
          <cell r="E49">
            <v>9.6</v>
          </cell>
        </row>
        <row r="50">
          <cell r="C50" t="str">
            <v>D=150</v>
          </cell>
          <cell r="E50">
            <v>15.6</v>
          </cell>
        </row>
        <row r="51">
          <cell r="C51" t="str">
            <v>D=200</v>
          </cell>
          <cell r="E51">
            <v>22.5</v>
          </cell>
        </row>
        <row r="52">
          <cell r="C52" t="str">
            <v>D=250</v>
          </cell>
          <cell r="E52">
            <v>31.5</v>
          </cell>
        </row>
        <row r="53">
          <cell r="C53" t="str">
            <v>D=300</v>
          </cell>
          <cell r="E53">
            <v>41.5</v>
          </cell>
        </row>
        <row r="54">
          <cell r="C54" t="str">
            <v>D=80</v>
          </cell>
          <cell r="E54">
            <v>42</v>
          </cell>
        </row>
        <row r="55">
          <cell r="C55" t="str">
            <v>D=100</v>
          </cell>
          <cell r="E55">
            <v>50</v>
          </cell>
        </row>
        <row r="56">
          <cell r="C56" t="str">
            <v>D=150</v>
          </cell>
          <cell r="E56">
            <v>90</v>
          </cell>
        </row>
        <row r="57">
          <cell r="C57" t="str">
            <v>D=200</v>
          </cell>
          <cell r="E57">
            <v>140</v>
          </cell>
        </row>
        <row r="58">
          <cell r="C58" t="str">
            <v>D=300</v>
          </cell>
          <cell r="E58">
            <v>280</v>
          </cell>
        </row>
        <row r="59">
          <cell r="C59" t="str">
            <v>D=80</v>
          </cell>
          <cell r="E59">
            <v>94</v>
          </cell>
        </row>
        <row r="60">
          <cell r="C60" t="str">
            <v>D=100</v>
          </cell>
          <cell r="E60">
            <v>110</v>
          </cell>
        </row>
        <row r="61">
          <cell r="C61" t="str">
            <v>D=80</v>
          </cell>
          <cell r="E61">
            <v>13.5</v>
          </cell>
          <cell r="I61" t="str">
            <v>×</v>
          </cell>
        </row>
        <row r="62">
          <cell r="C62" t="str">
            <v>D=100</v>
          </cell>
          <cell r="E62">
            <v>16.399999999999999</v>
          </cell>
          <cell r="I62" t="str">
            <v>×</v>
          </cell>
        </row>
        <row r="63">
          <cell r="C63" t="str">
            <v>D=100</v>
          </cell>
          <cell r="E63">
            <v>16.399999999999999</v>
          </cell>
          <cell r="I63" t="str">
            <v>×</v>
          </cell>
        </row>
        <row r="64">
          <cell r="C64" t="str">
            <v>D=100</v>
          </cell>
          <cell r="E64">
            <v>16.399999999999999</v>
          </cell>
          <cell r="I64" t="str">
            <v>×</v>
          </cell>
        </row>
        <row r="65">
          <cell r="C65" t="str">
            <v>D=100</v>
          </cell>
          <cell r="E65">
            <v>16.399999999999999</v>
          </cell>
          <cell r="I65" t="str">
            <v>×</v>
          </cell>
        </row>
        <row r="66">
          <cell r="C66" t="str">
            <v>D=100</v>
          </cell>
          <cell r="E66">
            <v>16.399999999999999</v>
          </cell>
          <cell r="I66" t="str">
            <v>×</v>
          </cell>
        </row>
        <row r="67">
          <cell r="C67" t="str">
            <v>D=100</v>
          </cell>
          <cell r="E67">
            <v>16.399999999999999</v>
          </cell>
          <cell r="I67" t="str">
            <v>×</v>
          </cell>
        </row>
        <row r="68">
          <cell r="C68" t="str">
            <v>D=100</v>
          </cell>
          <cell r="E68">
            <v>16.399999999999999</v>
          </cell>
          <cell r="I68" t="str">
            <v>×</v>
          </cell>
        </row>
        <row r="69">
          <cell r="C69" t="str">
            <v>D=125</v>
          </cell>
          <cell r="E69">
            <v>21</v>
          </cell>
          <cell r="I69" t="str">
            <v>×</v>
          </cell>
        </row>
        <row r="70">
          <cell r="C70" t="str">
            <v>D=150</v>
          </cell>
          <cell r="E70">
            <v>25.3</v>
          </cell>
          <cell r="I70" t="str">
            <v>×</v>
          </cell>
        </row>
        <row r="71">
          <cell r="C71" t="str">
            <v>D=200</v>
          </cell>
          <cell r="E71">
            <v>33.799999999999997</v>
          </cell>
          <cell r="I71" t="str">
            <v>×</v>
          </cell>
        </row>
        <row r="72">
          <cell r="C72" t="str">
            <v>D=250</v>
          </cell>
          <cell r="E72">
            <v>44.3</v>
          </cell>
          <cell r="I72" t="str">
            <v>×</v>
          </cell>
        </row>
        <row r="73">
          <cell r="C73" t="str">
            <v>D=300</v>
          </cell>
          <cell r="E73">
            <v>56.3</v>
          </cell>
          <cell r="I73" t="str">
            <v>×</v>
          </cell>
        </row>
        <row r="74">
          <cell r="C74" t="str">
            <v>D=350</v>
          </cell>
          <cell r="E74">
            <v>69.599999999999994</v>
          </cell>
          <cell r="I74" t="str">
            <v>×</v>
          </cell>
        </row>
        <row r="75">
          <cell r="C75" t="str">
            <v>D=400</v>
          </cell>
          <cell r="E75">
            <v>83.7</v>
          </cell>
          <cell r="I75" t="str">
            <v>×</v>
          </cell>
        </row>
        <row r="76">
          <cell r="C76" t="str">
            <v>D=450</v>
          </cell>
          <cell r="E76">
            <v>98.5</v>
          </cell>
          <cell r="I76" t="str">
            <v>×</v>
          </cell>
        </row>
        <row r="77">
          <cell r="C77" t="str">
            <v>D=500</v>
          </cell>
          <cell r="E77">
            <v>115.6</v>
          </cell>
          <cell r="I77" t="str">
            <v>×</v>
          </cell>
        </row>
        <row r="78">
          <cell r="C78" t="str">
            <v>D=600</v>
          </cell>
          <cell r="E78">
            <v>152</v>
          </cell>
          <cell r="I78" t="str">
            <v>×</v>
          </cell>
        </row>
        <row r="79">
          <cell r="C79" t="str">
            <v>D=700</v>
          </cell>
          <cell r="E79">
            <v>193</v>
          </cell>
          <cell r="I79" t="str">
            <v>×</v>
          </cell>
        </row>
        <row r="80">
          <cell r="C80" t="str">
            <v>D=800</v>
          </cell>
          <cell r="E80">
            <v>238.7</v>
          </cell>
          <cell r="I80" t="str">
            <v>×</v>
          </cell>
        </row>
        <row r="81">
          <cell r="C81" t="str">
            <v>D=900</v>
          </cell>
          <cell r="E81">
            <v>288.7</v>
          </cell>
          <cell r="I81" t="str">
            <v>×</v>
          </cell>
        </row>
        <row r="82">
          <cell r="C82" t="str">
            <v>D=1000</v>
          </cell>
          <cell r="E82">
            <v>343.2</v>
          </cell>
          <cell r="I82" t="str">
            <v>×</v>
          </cell>
        </row>
        <row r="83">
          <cell r="C83" t="str">
            <v>D=1100</v>
          </cell>
          <cell r="E83">
            <v>399.5</v>
          </cell>
          <cell r="I83" t="str">
            <v>×</v>
          </cell>
        </row>
        <row r="84">
          <cell r="C84" t="str">
            <v>D=1200</v>
          </cell>
          <cell r="E84">
            <v>465.9</v>
          </cell>
          <cell r="I84" t="str">
            <v>×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토공집계"/>
      <sheetName val="관로집계"/>
      <sheetName val="대로근거"/>
      <sheetName val="대로토공"/>
      <sheetName val="중로근거"/>
      <sheetName val="중로토공"/>
      <sheetName val="소로근거"/>
      <sheetName val="소로토공"/>
      <sheetName val="비포장근거"/>
      <sheetName val="비포장토공"/>
      <sheetName val="연결관수량"/>
      <sheetName val="우수받이수량"/>
      <sheetName val="집수정수량"/>
      <sheetName val="집수정단위"/>
      <sheetName val="U형측구수량"/>
      <sheetName val="U형측구단위"/>
      <sheetName val="산마루측구수량"/>
      <sheetName val="산마루측구단위"/>
      <sheetName val="도수로수량"/>
      <sheetName val="도수로단위"/>
      <sheetName val="횡단배수구수량"/>
      <sheetName val="횡단배수구단위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간 지"/>
      <sheetName val="1.설계조건"/>
      <sheetName val="BOX 설계"/>
      <sheetName val="SAP DATA"/>
      <sheetName val="단면력 집계"/>
      <sheetName val="구체철근량"/>
      <sheetName val="사용성 검토"/>
      <sheetName val="주철근조립도"/>
      <sheetName val="말뚝지지력산정"/>
      <sheetName val="부력안정검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9">
          <cell r="J19">
            <v>350</v>
          </cell>
        </row>
        <row r="22">
          <cell r="L22">
            <v>20</v>
          </cell>
        </row>
        <row r="116">
          <cell r="F116">
            <v>2.5</v>
          </cell>
        </row>
      </sheetData>
      <sheetData sheetId="9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VXXXXX"/>
      <sheetName val="토적집계표"/>
      <sheetName val="토적표"/>
      <sheetName val="3BL공동구 수량"/>
      <sheetName val="3BL수량집계"/>
      <sheetName val="45BL공동구수량"/>
      <sheetName val="50BL공동구 수량 "/>
      <sheetName val="45,50BL수량집계"/>
      <sheetName val="수량집계표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. 오수관 신설(처리구역)"/>
      <sheetName val="2. 오수관 신설(소규모하수도)"/>
      <sheetName val="3. 기존관거 연장(소규모하수도)"/>
      <sheetName val="4.단계별 하수관거 연장"/>
    </sheetNames>
    <sheetDataSet>
      <sheetData sheetId="0">
        <row r="6">
          <cell r="S6">
            <v>2042</v>
          </cell>
          <cell r="W6">
            <v>117</v>
          </cell>
        </row>
        <row r="7">
          <cell r="Z7">
            <v>1163</v>
          </cell>
        </row>
        <row r="9">
          <cell r="D9">
            <v>1260</v>
          </cell>
          <cell r="E9">
            <v>13150</v>
          </cell>
          <cell r="H9">
            <v>1</v>
          </cell>
          <cell r="I9">
            <v>436</v>
          </cell>
        </row>
        <row r="13">
          <cell r="L13">
            <v>6920</v>
          </cell>
          <cell r="N13">
            <v>1670</v>
          </cell>
          <cell r="P13">
            <v>326</v>
          </cell>
        </row>
        <row r="14">
          <cell r="K14">
            <v>300</v>
          </cell>
          <cell r="L14">
            <v>9815</v>
          </cell>
          <cell r="M14">
            <v>2655</v>
          </cell>
          <cell r="O14">
            <v>1</v>
          </cell>
          <cell r="P14">
            <v>293</v>
          </cell>
        </row>
        <row r="15">
          <cell r="L15">
            <v>5074</v>
          </cell>
          <cell r="P15">
            <v>192</v>
          </cell>
        </row>
        <row r="17">
          <cell r="E17">
            <v>854</v>
          </cell>
        </row>
        <row r="18">
          <cell r="E18">
            <v>3450</v>
          </cell>
        </row>
        <row r="19">
          <cell r="D19">
            <v>140</v>
          </cell>
          <cell r="E19">
            <v>4660</v>
          </cell>
          <cell r="F19">
            <v>0</v>
          </cell>
          <cell r="H19">
            <v>1</v>
          </cell>
          <cell r="I19">
            <v>147</v>
          </cell>
        </row>
        <row r="20">
          <cell r="E20">
            <v>6040</v>
          </cell>
          <cell r="F20">
            <v>0</v>
          </cell>
          <cell r="I20">
            <v>138</v>
          </cell>
        </row>
      </sheetData>
      <sheetData sheetId="1"/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1. 오수관 신설(처리구역)"/>
      <sheetName val="2. 오수관 신설(소규모하수도)"/>
      <sheetName val="3.단계별 하수관거 연장"/>
    </sheetNames>
    <sheetDataSet>
      <sheetData sheetId="0">
        <row r="11">
          <cell r="D11">
            <v>1485</v>
          </cell>
          <cell r="E11">
            <v>1085</v>
          </cell>
          <cell r="H11">
            <v>1</v>
          </cell>
          <cell r="I11">
            <v>75</v>
          </cell>
          <cell r="K11">
            <v>275</v>
          </cell>
          <cell r="L11">
            <v>15790</v>
          </cell>
          <cell r="M11">
            <v>4070</v>
          </cell>
          <cell r="O11">
            <v>1</v>
          </cell>
          <cell r="P11">
            <v>635</v>
          </cell>
        </row>
        <row r="22">
          <cell r="D22">
            <v>1880</v>
          </cell>
          <cell r="E22">
            <v>3980</v>
          </cell>
          <cell r="H22">
            <v>2</v>
          </cell>
          <cell r="I22">
            <v>142</v>
          </cell>
        </row>
        <row r="23">
          <cell r="D23">
            <v>850</v>
          </cell>
          <cell r="E23">
            <v>6371</v>
          </cell>
          <cell r="H23">
            <v>1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1. 기존관 현황조서(보령처리구역)"/>
      <sheetName val="2.BTL 사업분석"/>
      <sheetName val="3.1 굴착교체"/>
      <sheetName val="3.2 전체보수"/>
      <sheetName val="3.3 부분보수"/>
      <sheetName val="4. 차집관거 조서"/>
      <sheetName val="5. 배수설비 조서"/>
    </sheetNames>
    <sheetDataSet>
      <sheetData sheetId="0"/>
      <sheetData sheetId="1"/>
      <sheetData sheetId="2"/>
      <sheetData sheetId="3"/>
      <sheetData sheetId="4"/>
      <sheetData sheetId="5">
        <row r="17">
          <cell r="D17">
            <v>133</v>
          </cell>
          <cell r="E17">
            <v>54</v>
          </cell>
          <cell r="F17">
            <v>306</v>
          </cell>
          <cell r="G17">
            <v>338</v>
          </cell>
          <cell r="H17">
            <v>114</v>
          </cell>
          <cell r="I17">
            <v>212</v>
          </cell>
          <cell r="J17">
            <v>213</v>
          </cell>
          <cell r="K17">
            <v>362</v>
          </cell>
          <cell r="L17">
            <v>279</v>
          </cell>
        </row>
      </sheetData>
      <sheetData sheetId="6">
        <row r="6">
          <cell r="I6">
            <v>0</v>
          </cell>
        </row>
        <row r="17">
          <cell r="I17">
            <v>87</v>
          </cell>
        </row>
        <row r="18">
          <cell r="I18">
            <v>294</v>
          </cell>
        </row>
        <row r="22">
          <cell r="I22">
            <v>420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1)오수총괄"/>
      <sheetName val="2)우수총괄"/>
      <sheetName val="3)압송총괄"/>
      <sheetName val="4)오-토-총괄"/>
      <sheetName val="5)자-단위(오)"/>
      <sheetName val="6)자-수량(오)"/>
      <sheetName val="7)가-단위(오)"/>
      <sheetName val="8)가-수량(오)"/>
      <sheetName val="9)우-토-총괄"/>
      <sheetName val="10)자-단위(우)"/>
      <sheetName val="11)자-수량(우)"/>
      <sheetName val="12)가-단위(우)"/>
      <sheetName val="13)가-수량(우)"/>
      <sheetName val="14)압-토-총괄"/>
      <sheetName val="15)압-단위"/>
      <sheetName val="16)압-수량"/>
      <sheetName val="17)BOX1련 단가"/>
      <sheetName val="18)BOX1련 수량"/>
      <sheetName val="19)토공기초단가"/>
      <sheetName val="20)관종별부설비"/>
      <sheetName val="21)가시설"/>
      <sheetName val="22)가시설기초단가"/>
      <sheetName val="23)맨홀-총괄"/>
      <sheetName val="24)1호맨홀수량"/>
      <sheetName val="25)2호맨홀수량"/>
      <sheetName val="26)3호맨홀수량"/>
      <sheetName val="27)배수-총괄"/>
      <sheetName val="28)배수-단위"/>
      <sheetName val="29)배수-토공"/>
      <sheetName val="30)전체보수"/>
      <sheetName val="31)전체보수단가"/>
      <sheetName val="32)부분보수"/>
      <sheetName val="33)부분보수단가"/>
      <sheetName val="34)MH P공사비"/>
      <sheetName val="35)맨홀펌프장-수량"/>
      <sheetName val="36)CCTV조사공"/>
      <sheetName val="37)유지관리모니터링"/>
      <sheetName val="38)모니터링견적비교"/>
      <sheetName val="39)유량계 비교견적"/>
      <sheetName val="40)초기우수처리시설"/>
      <sheetName val="41)폐기물수량(하수관거)"/>
      <sheetName val="41-2)폐기물수량(소규모)"/>
      <sheetName val="42)폐기물단가"/>
      <sheetName val="43)폐기물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6">
          <cell r="F6">
            <v>1481.04</v>
          </cell>
          <cell r="H6">
            <v>7575.7529999999988</v>
          </cell>
          <cell r="L6">
            <v>2755.6859999999997</v>
          </cell>
          <cell r="N6">
            <v>4491.1100000000006</v>
          </cell>
          <cell r="P6">
            <v>6682.51</v>
          </cell>
          <cell r="R6">
            <v>5894.4560000000001</v>
          </cell>
          <cell r="T6">
            <v>2981.4409999999998</v>
          </cell>
          <cell r="V6">
            <v>4123.4130000000005</v>
          </cell>
          <cell r="X6">
            <v>2022.69</v>
          </cell>
          <cell r="Z6">
            <v>1255.595</v>
          </cell>
          <cell r="AB6">
            <v>4355.3289999999997</v>
          </cell>
          <cell r="AD6">
            <v>1513.06</v>
          </cell>
          <cell r="AF6">
            <v>1914.68</v>
          </cell>
          <cell r="AJ6">
            <v>1888.9169999999999</v>
          </cell>
        </row>
        <row r="43">
          <cell r="F43">
            <v>1750.8600000000001</v>
          </cell>
          <cell r="H43">
            <v>5104.0120000000006</v>
          </cell>
          <cell r="L43">
            <v>1635.9110000000001</v>
          </cell>
          <cell r="N43">
            <v>9249.2800000000007</v>
          </cell>
          <cell r="P43">
            <v>12720.445</v>
          </cell>
          <cell r="R43">
            <v>3599.087</v>
          </cell>
          <cell r="T43">
            <v>6271.0450000000001</v>
          </cell>
          <cell r="V43">
            <v>7502.5610000000006</v>
          </cell>
          <cell r="X43">
            <v>4028.2849999999999</v>
          </cell>
          <cell r="Z43">
            <v>1126.8810000000001</v>
          </cell>
          <cell r="AB43">
            <v>3866.3040000000001</v>
          </cell>
          <cell r="AD43">
            <v>3071.56</v>
          </cell>
          <cell r="AF43">
            <v>3483.08</v>
          </cell>
          <cell r="AJ43">
            <v>4683.8530000000001</v>
          </cell>
        </row>
      </sheetData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1. 계획하수량(일평균)"/>
      <sheetName val="2. 계획하수량(일최대)"/>
      <sheetName val="3. 계획하수량(시간최대)"/>
      <sheetName val="3. 단계별 시설용량"/>
    </sheetNames>
    <sheetDataSet>
      <sheetData sheetId="0">
        <row r="6">
          <cell r="L6">
            <v>5</v>
          </cell>
        </row>
      </sheetData>
      <sheetData sheetId="1"/>
      <sheetData sheetId="2"/>
      <sheetData sheetId="3">
        <row r="4">
          <cell r="G4">
            <v>380</v>
          </cell>
        </row>
        <row r="6">
          <cell r="G6">
            <v>110</v>
          </cell>
        </row>
        <row r="7">
          <cell r="G7">
            <v>90</v>
          </cell>
        </row>
        <row r="8">
          <cell r="G8">
            <v>110</v>
          </cell>
        </row>
        <row r="9">
          <cell r="G9">
            <v>310</v>
          </cell>
        </row>
        <row r="10">
          <cell r="G10">
            <v>120</v>
          </cell>
        </row>
        <row r="11">
          <cell r="G11">
            <v>100</v>
          </cell>
        </row>
        <row r="12">
          <cell r="G12">
            <v>60</v>
          </cell>
        </row>
        <row r="13">
          <cell r="G13">
            <v>220</v>
          </cell>
        </row>
        <row r="14">
          <cell r="G14">
            <v>150</v>
          </cell>
        </row>
        <row r="15">
          <cell r="G15">
            <v>60</v>
          </cell>
        </row>
        <row r="16">
          <cell r="G16">
            <v>70</v>
          </cell>
        </row>
        <row r="18">
          <cell r="G18">
            <v>160</v>
          </cell>
        </row>
        <row r="19">
          <cell r="G19">
            <v>120</v>
          </cell>
        </row>
        <row r="21">
          <cell r="G21">
            <v>100</v>
          </cell>
        </row>
        <row r="22">
          <cell r="G22">
            <v>160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  <cell r="D24" t="str">
            <v xml:space="preserve"> ⊃</v>
          </cell>
          <cell r="E24">
            <v>10</v>
          </cell>
        </row>
        <row r="25">
          <cell r="B25" t="str">
            <v>수평곡관</v>
          </cell>
          <cell r="C25" t="str">
            <v>D=150×11¼˚</v>
          </cell>
          <cell r="D25" t="str">
            <v xml:space="preserve"> ⊃</v>
          </cell>
          <cell r="E25">
            <v>12</v>
          </cell>
        </row>
        <row r="26">
          <cell r="B26" t="str">
            <v>수평곡관</v>
          </cell>
          <cell r="C26" t="str">
            <v>D=100×11¼˚</v>
          </cell>
          <cell r="D26" t="str">
            <v xml:space="preserve"> ⊃</v>
          </cell>
          <cell r="E26">
            <v>17</v>
          </cell>
        </row>
        <row r="27">
          <cell r="B27" t="str">
            <v>수평곡관</v>
          </cell>
          <cell r="C27" t="str">
            <v>D=100×22½˚</v>
          </cell>
          <cell r="D27" t="str">
            <v xml:space="preserve"> ⊃</v>
          </cell>
          <cell r="E27">
            <v>20</v>
          </cell>
        </row>
        <row r="28">
          <cell r="B28" t="str">
            <v>수평곡관</v>
          </cell>
          <cell r="C28" t="str">
            <v>D=150×22½˚</v>
          </cell>
          <cell r="D28" t="str">
            <v xml:space="preserve"> ⊃</v>
          </cell>
          <cell r="E28">
            <v>4</v>
          </cell>
        </row>
        <row r="29">
          <cell r="B29" t="str">
            <v>수평곡관</v>
          </cell>
          <cell r="C29" t="str">
            <v>D=100×22½˚</v>
          </cell>
          <cell r="D29" t="str">
            <v xml:space="preserve"> ⊃</v>
          </cell>
          <cell r="E29">
            <v>5</v>
          </cell>
        </row>
        <row r="30">
          <cell r="B30" t="str">
            <v>수평곡관</v>
          </cell>
          <cell r="C30" t="str">
            <v>D=100×45˚</v>
          </cell>
          <cell r="D30" t="str">
            <v xml:space="preserve"> ⊃</v>
          </cell>
          <cell r="E30">
            <v>5</v>
          </cell>
        </row>
        <row r="31">
          <cell r="B31" t="str">
            <v>수평곡관</v>
          </cell>
          <cell r="C31" t="str">
            <v>D=150×45˚</v>
          </cell>
          <cell r="D31" t="str">
            <v xml:space="preserve"> ⊃</v>
          </cell>
          <cell r="E31">
            <v>5</v>
          </cell>
        </row>
        <row r="32">
          <cell r="B32" t="str">
            <v>수평곡관</v>
          </cell>
          <cell r="C32" t="str">
            <v>D=100×45˚</v>
          </cell>
          <cell r="D32" t="str">
            <v xml:space="preserve"> ⊃</v>
          </cell>
          <cell r="E32">
            <v>4</v>
          </cell>
        </row>
        <row r="33">
          <cell r="B33" t="str">
            <v>수평곡관</v>
          </cell>
          <cell r="C33" t="str">
            <v>D=100×90˚</v>
          </cell>
          <cell r="D33" t="str">
            <v xml:space="preserve"> ⊃</v>
          </cell>
          <cell r="E33">
            <v>6</v>
          </cell>
        </row>
        <row r="34">
          <cell r="B34" t="str">
            <v>수평곡관</v>
          </cell>
          <cell r="C34" t="str">
            <v>D=100×90˚</v>
          </cell>
          <cell r="D34" t="str">
            <v xml:space="preserve"> ⊃</v>
          </cell>
          <cell r="E34">
            <v>5</v>
          </cell>
        </row>
        <row r="35">
          <cell r="B35" t="str">
            <v>수평곡관</v>
          </cell>
          <cell r="C35" t="str">
            <v>D=100×90˚</v>
          </cell>
          <cell r="D35" t="str">
            <v xml:space="preserve"> ⊃</v>
          </cell>
          <cell r="E35">
            <v>55</v>
          </cell>
        </row>
        <row r="36">
          <cell r="B36" t="str">
            <v>소켓플랜지T형관</v>
          </cell>
          <cell r="C36" t="str">
            <v>D=100×100</v>
          </cell>
          <cell r="E36">
            <v>5</v>
          </cell>
        </row>
        <row r="37">
          <cell r="B37" t="str">
            <v>소켓플랜지T형관</v>
          </cell>
          <cell r="C37" t="str">
            <v>D=100×100</v>
          </cell>
          <cell r="E37">
            <v>5</v>
          </cell>
        </row>
        <row r="38">
          <cell r="B38" t="str">
            <v>소켓플랜지T형관</v>
          </cell>
          <cell r="C38" t="str">
            <v>D=100×100</v>
          </cell>
          <cell r="E38">
            <v>6</v>
          </cell>
        </row>
        <row r="39">
          <cell r="B39" t="str">
            <v>소켓T형관</v>
          </cell>
          <cell r="C39" t="str">
            <v>D=100×100</v>
          </cell>
          <cell r="E39">
            <v>4</v>
          </cell>
        </row>
        <row r="40">
          <cell r="B40" t="str">
            <v>소켓T형관</v>
          </cell>
          <cell r="C40" t="str">
            <v>D=100×100</v>
          </cell>
          <cell r="E40">
            <v>5</v>
          </cell>
        </row>
        <row r="41">
          <cell r="B41" t="str">
            <v>소켓T형관</v>
          </cell>
          <cell r="C41" t="str">
            <v>D=100×100</v>
          </cell>
          <cell r="E41">
            <v>8</v>
          </cell>
        </row>
        <row r="42">
          <cell r="B42" t="str">
            <v>이 음 관</v>
          </cell>
          <cell r="C42" t="str">
            <v>D=80</v>
          </cell>
          <cell r="E42">
            <v>9</v>
          </cell>
        </row>
        <row r="43">
          <cell r="B43" t="str">
            <v>이 음 관</v>
          </cell>
          <cell r="C43" t="str">
            <v>D=100</v>
          </cell>
          <cell r="E43">
            <v>10</v>
          </cell>
        </row>
        <row r="44">
          <cell r="B44" t="str">
            <v>이 음 관</v>
          </cell>
          <cell r="C44" t="str">
            <v>D=150</v>
          </cell>
          <cell r="E44">
            <v>12</v>
          </cell>
        </row>
        <row r="45">
          <cell r="B45" t="str">
            <v>이 음 관</v>
          </cell>
          <cell r="C45" t="str">
            <v>D=200</v>
          </cell>
          <cell r="E45">
            <v>18</v>
          </cell>
        </row>
        <row r="46">
          <cell r="B46" t="str">
            <v>이 음 관</v>
          </cell>
          <cell r="C46" t="str">
            <v>D=250</v>
          </cell>
          <cell r="E46">
            <v>25</v>
          </cell>
        </row>
        <row r="47">
          <cell r="B47" t="str">
            <v>이 음 관</v>
          </cell>
          <cell r="C47" t="str">
            <v>D=300</v>
          </cell>
          <cell r="E47">
            <v>34</v>
          </cell>
        </row>
        <row r="48">
          <cell r="B48" t="str">
            <v>플랜지관</v>
          </cell>
          <cell r="C48" t="str">
            <v>D=80</v>
          </cell>
          <cell r="E48">
            <v>7.9</v>
          </cell>
        </row>
        <row r="49">
          <cell r="B49" t="str">
            <v>플랜지관</v>
          </cell>
          <cell r="C49" t="str">
            <v>D=100</v>
          </cell>
          <cell r="E49">
            <v>9.6</v>
          </cell>
        </row>
        <row r="50">
          <cell r="B50" t="str">
            <v>플랜지관</v>
          </cell>
          <cell r="C50" t="str">
            <v>D=150</v>
          </cell>
          <cell r="E50">
            <v>15.6</v>
          </cell>
        </row>
        <row r="51">
          <cell r="B51" t="str">
            <v>플랜지관</v>
          </cell>
          <cell r="C51" t="str">
            <v>D=200</v>
          </cell>
          <cell r="E51">
            <v>22.5</v>
          </cell>
        </row>
        <row r="52">
          <cell r="B52" t="str">
            <v>플랜지관</v>
          </cell>
          <cell r="C52" t="str">
            <v>D=250</v>
          </cell>
          <cell r="E52">
            <v>31.5</v>
          </cell>
        </row>
        <row r="53">
          <cell r="B53" t="str">
            <v>플랜지관</v>
          </cell>
          <cell r="C53" t="str">
            <v>D=300</v>
          </cell>
          <cell r="E53">
            <v>41.5</v>
          </cell>
        </row>
        <row r="54">
          <cell r="B54" t="str">
            <v>제 수 변</v>
          </cell>
          <cell r="C54" t="str">
            <v>D=80</v>
          </cell>
          <cell r="E54">
            <v>42</v>
          </cell>
        </row>
        <row r="55">
          <cell r="B55" t="str">
            <v>제 수 변</v>
          </cell>
          <cell r="C55" t="str">
            <v>D=100</v>
          </cell>
          <cell r="E55">
            <v>50</v>
          </cell>
        </row>
        <row r="56">
          <cell r="B56" t="str">
            <v>제 수 변</v>
          </cell>
          <cell r="C56" t="str">
            <v>D=150</v>
          </cell>
          <cell r="E56">
            <v>90</v>
          </cell>
        </row>
        <row r="57">
          <cell r="B57" t="str">
            <v>제 수 변</v>
          </cell>
          <cell r="C57" t="str">
            <v>D=200</v>
          </cell>
          <cell r="E57">
            <v>140</v>
          </cell>
        </row>
        <row r="58">
          <cell r="B58" t="str">
            <v>제 수 변</v>
          </cell>
          <cell r="C58" t="str">
            <v>D=300</v>
          </cell>
          <cell r="E58">
            <v>280</v>
          </cell>
        </row>
        <row r="59">
          <cell r="B59" t="str">
            <v>공 기 변</v>
          </cell>
          <cell r="C59" t="str">
            <v>D=80</v>
          </cell>
          <cell r="E59">
            <v>94</v>
          </cell>
        </row>
        <row r="60">
          <cell r="B60" t="str">
            <v>공 기 변</v>
          </cell>
          <cell r="C60" t="str">
            <v>D=100</v>
          </cell>
          <cell r="E60">
            <v>110</v>
          </cell>
        </row>
        <row r="61">
          <cell r="B61" t="str">
            <v>단    관</v>
          </cell>
          <cell r="C61" t="str">
            <v>D=80</v>
          </cell>
          <cell r="E61">
            <v>13.5</v>
          </cell>
          <cell r="H61">
            <v>0.8</v>
          </cell>
          <cell r="I61" t="str">
            <v>×</v>
          </cell>
          <cell r="J61" t="str">
            <v>＋</v>
          </cell>
        </row>
        <row r="62">
          <cell r="B62" t="str">
            <v>플랜지단관</v>
          </cell>
          <cell r="C62" t="str">
            <v>D=100</v>
          </cell>
          <cell r="E62">
            <v>16.399999999999999</v>
          </cell>
          <cell r="H62">
            <v>0.8</v>
          </cell>
          <cell r="I62" t="str">
            <v>×</v>
          </cell>
          <cell r="J62" t="str">
            <v>＋</v>
          </cell>
        </row>
        <row r="63">
          <cell r="B63" t="str">
            <v>플랜지단관</v>
          </cell>
          <cell r="C63" t="str">
            <v>D=100</v>
          </cell>
          <cell r="E63">
            <v>16.399999999999999</v>
          </cell>
          <cell r="H63">
            <v>0.92</v>
          </cell>
          <cell r="I63" t="str">
            <v>×</v>
          </cell>
          <cell r="J63" t="str">
            <v>＋</v>
          </cell>
        </row>
        <row r="64">
          <cell r="B64" t="str">
            <v>플랜지단관</v>
          </cell>
          <cell r="C64" t="str">
            <v>D=100</v>
          </cell>
          <cell r="E64">
            <v>16.399999999999999</v>
          </cell>
          <cell r="H64">
            <v>-2</v>
          </cell>
          <cell r="I64" t="str">
            <v>×</v>
          </cell>
          <cell r="J64" t="str">
            <v>＋</v>
          </cell>
        </row>
        <row r="65">
          <cell r="B65" t="str">
            <v>플랜지단관</v>
          </cell>
          <cell r="C65" t="str">
            <v>D=100</v>
          </cell>
          <cell r="E65">
            <v>16.399999999999999</v>
          </cell>
          <cell r="H65">
            <v>-1</v>
          </cell>
          <cell r="I65" t="str">
            <v>×</v>
          </cell>
          <cell r="J65" t="str">
            <v>＋</v>
          </cell>
        </row>
        <row r="66">
          <cell r="B66" t="str">
            <v>플랜지단관</v>
          </cell>
          <cell r="C66" t="str">
            <v>D=100</v>
          </cell>
          <cell r="E66">
            <v>16.399999999999999</v>
          </cell>
          <cell r="H66">
            <v>0</v>
          </cell>
          <cell r="I66" t="str">
            <v>×</v>
          </cell>
          <cell r="J66" t="str">
            <v>＋</v>
          </cell>
        </row>
        <row r="67">
          <cell r="B67" t="str">
            <v>플랜지단관</v>
          </cell>
          <cell r="C67" t="str">
            <v>D=100</v>
          </cell>
          <cell r="E67">
            <v>16.399999999999999</v>
          </cell>
          <cell r="H67">
            <v>1</v>
          </cell>
          <cell r="I67" t="str">
            <v>×</v>
          </cell>
          <cell r="J67" t="str">
            <v>＋</v>
          </cell>
        </row>
        <row r="68">
          <cell r="B68" t="str">
            <v>플랜지단관</v>
          </cell>
          <cell r="C68" t="str">
            <v>D=100</v>
          </cell>
          <cell r="E68">
            <v>16.399999999999999</v>
          </cell>
          <cell r="H68">
            <v>2</v>
          </cell>
          <cell r="I68" t="str">
            <v>×</v>
          </cell>
          <cell r="J68" t="str">
            <v>＋</v>
          </cell>
        </row>
        <row r="69">
          <cell r="B69" t="str">
            <v>단    관</v>
          </cell>
          <cell r="C69" t="str">
            <v>D=125</v>
          </cell>
          <cell r="E69">
            <v>21</v>
          </cell>
          <cell r="H69">
            <v>3</v>
          </cell>
          <cell r="I69" t="str">
            <v>×</v>
          </cell>
          <cell r="J69" t="str">
            <v>＋</v>
          </cell>
        </row>
        <row r="70">
          <cell r="B70" t="str">
            <v>단    관</v>
          </cell>
          <cell r="C70" t="str">
            <v>D=150</v>
          </cell>
          <cell r="E70">
            <v>25.3</v>
          </cell>
          <cell r="H70">
            <v>4</v>
          </cell>
          <cell r="I70" t="str">
            <v>×</v>
          </cell>
          <cell r="J70" t="str">
            <v>＋</v>
          </cell>
        </row>
        <row r="71">
          <cell r="B71" t="str">
            <v>단    관</v>
          </cell>
          <cell r="C71" t="str">
            <v>D=200</v>
          </cell>
          <cell r="E71">
            <v>33.799999999999997</v>
          </cell>
          <cell r="H71">
            <v>5</v>
          </cell>
          <cell r="I71" t="str">
            <v>×</v>
          </cell>
          <cell r="J71" t="str">
            <v>＋</v>
          </cell>
        </row>
        <row r="72">
          <cell r="B72" t="str">
            <v>단    관</v>
          </cell>
          <cell r="C72" t="str">
            <v>D=250</v>
          </cell>
          <cell r="E72">
            <v>44.3</v>
          </cell>
          <cell r="H72">
            <v>6</v>
          </cell>
          <cell r="I72" t="str">
            <v>×</v>
          </cell>
          <cell r="J72" t="str">
            <v>＋</v>
          </cell>
        </row>
        <row r="73">
          <cell r="B73" t="str">
            <v>단    관</v>
          </cell>
          <cell r="C73" t="str">
            <v>D=300</v>
          </cell>
          <cell r="E73">
            <v>56.3</v>
          </cell>
          <cell r="H73">
            <v>7</v>
          </cell>
          <cell r="I73" t="str">
            <v>×</v>
          </cell>
          <cell r="J73" t="str">
            <v>＋</v>
          </cell>
        </row>
        <row r="74">
          <cell r="B74" t="str">
            <v>단    관</v>
          </cell>
          <cell r="C74" t="str">
            <v>D=350</v>
          </cell>
          <cell r="E74">
            <v>69.599999999999994</v>
          </cell>
          <cell r="H74">
            <v>8</v>
          </cell>
          <cell r="I74" t="str">
            <v>×</v>
          </cell>
          <cell r="J74" t="str">
            <v>＋</v>
          </cell>
        </row>
        <row r="75">
          <cell r="B75" t="str">
            <v>단    관</v>
          </cell>
          <cell r="C75" t="str">
            <v>D=400</v>
          </cell>
          <cell r="E75">
            <v>83.7</v>
          </cell>
          <cell r="H75">
            <v>9</v>
          </cell>
          <cell r="I75" t="str">
            <v>×</v>
          </cell>
          <cell r="J75" t="str">
            <v>＋</v>
          </cell>
        </row>
        <row r="76">
          <cell r="B76" t="str">
            <v>단    관</v>
          </cell>
          <cell r="C76" t="str">
            <v>D=450</v>
          </cell>
          <cell r="E76">
            <v>98.5</v>
          </cell>
          <cell r="H76">
            <v>10</v>
          </cell>
          <cell r="I76" t="str">
            <v>×</v>
          </cell>
          <cell r="J76" t="str">
            <v>＋</v>
          </cell>
        </row>
        <row r="77">
          <cell r="B77" t="str">
            <v>단    관</v>
          </cell>
          <cell r="C77" t="str">
            <v>D=500</v>
          </cell>
          <cell r="E77">
            <v>115.6</v>
          </cell>
          <cell r="H77">
            <v>11</v>
          </cell>
          <cell r="I77" t="str">
            <v>×</v>
          </cell>
          <cell r="J77" t="str">
            <v>＋</v>
          </cell>
        </row>
        <row r="78">
          <cell r="B78" t="str">
            <v>단    관</v>
          </cell>
          <cell r="C78" t="str">
            <v>D=600</v>
          </cell>
          <cell r="E78">
            <v>152</v>
          </cell>
          <cell r="H78">
            <v>12</v>
          </cell>
          <cell r="I78" t="str">
            <v>×</v>
          </cell>
          <cell r="J78" t="str">
            <v>＋</v>
          </cell>
        </row>
        <row r="79">
          <cell r="B79" t="str">
            <v>단    관</v>
          </cell>
          <cell r="C79" t="str">
            <v>D=700</v>
          </cell>
          <cell r="E79">
            <v>193</v>
          </cell>
          <cell r="H79">
            <v>13</v>
          </cell>
          <cell r="I79" t="str">
            <v>×</v>
          </cell>
          <cell r="J79" t="str">
            <v>＋</v>
          </cell>
        </row>
        <row r="80">
          <cell r="B80" t="str">
            <v>단    관</v>
          </cell>
          <cell r="C80" t="str">
            <v>D=800</v>
          </cell>
          <cell r="E80">
            <v>238.7</v>
          </cell>
          <cell r="H80">
            <v>14</v>
          </cell>
          <cell r="I80" t="str">
            <v>×</v>
          </cell>
          <cell r="J80" t="str">
            <v>＋</v>
          </cell>
        </row>
        <row r="81">
          <cell r="B81" t="str">
            <v>단    관</v>
          </cell>
          <cell r="C81" t="str">
            <v>D=900</v>
          </cell>
          <cell r="E81">
            <v>288.7</v>
          </cell>
          <cell r="H81">
            <v>15</v>
          </cell>
          <cell r="I81" t="str">
            <v>×</v>
          </cell>
          <cell r="J81" t="str">
            <v>＋</v>
          </cell>
        </row>
        <row r="82">
          <cell r="B82" t="str">
            <v>단    관</v>
          </cell>
          <cell r="C82" t="str">
            <v>D=1000</v>
          </cell>
          <cell r="E82">
            <v>343.2</v>
          </cell>
          <cell r="H82">
            <v>16</v>
          </cell>
          <cell r="I82" t="str">
            <v>×</v>
          </cell>
          <cell r="J82" t="str">
            <v>＋</v>
          </cell>
        </row>
        <row r="83">
          <cell r="B83" t="str">
            <v>단    관</v>
          </cell>
          <cell r="C83" t="str">
            <v>D=1100</v>
          </cell>
          <cell r="E83">
            <v>399.5</v>
          </cell>
          <cell r="H83">
            <v>17</v>
          </cell>
          <cell r="I83" t="str">
            <v>×</v>
          </cell>
          <cell r="J83" t="str">
            <v>＋</v>
          </cell>
        </row>
        <row r="84">
          <cell r="B84" t="str">
            <v>단    관</v>
          </cell>
          <cell r="C84" t="str">
            <v>D=1200</v>
          </cell>
          <cell r="E84">
            <v>465.9</v>
          </cell>
          <cell r="H84">
            <v>18</v>
          </cell>
          <cell r="I84" t="str">
            <v>×</v>
          </cell>
          <cell r="J84" t="str">
            <v>＋</v>
          </cell>
        </row>
        <row r="85">
          <cell r="B85" t="str">
            <v>없음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  <sheetName val="간지"/>
      <sheetName val="자재총괄"/>
      <sheetName val="시멘트레미콘구입량"/>
      <sheetName val="골재구입량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지장물보호(수집)"/>
      <sheetName val="지장물산근"/>
      <sheetName val="지장물보호공단위수량"/>
      <sheetName val="1.토공집계"/>
      <sheetName val="2.관대집계표"/>
      <sheetName val="접합"/>
      <sheetName val="3.구조물공"/>
      <sheetName val="4.포장공"/>
      <sheetName val="5.부대공"/>
      <sheetName val="6.주요자재대"/>
      <sheetName val="7.폐기물집계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관로"/>
      <sheetName val="가정연결관"/>
      <sheetName val="(1)가시설공"/>
      <sheetName val="(2)경고"/>
      <sheetName val="(3)기타"/>
      <sheetName val="7.폐기물"/>
      <sheetName val="토실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Sheet1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세부내역"/>
      <sheetName val="변수값"/>
      <sheetName val="중기상차"/>
      <sheetName val="AS복구"/>
      <sheetName val="중기터파기"/>
      <sheetName val="식재"/>
      <sheetName val="시설물"/>
      <sheetName val="식재출력용"/>
      <sheetName val="유지관리"/>
      <sheetName val="단가"/>
      <sheetName val="공사설명서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내역서"/>
      <sheetName val="일반화물자동차운임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토사(PE)"/>
      <sheetName val="토사(PE-역사이펀)"/>
      <sheetName val="토사(PE-관보호공 0.3)"/>
      <sheetName val="토사(PE-관보호공 1.0)"/>
      <sheetName val="토사(PE-토류벽)"/>
      <sheetName val="토사(PE,CON B=)"/>
      <sheetName val="토사(흄관)"/>
      <sheetName val="토사(흄관-토류벽)"/>
      <sheetName val="토사(BOX-토류벽)"/>
      <sheetName val="토사(흄관,CON B=)"/>
      <sheetName val="토사(PE-관보호공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토사(PE)"/>
      <sheetName val="토사(PE-토류벽)"/>
      <sheetName val="토사(흄관)"/>
      <sheetName val="토사(흄관-토류벽)"/>
      <sheetName val="토사(BOX-토류벽)"/>
      <sheetName val="토사(PE-관보호공)"/>
      <sheetName val="토사(PE,CON B=)"/>
      <sheetName val="토사(흄관,CON B=)"/>
      <sheetName val="토사(PE-역사이펀)"/>
      <sheetName val="토사(PE-관보호공 0.3)"/>
      <sheetName val="토사(PE-관보호공 1.0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  <sheetName val="안전시설(수집)"/>
      <sheetName val="안전시설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4.포장공"/>
      <sheetName val="관로"/>
      <sheetName val="가정연결관"/>
      <sheetName val="5.부대공"/>
      <sheetName val="(1)가시설공"/>
      <sheetName val="(2)경고"/>
      <sheetName val="(3)기타"/>
      <sheetName val="6.주요자재대"/>
      <sheetName val="7.폐기물"/>
      <sheetName val="토실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우배수"/>
      <sheetName val="계산식"/>
      <sheetName val="총괄내역서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M76"/>
  <sheetViews>
    <sheetView view="pageBreakPreview" topLeftCell="B10" zoomScaleNormal="100" zoomScaleSheetLayoutView="100" workbookViewId="0">
      <selection activeCell="K4" sqref="K4"/>
    </sheetView>
  </sheetViews>
  <sheetFormatPr defaultRowHeight="30" customHeight="1"/>
  <cols>
    <col min="1" max="1" width="6.5" style="106" customWidth="1"/>
    <col min="2" max="2" width="8" style="106" customWidth="1"/>
    <col min="3" max="3" width="15" style="106" bestFit="1" customWidth="1"/>
    <col min="4" max="4" width="10.875" style="106" bestFit="1" customWidth="1"/>
    <col min="5" max="5" width="10.875" style="106" customWidth="1"/>
    <col min="6" max="6" width="12.25" style="106" bestFit="1" customWidth="1"/>
    <col min="7" max="7" width="12.75" style="106" customWidth="1"/>
    <col min="8" max="8" width="12" style="106" customWidth="1"/>
    <col min="9" max="9" width="11.875" style="106" hidden="1" customWidth="1"/>
    <col min="10" max="10" width="11.625" style="106" customWidth="1"/>
    <col min="11" max="13" width="10.875" style="106" bestFit="1" customWidth="1"/>
    <col min="14" max="16384" width="9" style="106"/>
  </cols>
  <sheetData>
    <row r="1" spans="1:13" ht="30" customHeight="1">
      <c r="A1" s="364" t="s">
        <v>328</v>
      </c>
    </row>
    <row r="2" spans="1:13" ht="30" customHeight="1">
      <c r="A2" s="334" t="s">
        <v>329</v>
      </c>
      <c r="B2" s="150"/>
      <c r="C2" s="150"/>
      <c r="D2" s="150"/>
      <c r="E2" s="264"/>
      <c r="J2" s="120" t="s">
        <v>261</v>
      </c>
    </row>
    <row r="3" spans="1:13" ht="30" customHeight="1">
      <c r="A3" s="400" t="s">
        <v>260</v>
      </c>
      <c r="B3" s="401"/>
      <c r="C3" s="401"/>
      <c r="D3" s="117" t="s">
        <v>249</v>
      </c>
      <c r="E3" s="115" t="s">
        <v>321</v>
      </c>
      <c r="F3" s="115" t="s">
        <v>312</v>
      </c>
      <c r="G3" s="115" t="s">
        <v>313</v>
      </c>
      <c r="H3" s="115" t="s">
        <v>314</v>
      </c>
      <c r="I3" s="116" t="s">
        <v>281</v>
      </c>
      <c r="J3" s="118" t="s">
        <v>63</v>
      </c>
    </row>
    <row r="4" spans="1:13" ht="30" customHeight="1">
      <c r="A4" s="399" t="s">
        <v>250</v>
      </c>
      <c r="B4" s="398"/>
      <c r="C4" s="398"/>
      <c r="D4" s="151">
        <f t="shared" ref="D4:I4" si="0">D5+D20+D21</f>
        <v>416206237</v>
      </c>
      <c r="E4" s="151">
        <f t="shared" si="0"/>
        <v>185351000</v>
      </c>
      <c r="F4" s="151">
        <f t="shared" si="0"/>
        <v>110191667</v>
      </c>
      <c r="G4" s="151">
        <f t="shared" si="0"/>
        <v>69677680</v>
      </c>
      <c r="H4" s="151">
        <f t="shared" si="0"/>
        <v>50985890</v>
      </c>
      <c r="I4" s="152">
        <f t="shared" si="0"/>
        <v>0</v>
      </c>
      <c r="J4" s="153"/>
      <c r="K4" s="139">
        <f>F4+G4+H4</f>
        <v>230855237</v>
      </c>
      <c r="L4" s="139"/>
      <c r="M4" s="139">
        <f>'1. 하수관거 사업비'!L3</f>
        <v>0</v>
      </c>
    </row>
    <row r="5" spans="1:13" ht="30" customHeight="1">
      <c r="A5" s="406" t="s">
        <v>251</v>
      </c>
      <c r="B5" s="398" t="s">
        <v>249</v>
      </c>
      <c r="C5" s="398"/>
      <c r="D5" s="154">
        <f t="shared" ref="D5:I5" si="1">D6+D9</f>
        <v>403823527</v>
      </c>
      <c r="E5" s="154">
        <f t="shared" si="1"/>
        <v>185351000</v>
      </c>
      <c r="F5" s="154">
        <f t="shared" si="1"/>
        <v>103771343</v>
      </c>
      <c r="G5" s="154">
        <f t="shared" si="1"/>
        <v>65581154</v>
      </c>
      <c r="H5" s="154">
        <f t="shared" si="1"/>
        <v>49120030</v>
      </c>
      <c r="I5" s="155">
        <f t="shared" si="1"/>
        <v>0</v>
      </c>
      <c r="J5" s="153"/>
      <c r="M5" s="139">
        <f>'5. 소규모하수도 사업비'!T4</f>
        <v>73615544</v>
      </c>
    </row>
    <row r="6" spans="1:13" ht="30" customHeight="1">
      <c r="A6" s="407"/>
      <c r="B6" s="402" t="s">
        <v>252</v>
      </c>
      <c r="C6" s="119" t="s">
        <v>247</v>
      </c>
      <c r="D6" s="156">
        <f t="shared" ref="D6:I6" si="2">SUM(D7:D8)</f>
        <v>141033559</v>
      </c>
      <c r="E6" s="156">
        <f t="shared" si="2"/>
        <v>96064000</v>
      </c>
      <c r="F6" s="156">
        <f t="shared" si="2"/>
        <v>36400414</v>
      </c>
      <c r="G6" s="156">
        <f t="shared" si="2"/>
        <v>8569145</v>
      </c>
      <c r="H6" s="156">
        <f t="shared" si="2"/>
        <v>0</v>
      </c>
      <c r="I6" s="157">
        <f t="shared" si="2"/>
        <v>0</v>
      </c>
      <c r="J6" s="153"/>
      <c r="M6" s="139">
        <f>'9.처리시설 사업비'!G3</f>
        <v>14928825</v>
      </c>
    </row>
    <row r="7" spans="1:13" ht="30" customHeight="1">
      <c r="A7" s="407"/>
      <c r="B7" s="398"/>
      <c r="C7" s="119" t="s">
        <v>253</v>
      </c>
      <c r="D7" s="156">
        <f>SUM(E7:I7)</f>
        <v>86492065</v>
      </c>
      <c r="E7" s="156">
        <f>'9.처리시설 사업비'!F3</f>
        <v>72789000</v>
      </c>
      <c r="F7" s="156">
        <f>'9.처리시설 사업비'!G4</f>
        <v>13703065</v>
      </c>
      <c r="G7" s="156">
        <f>'9.처리시설 사업비'!H4</f>
        <v>0</v>
      </c>
      <c r="H7" s="156">
        <f>'9.처리시설 사업비'!I4</f>
        <v>0</v>
      </c>
      <c r="I7" s="156">
        <f>'9.처리시설 사업비'!J4</f>
        <v>0</v>
      </c>
      <c r="J7" s="158" t="s">
        <v>262</v>
      </c>
      <c r="M7" s="139">
        <f>'10. 빗물펌프장 사업비'!G3</f>
        <v>2495954</v>
      </c>
    </row>
    <row r="8" spans="1:13" ht="30" customHeight="1">
      <c r="A8" s="407"/>
      <c r="B8" s="398"/>
      <c r="C8" s="119" t="s">
        <v>246</v>
      </c>
      <c r="D8" s="156">
        <f>SUM(E8:I8)</f>
        <v>54541494</v>
      </c>
      <c r="E8" s="156">
        <f>'5. 소규모하수도 사업비'!C4</f>
        <v>23275000</v>
      </c>
      <c r="F8" s="156">
        <f>'5. 소규모하수도 사업비'!E4</f>
        <v>22697349</v>
      </c>
      <c r="G8" s="156">
        <f>'5. 소규모하수도 사업비'!M4</f>
        <v>8569145</v>
      </c>
      <c r="H8" s="156">
        <v>0</v>
      </c>
      <c r="I8" s="157">
        <v>0</v>
      </c>
      <c r="J8" s="159"/>
      <c r="M8" s="139">
        <f>SUM(M4:M7)</f>
        <v>91040323</v>
      </c>
    </row>
    <row r="9" spans="1:13" ht="30" customHeight="1">
      <c r="A9" s="407"/>
      <c r="B9" s="403" t="s">
        <v>242</v>
      </c>
      <c r="C9" s="119" t="s">
        <v>247</v>
      </c>
      <c r="D9" s="154">
        <f>SUM(D10:D19)</f>
        <v>262789968</v>
      </c>
      <c r="E9" s="154">
        <f t="shared" ref="E9:H9" si="3">SUM(E10:E19)</f>
        <v>89287000</v>
      </c>
      <c r="F9" s="154">
        <f t="shared" si="3"/>
        <v>67370929</v>
      </c>
      <c r="G9" s="154">
        <f t="shared" si="3"/>
        <v>57012009</v>
      </c>
      <c r="H9" s="154">
        <f t="shared" si="3"/>
        <v>49120030</v>
      </c>
      <c r="I9" s="155">
        <f t="shared" ref="I9" si="4">SUM(I10:I18)</f>
        <v>0</v>
      </c>
      <c r="J9" s="160"/>
    </row>
    <row r="10" spans="1:13" ht="30" customHeight="1">
      <c r="A10" s="407"/>
      <c r="B10" s="404"/>
      <c r="C10" s="119" t="s">
        <v>254</v>
      </c>
      <c r="D10" s="156">
        <f t="shared" ref="D10:D20" si="5">SUM(E10:I10)</f>
        <v>126026501</v>
      </c>
      <c r="E10" s="156">
        <f>'1. 하수관거 사업비'!G6</f>
        <v>58595000</v>
      </c>
      <c r="F10" s="156">
        <f>'1. 하수관거 사업비'!H6+'5. 소규모하수도 사업비'!F4</f>
        <v>32885674</v>
      </c>
      <c r="G10" s="156">
        <f>'1. 하수관거 사업비'!I6+'5. 소규모하수도 사업비'!N4</f>
        <v>26495995</v>
      </c>
      <c r="H10" s="156">
        <f>'1. 하수관거 사업비'!J6</f>
        <v>8049832</v>
      </c>
      <c r="I10" s="157">
        <f>'1. 하수관거 사업비'!K6</f>
        <v>0</v>
      </c>
      <c r="J10" s="153"/>
    </row>
    <row r="11" spans="1:13" ht="30" customHeight="1">
      <c r="A11" s="407"/>
      <c r="B11" s="404"/>
      <c r="C11" s="119" t="s">
        <v>255</v>
      </c>
      <c r="D11" s="156">
        <f t="shared" si="5"/>
        <v>13364107</v>
      </c>
      <c r="E11" s="156">
        <f>'1. 하수관거 사업비'!G10</f>
        <v>0</v>
      </c>
      <c r="F11" s="156">
        <f>'1. 하수관거 사업비'!H10</f>
        <v>3450001</v>
      </c>
      <c r="G11" s="156">
        <f>'1. 하수관거 사업비'!I10</f>
        <v>692753</v>
      </c>
      <c r="H11" s="156">
        <f>'1. 하수관거 사업비'!J10</f>
        <v>9221353</v>
      </c>
      <c r="I11" s="157">
        <f>'1. 하수관거 사업비'!K10</f>
        <v>0</v>
      </c>
      <c r="J11" s="153"/>
    </row>
    <row r="12" spans="1:13" ht="30" customHeight="1">
      <c r="A12" s="407"/>
      <c r="B12" s="404"/>
      <c r="C12" s="141" t="s">
        <v>287</v>
      </c>
      <c r="D12" s="156">
        <f t="shared" si="5"/>
        <v>23958342</v>
      </c>
      <c r="E12" s="156">
        <f>'1. 하수관거 사업비'!G14</f>
        <v>21914000</v>
      </c>
      <c r="F12" s="156">
        <f>'1. 하수관거 사업비'!H14</f>
        <v>0</v>
      </c>
      <c r="G12" s="156">
        <f>'1. 하수관거 사업비'!I14</f>
        <v>0</v>
      </c>
      <c r="H12" s="156">
        <f>'1. 하수관거 사업비'!J14</f>
        <v>2044342</v>
      </c>
      <c r="I12" s="157">
        <f>'1. 하수관거 사업비'!K14</f>
        <v>0</v>
      </c>
      <c r="J12" s="153"/>
    </row>
    <row r="13" spans="1:13" ht="30" customHeight="1">
      <c r="A13" s="407"/>
      <c r="B13" s="404"/>
      <c r="C13" s="119" t="s">
        <v>243</v>
      </c>
      <c r="D13" s="156">
        <f t="shared" si="5"/>
        <v>18075100</v>
      </c>
      <c r="E13" s="156">
        <f>'1. 하수관거 사업비'!G15</f>
        <v>692000</v>
      </c>
      <c r="F13" s="156">
        <f>'1. 하수관거 사업비'!H15+'5. 소규모하수도 사업비'!G4</f>
        <v>8464900</v>
      </c>
      <c r="G13" s="156">
        <f>'1. 하수관거 사업비'!I15+'5. 소규모하수도 사업비'!O4</f>
        <v>8099700</v>
      </c>
      <c r="H13" s="156">
        <f>'1. 하수관거 사업비'!J15</f>
        <v>818500</v>
      </c>
      <c r="I13" s="157">
        <f>'1. 하수관거 사업비'!K15</f>
        <v>0</v>
      </c>
      <c r="J13" s="153"/>
      <c r="M13" s="148"/>
    </row>
    <row r="14" spans="1:13" ht="30" customHeight="1">
      <c r="A14" s="407"/>
      <c r="B14" s="404"/>
      <c r="C14" s="119" t="s">
        <v>256</v>
      </c>
      <c r="D14" s="156">
        <f t="shared" si="5"/>
        <v>705000</v>
      </c>
      <c r="E14" s="156">
        <f>'1. 하수관거 사업비'!G16</f>
        <v>289000</v>
      </c>
      <c r="F14" s="156">
        <f>'1. 하수관거 사업비'!H16+'5. 소규모하수도 사업비'!H4</f>
        <v>288000</v>
      </c>
      <c r="G14" s="156">
        <f>'1. 하수관거 사업비'!I16+'5. 소규모하수도 사업비'!P4</f>
        <v>128000</v>
      </c>
      <c r="H14" s="156">
        <f>'1. 하수관거 사업비'!J16</f>
        <v>0</v>
      </c>
      <c r="I14" s="157">
        <f>'1. 하수관거 사업비'!K16</f>
        <v>0</v>
      </c>
      <c r="J14" s="153"/>
      <c r="M14" s="149"/>
    </row>
    <row r="15" spans="1:13" ht="30" customHeight="1">
      <c r="A15" s="407"/>
      <c r="B15" s="404"/>
      <c r="C15" s="119" t="s">
        <v>257</v>
      </c>
      <c r="D15" s="156">
        <f t="shared" si="5"/>
        <v>424000</v>
      </c>
      <c r="E15" s="156">
        <f>'1. 하수관거 사업비'!G18</f>
        <v>0</v>
      </c>
      <c r="F15" s="156">
        <f>'1. 하수관거 사업비'!H18</f>
        <v>159000</v>
      </c>
      <c r="G15" s="156">
        <f>'1. 하수관거 사업비'!I18</f>
        <v>53000</v>
      </c>
      <c r="H15" s="156">
        <f>'1. 하수관거 사업비'!J18</f>
        <v>212000</v>
      </c>
      <c r="I15" s="157">
        <f>'1. 하수관거 사업비'!K18</f>
        <v>0</v>
      </c>
      <c r="J15" s="153"/>
    </row>
    <row r="16" spans="1:13" ht="30" customHeight="1">
      <c r="A16" s="407"/>
      <c r="B16" s="404"/>
      <c r="C16" s="119" t="s">
        <v>258</v>
      </c>
      <c r="D16" s="156">
        <f t="shared" si="5"/>
        <v>8288000</v>
      </c>
      <c r="E16" s="156">
        <v>0</v>
      </c>
      <c r="F16" s="156">
        <f>'1. 하수관거 사업비'!H17</f>
        <v>0</v>
      </c>
      <c r="G16" s="156">
        <f>'1. 하수관거 사업비'!I17</f>
        <v>0</v>
      </c>
      <c r="H16" s="156">
        <f>'1. 하수관거 사업비'!J17</f>
        <v>8288000</v>
      </c>
      <c r="I16" s="157">
        <f>'1. 하수관거 사업비'!K17</f>
        <v>0</v>
      </c>
      <c r="J16" s="153"/>
    </row>
    <row r="17" spans="1:11" ht="30" customHeight="1">
      <c r="A17" s="407"/>
      <c r="B17" s="404"/>
      <c r="C17" s="143" t="s">
        <v>293</v>
      </c>
      <c r="D17" s="156">
        <f t="shared" si="5"/>
        <v>10155902</v>
      </c>
      <c r="E17" s="156">
        <f>'10. 빗물펌프장 사업비'!F4</f>
        <v>7797000</v>
      </c>
      <c r="F17" s="156">
        <f>'10. 빗물펌프장 사업비'!G4</f>
        <v>2358902</v>
      </c>
      <c r="G17" s="156">
        <v>0</v>
      </c>
      <c r="H17" s="156">
        <v>0</v>
      </c>
      <c r="I17" s="157">
        <v>0</v>
      </c>
      <c r="J17" s="153"/>
    </row>
    <row r="18" spans="1:11" ht="30" customHeight="1">
      <c r="A18" s="407"/>
      <c r="B18" s="404"/>
      <c r="C18" s="119" t="s">
        <v>241</v>
      </c>
      <c r="D18" s="156">
        <f t="shared" si="5"/>
        <v>4893316</v>
      </c>
      <c r="E18" s="156">
        <v>0</v>
      </c>
      <c r="F18" s="156">
        <f>'1. 하수관거 사업비'!H19+'1. 하수관거 사업비'!H20+'5. 소규모하수도 사업비'!K4</f>
        <v>2332752</v>
      </c>
      <c r="G18" s="156">
        <f>'1. 하수관거 사업비'!I19+'1. 하수관거 사업비'!I20+'5. 소규모하수도 사업비'!S4</f>
        <v>1808561</v>
      </c>
      <c r="H18" s="156">
        <f>'1. 하수관거 사업비'!J19+'1. 하수관거 사업비'!J20</f>
        <v>752003</v>
      </c>
      <c r="I18" s="157">
        <f>'1. 하수관거 사업비'!K19+'1. 하수관거 사업비'!K20</f>
        <v>0</v>
      </c>
      <c r="J18" s="158" t="s">
        <v>304</v>
      </c>
    </row>
    <row r="19" spans="1:11" ht="30" customHeight="1">
      <c r="A19" s="408"/>
      <c r="B19" s="405"/>
      <c r="C19" s="299" t="s">
        <v>327</v>
      </c>
      <c r="D19" s="156">
        <f t="shared" si="5"/>
        <v>56899700</v>
      </c>
      <c r="E19" s="319">
        <f>'1. 하수관거 사업비'!G21</f>
        <v>0</v>
      </c>
      <c r="F19" s="319">
        <f>'1. 하수관거 사업비'!H21</f>
        <v>17431700</v>
      </c>
      <c r="G19" s="319">
        <f>'1. 하수관거 사업비'!I21</f>
        <v>19734000</v>
      </c>
      <c r="H19" s="319">
        <f>'1. 하수관거 사업비'!J21</f>
        <v>19734000</v>
      </c>
      <c r="I19" s="157"/>
      <c r="J19" s="320"/>
    </row>
    <row r="20" spans="1:11" ht="30" customHeight="1">
      <c r="A20" s="399" t="s">
        <v>244</v>
      </c>
      <c r="B20" s="398"/>
      <c r="C20" s="398"/>
      <c r="D20" s="156">
        <f t="shared" si="5"/>
        <v>12044710</v>
      </c>
      <c r="E20" s="156">
        <v>0</v>
      </c>
      <c r="F20" s="156">
        <f>'1. 하수관거 사업비'!H23+'5. 소규모하수도 사업비'!I4+'9.처리시설 사업비'!G11+'10. 빗물펌프장 사업비'!E5</f>
        <v>6230624</v>
      </c>
      <c r="G20" s="156">
        <f>'1. 하수관거 사업비'!I23+'5. 소규모하수도 사업비'!Q4</f>
        <v>3948226</v>
      </c>
      <c r="H20" s="156">
        <f>'1. 하수관거 사업비'!J23</f>
        <v>1865860</v>
      </c>
      <c r="I20" s="157">
        <f>'1. 하수관거 사업비'!K23</f>
        <v>0</v>
      </c>
      <c r="J20" s="153"/>
    </row>
    <row r="21" spans="1:11" ht="30" customHeight="1">
      <c r="A21" s="396" t="s">
        <v>259</v>
      </c>
      <c r="B21" s="397"/>
      <c r="C21" s="397"/>
      <c r="D21" s="161">
        <f t="shared" ref="D21" si="6">SUM(F21:I21)</f>
        <v>338000</v>
      </c>
      <c r="E21" s="161">
        <v>0</v>
      </c>
      <c r="F21" s="161">
        <f>'1. 하수관거 사업비'!H22+'5. 소규모하수도 사업비'!J4</f>
        <v>189700</v>
      </c>
      <c r="G21" s="161">
        <f>'1. 하수관거 사업비'!I22+'5. 소규모하수도 사업비'!R4</f>
        <v>148300</v>
      </c>
      <c r="H21" s="161">
        <f>'1. 하수관거 사업비'!J22</f>
        <v>0</v>
      </c>
      <c r="I21" s="162">
        <f>'1. 하수관거 사업비'!K22</f>
        <v>0</v>
      </c>
      <c r="J21" s="163"/>
    </row>
    <row r="22" spans="1:11" ht="30" customHeight="1">
      <c r="F22" s="139">
        <f>'1. 하수관거 사업비'!H3</f>
        <v>45209238</v>
      </c>
      <c r="G22" s="139">
        <f>'1. 하수관거 사업비'!I3</f>
        <v>43619786</v>
      </c>
      <c r="H22" s="139">
        <f>'1. 하수관거 사업비'!J3</f>
        <v>50985890</v>
      </c>
      <c r="I22" s="139">
        <f>'1. 하수관거 사업비'!K3</f>
        <v>0</v>
      </c>
    </row>
    <row r="23" spans="1:11" ht="30" customHeight="1">
      <c r="B23" s="106">
        <f>135872+72277+52184</f>
        <v>260333</v>
      </c>
      <c r="D23" s="139"/>
      <c r="F23" s="139">
        <f>'5. 소규모하수도 사업비'!D4</f>
        <v>47557650</v>
      </c>
      <c r="G23" s="139">
        <f>'5. 소규모하수도 사업비'!L4</f>
        <v>26057894</v>
      </c>
      <c r="K23" s="106">
        <f>7299+3181+1866</f>
        <v>12346</v>
      </c>
    </row>
    <row r="24" spans="1:11" ht="30" customHeight="1">
      <c r="C24" s="106">
        <f>38466+11870</f>
        <v>50336</v>
      </c>
      <c r="F24" s="139">
        <f>'9.처리시설 사업비'!G3</f>
        <v>14928825</v>
      </c>
      <c r="G24" s="139">
        <f>'9.처리시설 사업비'!H3</f>
        <v>0</v>
      </c>
      <c r="H24" s="139">
        <f>'9.처리시설 사업비'!I3</f>
        <v>0</v>
      </c>
      <c r="I24" s="139">
        <f>'9.처리시설 사업비'!J3</f>
        <v>0</v>
      </c>
    </row>
    <row r="25" spans="1:11" ht="30" customHeight="1">
      <c r="C25" s="106">
        <f>50336+12021</f>
        <v>62357</v>
      </c>
      <c r="F25" s="139">
        <f>'10. 빗물펌프장 사업비'!G3</f>
        <v>2495954</v>
      </c>
      <c r="G25" s="139">
        <f>'10. 빗물펌프장 사업비'!H3</f>
        <v>0</v>
      </c>
      <c r="H25" s="139">
        <f>'10. 빗물펌프장 사업비'!I3</f>
        <v>0</v>
      </c>
      <c r="I25" s="139">
        <f>'10. 빗물펌프장 사업비'!J3</f>
        <v>0</v>
      </c>
    </row>
    <row r="26" spans="1:11" ht="30" customHeight="1">
      <c r="C26" s="106">
        <f>62357+183019</f>
        <v>245376</v>
      </c>
      <c r="F26" s="139">
        <f>SUM(F22:F25)</f>
        <v>110191667</v>
      </c>
      <c r="G26" s="139">
        <f t="shared" ref="G26:I26" si="7">SUM(G22:G25)</f>
        <v>69677680</v>
      </c>
      <c r="H26" s="139">
        <f t="shared" si="7"/>
        <v>50985890</v>
      </c>
      <c r="I26" s="139">
        <f t="shared" si="7"/>
        <v>0</v>
      </c>
    </row>
    <row r="27" spans="1:11" ht="30" customHeight="1">
      <c r="C27" s="106">
        <f>245376+14797+274</f>
        <v>260447</v>
      </c>
    </row>
    <row r="28" spans="1:11" ht="30" customHeight="1">
      <c r="D28" s="327">
        <f t="shared" ref="D28:I28" si="8">D4/1000</f>
        <v>416206.23700000002</v>
      </c>
      <c r="E28" s="327">
        <f t="shared" si="8"/>
        <v>185351</v>
      </c>
      <c r="F28" s="327">
        <f t="shared" si="8"/>
        <v>110191.667</v>
      </c>
      <c r="G28" s="327">
        <f t="shared" si="8"/>
        <v>69677.679999999993</v>
      </c>
      <c r="H28" s="327">
        <f t="shared" si="8"/>
        <v>50985.89</v>
      </c>
      <c r="I28" s="326">
        <f t="shared" si="8"/>
        <v>0</v>
      </c>
    </row>
    <row r="29" spans="1:11" ht="30" customHeight="1">
      <c r="D29" s="327">
        <f t="shared" ref="D29:H29" si="9">D5/1000</f>
        <v>403823.527</v>
      </c>
      <c r="E29" s="327">
        <f t="shared" si="9"/>
        <v>185351</v>
      </c>
      <c r="F29" s="327">
        <f t="shared" si="9"/>
        <v>103771.34299999999</v>
      </c>
      <c r="G29" s="327">
        <f t="shared" si="9"/>
        <v>65581.153999999995</v>
      </c>
      <c r="H29" s="327">
        <f t="shared" si="9"/>
        <v>49120.03</v>
      </c>
    </row>
    <row r="30" spans="1:11" ht="30" customHeight="1">
      <c r="D30" s="327">
        <f t="shared" ref="D30:H30" si="10">D6/1000</f>
        <v>141033.55900000001</v>
      </c>
      <c r="E30" s="327">
        <f t="shared" si="10"/>
        <v>96064</v>
      </c>
      <c r="F30" s="327">
        <f t="shared" si="10"/>
        <v>36400.413999999997</v>
      </c>
      <c r="G30" s="327">
        <f t="shared" si="10"/>
        <v>8569.1450000000004</v>
      </c>
      <c r="H30" s="327">
        <f t="shared" si="10"/>
        <v>0</v>
      </c>
    </row>
    <row r="31" spans="1:11" ht="30" customHeight="1">
      <c r="D31" s="327">
        <f t="shared" ref="D31:H31" si="11">D7/1000</f>
        <v>86492.065000000002</v>
      </c>
      <c r="E31" s="327">
        <f t="shared" si="11"/>
        <v>72789</v>
      </c>
      <c r="F31" s="327">
        <f t="shared" si="11"/>
        <v>13703.065000000001</v>
      </c>
      <c r="G31" s="327">
        <f t="shared" si="11"/>
        <v>0</v>
      </c>
      <c r="H31" s="327">
        <f t="shared" si="11"/>
        <v>0</v>
      </c>
    </row>
    <row r="32" spans="1:11" ht="30" customHeight="1">
      <c r="D32" s="327">
        <f t="shared" ref="D32:H32" si="12">D8/1000</f>
        <v>54541.493999999999</v>
      </c>
      <c r="E32" s="327">
        <f t="shared" si="12"/>
        <v>23275</v>
      </c>
      <c r="F32" s="327">
        <f t="shared" si="12"/>
        <v>22697.348999999998</v>
      </c>
      <c r="G32" s="327">
        <f t="shared" si="12"/>
        <v>8569.1450000000004</v>
      </c>
      <c r="H32" s="327">
        <f t="shared" si="12"/>
        <v>0</v>
      </c>
    </row>
    <row r="33" spans="4:11" ht="30" customHeight="1">
      <c r="D33" s="327">
        <f t="shared" ref="D33:H33" si="13">D9/1000</f>
        <v>262789.96799999999</v>
      </c>
      <c r="E33" s="327">
        <f t="shared" si="13"/>
        <v>89287</v>
      </c>
      <c r="F33" s="327">
        <f t="shared" si="13"/>
        <v>67370.929000000004</v>
      </c>
      <c r="G33" s="327">
        <f t="shared" si="13"/>
        <v>57012.008999999998</v>
      </c>
      <c r="H33" s="327">
        <f t="shared" si="13"/>
        <v>49120.03</v>
      </c>
    </row>
    <row r="34" spans="4:11" ht="30" customHeight="1">
      <c r="D34" s="327">
        <f t="shared" ref="D34:H34" si="14">D10/1000</f>
        <v>126026.501</v>
      </c>
      <c r="E34" s="327">
        <f t="shared" si="14"/>
        <v>58595</v>
      </c>
      <c r="F34" s="327">
        <f t="shared" si="14"/>
        <v>32885.673999999999</v>
      </c>
      <c r="G34" s="327">
        <f t="shared" si="14"/>
        <v>26495.994999999999</v>
      </c>
      <c r="H34" s="327">
        <f t="shared" si="14"/>
        <v>8049.8320000000003</v>
      </c>
    </row>
    <row r="35" spans="4:11" ht="30" customHeight="1">
      <c r="D35" s="327">
        <f t="shared" ref="D35:H35" si="15">D11/1000</f>
        <v>13364.107</v>
      </c>
      <c r="E35" s="327">
        <f t="shared" si="15"/>
        <v>0</v>
      </c>
      <c r="F35" s="327">
        <f t="shared" si="15"/>
        <v>3450.0010000000002</v>
      </c>
      <c r="G35" s="327">
        <f t="shared" si="15"/>
        <v>692.75300000000004</v>
      </c>
      <c r="H35" s="327">
        <f t="shared" si="15"/>
        <v>9221.3529999999992</v>
      </c>
      <c r="K35" s="106">
        <f>117941+62550+50986</f>
        <v>231477</v>
      </c>
    </row>
    <row r="36" spans="4:11" ht="30" customHeight="1">
      <c r="D36" s="327">
        <f t="shared" ref="D36:H36" si="16">D12/1000</f>
        <v>23958.342000000001</v>
      </c>
      <c r="E36" s="327">
        <f t="shared" si="16"/>
        <v>21914</v>
      </c>
      <c r="F36" s="327">
        <f t="shared" si="16"/>
        <v>0</v>
      </c>
      <c r="G36" s="327">
        <f t="shared" si="16"/>
        <v>0</v>
      </c>
      <c r="H36" s="327">
        <f t="shared" si="16"/>
        <v>2044.3420000000001</v>
      </c>
    </row>
    <row r="37" spans="4:11" ht="30" customHeight="1">
      <c r="D37" s="327">
        <f t="shared" ref="D37:H37" si="17">D13/1000</f>
        <v>18075.099999999999</v>
      </c>
      <c r="E37" s="327">
        <f t="shared" si="17"/>
        <v>692</v>
      </c>
      <c r="F37" s="327">
        <f t="shared" si="17"/>
        <v>8464.9</v>
      </c>
      <c r="G37" s="327">
        <f t="shared" si="17"/>
        <v>8099.7</v>
      </c>
      <c r="H37" s="327">
        <f t="shared" si="17"/>
        <v>818.5</v>
      </c>
    </row>
    <row r="38" spans="4:11" ht="30" customHeight="1">
      <c r="D38" s="327">
        <f t="shared" ref="D38:H38" si="18">D14/1000</f>
        <v>705</v>
      </c>
      <c r="E38" s="327">
        <f t="shared" si="18"/>
        <v>289</v>
      </c>
      <c r="F38" s="327">
        <f t="shared" si="18"/>
        <v>288</v>
      </c>
      <c r="G38" s="327">
        <f t="shared" si="18"/>
        <v>128</v>
      </c>
      <c r="H38" s="327">
        <f t="shared" si="18"/>
        <v>0</v>
      </c>
    </row>
    <row r="39" spans="4:11" ht="30" customHeight="1">
      <c r="D39" s="327">
        <f t="shared" ref="D39:H39" si="19">D15/1000</f>
        <v>424</v>
      </c>
      <c r="E39" s="327">
        <f t="shared" si="19"/>
        <v>0</v>
      </c>
      <c r="F39" s="327">
        <f t="shared" si="19"/>
        <v>159</v>
      </c>
      <c r="G39" s="327">
        <f t="shared" si="19"/>
        <v>53</v>
      </c>
      <c r="H39" s="327">
        <f t="shared" si="19"/>
        <v>212</v>
      </c>
    </row>
    <row r="40" spans="4:11" ht="30" customHeight="1">
      <c r="D40" s="327">
        <f t="shared" ref="D40:H40" si="20">D16/1000</f>
        <v>8288</v>
      </c>
      <c r="E40" s="327">
        <f t="shared" si="20"/>
        <v>0</v>
      </c>
      <c r="F40" s="327">
        <f t="shared" si="20"/>
        <v>0</v>
      </c>
      <c r="G40" s="327">
        <f t="shared" si="20"/>
        <v>0</v>
      </c>
      <c r="H40" s="327">
        <f t="shared" si="20"/>
        <v>8288</v>
      </c>
    </row>
    <row r="41" spans="4:11" ht="30" customHeight="1">
      <c r="D41" s="327">
        <f t="shared" ref="D41:H41" si="21">D17/1000</f>
        <v>10155.902</v>
      </c>
      <c r="E41" s="327">
        <f t="shared" si="21"/>
        <v>7797</v>
      </c>
      <c r="F41" s="327">
        <f t="shared" si="21"/>
        <v>2358.902</v>
      </c>
      <c r="G41" s="327">
        <f t="shared" si="21"/>
        <v>0</v>
      </c>
      <c r="H41" s="327">
        <f t="shared" si="21"/>
        <v>0</v>
      </c>
    </row>
    <row r="42" spans="4:11" ht="30" customHeight="1">
      <c r="D42" s="327">
        <f t="shared" ref="D42:H42" si="22">D18/1000</f>
        <v>4893.3159999999998</v>
      </c>
      <c r="E42" s="327">
        <f t="shared" si="22"/>
        <v>0</v>
      </c>
      <c r="F42" s="327">
        <f t="shared" si="22"/>
        <v>2332.752</v>
      </c>
      <c r="G42" s="327">
        <f t="shared" si="22"/>
        <v>1808.5609999999999</v>
      </c>
      <c r="H42" s="327">
        <f t="shared" si="22"/>
        <v>752.00300000000004</v>
      </c>
    </row>
    <row r="43" spans="4:11" ht="30" customHeight="1">
      <c r="D43" s="327">
        <f t="shared" ref="D43:H43" si="23">D19/1000</f>
        <v>56899.7</v>
      </c>
      <c r="E43" s="327">
        <f t="shared" si="23"/>
        <v>0</v>
      </c>
      <c r="F43" s="327">
        <f t="shared" si="23"/>
        <v>17431.7</v>
      </c>
      <c r="G43" s="327">
        <f t="shared" si="23"/>
        <v>19734</v>
      </c>
      <c r="H43" s="327">
        <f t="shared" si="23"/>
        <v>19734</v>
      </c>
    </row>
    <row r="44" spans="4:11" ht="30" customHeight="1">
      <c r="D44" s="327">
        <f t="shared" ref="D44:H44" si="24">D20/1000</f>
        <v>12044.71</v>
      </c>
      <c r="E44" s="327">
        <f t="shared" si="24"/>
        <v>0</v>
      </c>
      <c r="F44" s="327">
        <f t="shared" si="24"/>
        <v>6230.6239999999998</v>
      </c>
      <c r="G44" s="327">
        <f t="shared" si="24"/>
        <v>3948.2260000000001</v>
      </c>
      <c r="H44" s="327">
        <f t="shared" si="24"/>
        <v>1865.86</v>
      </c>
    </row>
    <row r="45" spans="4:11" ht="30" customHeight="1">
      <c r="D45" s="327">
        <f t="shared" ref="D45:H45" si="25">D21/1000</f>
        <v>338</v>
      </c>
      <c r="E45" s="327">
        <f t="shared" si="25"/>
        <v>0</v>
      </c>
      <c r="F45" s="327">
        <f t="shared" si="25"/>
        <v>189.7</v>
      </c>
      <c r="G45" s="327">
        <f t="shared" si="25"/>
        <v>148.30000000000001</v>
      </c>
      <c r="H45" s="327">
        <f t="shared" si="25"/>
        <v>0</v>
      </c>
    </row>
    <row r="46" spans="4:11" ht="30" customHeight="1">
      <c r="D46" s="326"/>
      <c r="E46" s="326"/>
      <c r="F46" s="326"/>
      <c r="G46" s="326"/>
      <c r="H46" s="326"/>
    </row>
    <row r="47" spans="4:11" ht="30" customHeight="1">
      <c r="D47" s="326"/>
      <c r="E47" s="326"/>
      <c r="F47" s="326">
        <f>F4/5</f>
        <v>22038333.399999999</v>
      </c>
      <c r="G47" s="326">
        <f t="shared" ref="G47:I47" si="26">G4/5</f>
        <v>13935536</v>
      </c>
      <c r="H47" s="326">
        <f t="shared" si="26"/>
        <v>10197178</v>
      </c>
      <c r="I47" s="326">
        <f t="shared" si="26"/>
        <v>0</v>
      </c>
    </row>
    <row r="48" spans="4:11" ht="30" customHeight="1">
      <c r="D48" s="326"/>
      <c r="E48" s="326"/>
      <c r="F48" s="326"/>
      <c r="G48" s="326"/>
      <c r="H48" s="326"/>
    </row>
    <row r="49" spans="4:8" ht="30" customHeight="1">
      <c r="D49" s="326"/>
      <c r="E49" s="326"/>
      <c r="F49" s="326"/>
      <c r="G49" s="326"/>
      <c r="H49" s="326"/>
    </row>
    <row r="50" spans="4:8" ht="30" customHeight="1">
      <c r="D50" s="326"/>
      <c r="E50" s="389">
        <v>121732</v>
      </c>
      <c r="F50" s="389">
        <v>61417</v>
      </c>
      <c r="G50" s="389">
        <v>50986</v>
      </c>
      <c r="H50" s="326">
        <f>SUM(E50:G50)</f>
        <v>234135</v>
      </c>
    </row>
    <row r="51" spans="4:8" ht="30" customHeight="1">
      <c r="D51" s="326"/>
      <c r="E51" s="389">
        <v>114188</v>
      </c>
      <c r="F51" s="389">
        <v>58143</v>
      </c>
      <c r="G51" s="389">
        <v>49120</v>
      </c>
      <c r="H51" s="326">
        <f>SUM(E51:G51)</f>
        <v>221451</v>
      </c>
    </row>
    <row r="52" spans="4:8" ht="30" customHeight="1">
      <c r="D52" s="326"/>
      <c r="E52" s="326"/>
      <c r="F52" s="326"/>
      <c r="G52" s="326"/>
      <c r="H52" s="326"/>
    </row>
    <row r="53" spans="4:8" ht="30" customHeight="1">
      <c r="D53" s="326"/>
      <c r="E53" s="326"/>
      <c r="F53" s="326"/>
      <c r="G53" s="326"/>
      <c r="H53" s="326"/>
    </row>
    <row r="54" spans="4:8" ht="30" customHeight="1">
      <c r="D54" s="326"/>
      <c r="E54" s="326"/>
      <c r="F54" s="326"/>
      <c r="G54" s="326"/>
      <c r="H54" s="326"/>
    </row>
    <row r="55" spans="4:8" ht="30" customHeight="1">
      <c r="D55" s="326"/>
      <c r="E55" s="326"/>
      <c r="F55" s="326"/>
      <c r="G55" s="326"/>
      <c r="H55" s="326"/>
    </row>
    <row r="56" spans="4:8" ht="30" customHeight="1">
      <c r="D56" s="326"/>
      <c r="E56" s="326"/>
      <c r="F56" s="326"/>
      <c r="G56" s="326"/>
      <c r="H56" s="326"/>
    </row>
    <row r="57" spans="4:8" ht="30" customHeight="1">
      <c r="D57" s="326"/>
      <c r="E57" s="326"/>
      <c r="F57" s="326"/>
      <c r="G57" s="326"/>
      <c r="H57" s="326"/>
    </row>
    <row r="58" spans="4:8" ht="30" customHeight="1">
      <c r="D58" s="326"/>
      <c r="E58" s="326"/>
      <c r="F58" s="326"/>
      <c r="G58" s="326"/>
      <c r="H58" s="326"/>
    </row>
    <row r="59" spans="4:8" ht="30" customHeight="1">
      <c r="D59" s="389">
        <v>118946</v>
      </c>
      <c r="E59" s="389">
        <v>61417</v>
      </c>
      <c r="F59" s="389">
        <v>50986</v>
      </c>
      <c r="G59" s="391">
        <f>SUM(D59:F59)</f>
        <v>231349</v>
      </c>
      <c r="H59" s="326"/>
    </row>
    <row r="60" spans="4:8" ht="30" customHeight="1">
      <c r="D60" s="389">
        <v>111636</v>
      </c>
      <c r="E60" s="389">
        <v>58143</v>
      </c>
      <c r="F60" s="389">
        <v>49120</v>
      </c>
      <c r="G60" s="391">
        <f t="shared" ref="G60:G76" si="27">SUM(D60:F60)</f>
        <v>218899</v>
      </c>
      <c r="H60" s="326"/>
    </row>
    <row r="61" spans="4:8" ht="30" customHeight="1">
      <c r="D61" s="389">
        <v>37596</v>
      </c>
      <c r="E61" s="389">
        <v>7270</v>
      </c>
      <c r="F61" s="390" t="s">
        <v>142</v>
      </c>
      <c r="G61" s="391">
        <f t="shared" si="27"/>
        <v>44866</v>
      </c>
      <c r="H61" s="326"/>
    </row>
    <row r="62" spans="4:8" ht="30" customHeight="1">
      <c r="D62" s="389">
        <v>11151</v>
      </c>
      <c r="E62" s="390" t="s">
        <v>354</v>
      </c>
      <c r="F62" s="390" t="s">
        <v>142</v>
      </c>
      <c r="G62" s="391">
        <f t="shared" si="27"/>
        <v>11151</v>
      </c>
      <c r="H62" s="326"/>
    </row>
    <row r="63" spans="4:8" ht="30" customHeight="1">
      <c r="D63" s="389">
        <v>26445</v>
      </c>
      <c r="E63" s="389">
        <v>7270</v>
      </c>
      <c r="F63" s="390" t="s">
        <v>142</v>
      </c>
      <c r="G63" s="391">
        <f t="shared" si="27"/>
        <v>33715</v>
      </c>
      <c r="H63" s="326"/>
    </row>
    <row r="64" spans="4:8" ht="30" customHeight="1">
      <c r="D64" s="389">
        <v>74040</v>
      </c>
      <c r="E64" s="389">
        <v>50873</v>
      </c>
      <c r="F64" s="389">
        <v>49120</v>
      </c>
      <c r="G64" s="391">
        <f t="shared" si="27"/>
        <v>174033</v>
      </c>
    </row>
    <row r="65" spans="4:7" ht="30" customHeight="1">
      <c r="D65" s="389">
        <v>37728</v>
      </c>
      <c r="E65" s="389">
        <v>22003</v>
      </c>
      <c r="F65" s="389">
        <v>8050</v>
      </c>
      <c r="G65" s="391">
        <f t="shared" si="27"/>
        <v>67781</v>
      </c>
    </row>
    <row r="66" spans="4:7" ht="30" customHeight="1">
      <c r="D66" s="389">
        <v>3450</v>
      </c>
      <c r="E66" s="390">
        <v>693</v>
      </c>
      <c r="F66" s="389">
        <v>9221</v>
      </c>
      <c r="G66" s="391">
        <f t="shared" si="27"/>
        <v>13364</v>
      </c>
    </row>
    <row r="67" spans="4:7" ht="30" customHeight="1">
      <c r="D67" s="390" t="s">
        <v>142</v>
      </c>
      <c r="E67" s="390" t="s">
        <v>142</v>
      </c>
      <c r="F67" s="389">
        <v>2044</v>
      </c>
      <c r="G67" s="391">
        <f t="shared" si="27"/>
        <v>2044</v>
      </c>
    </row>
    <row r="68" spans="4:7" ht="30" customHeight="1">
      <c r="D68" s="389">
        <v>9944</v>
      </c>
      <c r="E68" s="389">
        <v>6621</v>
      </c>
      <c r="F68" s="390">
        <v>819</v>
      </c>
      <c r="G68" s="391">
        <f t="shared" si="27"/>
        <v>17384</v>
      </c>
    </row>
    <row r="69" spans="4:7" ht="30" customHeight="1">
      <c r="D69" s="390">
        <v>288</v>
      </c>
      <c r="E69" s="390">
        <v>128</v>
      </c>
      <c r="F69" s="390" t="s">
        <v>142</v>
      </c>
      <c r="G69" s="391">
        <f t="shared" si="27"/>
        <v>416</v>
      </c>
    </row>
    <row r="70" spans="4:7" ht="30" customHeight="1">
      <c r="D70" s="390">
        <v>159</v>
      </c>
      <c r="E70" s="390">
        <v>53</v>
      </c>
      <c r="F70" s="390">
        <v>212</v>
      </c>
      <c r="G70" s="391">
        <f t="shared" si="27"/>
        <v>424</v>
      </c>
    </row>
    <row r="71" spans="4:7" ht="30" customHeight="1">
      <c r="D71" s="390" t="s">
        <v>142</v>
      </c>
      <c r="E71" s="390" t="s">
        <v>142</v>
      </c>
      <c r="F71" s="389">
        <v>8288</v>
      </c>
      <c r="G71" s="391">
        <f t="shared" si="27"/>
        <v>8288</v>
      </c>
    </row>
    <row r="72" spans="4:7" ht="30" customHeight="1">
      <c r="D72" s="389">
        <v>2359</v>
      </c>
      <c r="E72" s="390" t="s">
        <v>142</v>
      </c>
      <c r="F72" s="390" t="s">
        <v>142</v>
      </c>
      <c r="G72" s="391">
        <f t="shared" si="27"/>
        <v>2359</v>
      </c>
    </row>
    <row r="73" spans="4:7" ht="30" customHeight="1">
      <c r="D73" s="389">
        <v>2680</v>
      </c>
      <c r="E73" s="389">
        <v>1641</v>
      </c>
      <c r="F73" s="390">
        <v>752</v>
      </c>
      <c r="G73" s="391">
        <f t="shared" si="27"/>
        <v>5073</v>
      </c>
    </row>
    <row r="74" spans="4:7" ht="30" customHeight="1">
      <c r="D74" s="389">
        <v>17432</v>
      </c>
      <c r="E74" s="389">
        <v>19734</v>
      </c>
      <c r="F74" s="389">
        <v>19734</v>
      </c>
      <c r="G74" s="391">
        <f t="shared" si="27"/>
        <v>56900</v>
      </c>
    </row>
    <row r="75" spans="4:7" ht="30" customHeight="1">
      <c r="D75" s="389">
        <v>7065</v>
      </c>
      <c r="E75" s="389">
        <v>3181</v>
      </c>
      <c r="F75" s="389">
        <v>1866</v>
      </c>
      <c r="G75" s="391">
        <f t="shared" si="27"/>
        <v>12112</v>
      </c>
    </row>
    <row r="76" spans="4:7" ht="30" customHeight="1">
      <c r="D76" s="390">
        <v>244</v>
      </c>
      <c r="E76" s="390">
        <v>93</v>
      </c>
      <c r="F76" s="390" t="s">
        <v>142</v>
      </c>
      <c r="G76" s="391">
        <f t="shared" si="27"/>
        <v>337</v>
      </c>
    </row>
  </sheetData>
  <mergeCells count="8">
    <mergeCell ref="A21:C21"/>
    <mergeCell ref="B5:C5"/>
    <mergeCell ref="A4:C4"/>
    <mergeCell ref="A3:C3"/>
    <mergeCell ref="B6:B8"/>
    <mergeCell ref="A20:C20"/>
    <mergeCell ref="B9:B19"/>
    <mergeCell ref="A5:A1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O76"/>
  <sheetViews>
    <sheetView view="pageBreakPreview" zoomScale="85" zoomScaleNormal="100" zoomScaleSheetLayoutView="85" workbookViewId="0">
      <selection activeCell="I18" sqref="I18"/>
    </sheetView>
  </sheetViews>
  <sheetFormatPr defaultRowHeight="23.1" customHeight="1"/>
  <cols>
    <col min="1" max="1" width="8.125" customWidth="1"/>
    <col min="2" max="2" width="9.875" bestFit="1" customWidth="1"/>
    <col min="3" max="3" width="15.25" bestFit="1" customWidth="1"/>
    <col min="4" max="4" width="8.625" customWidth="1"/>
    <col min="5" max="5" width="13.5" customWidth="1"/>
    <col min="6" max="6" width="12.25" bestFit="1" customWidth="1"/>
    <col min="7" max="7" width="11.625" bestFit="1" customWidth="1"/>
    <col min="8" max="8" width="11.25" customWidth="1"/>
    <col min="9" max="9" width="10.75" customWidth="1"/>
    <col min="10" max="10" width="10.75" hidden="1" customWidth="1"/>
    <col min="11" max="11" width="18.625" style="91" bestFit="1" customWidth="1"/>
  </cols>
  <sheetData>
    <row r="1" spans="1:15" ht="23.1" customHeight="1">
      <c r="A1" s="433" t="s">
        <v>342</v>
      </c>
      <c r="B1" s="433"/>
      <c r="C1" s="433"/>
      <c r="D1" s="433"/>
      <c r="K1" s="144" t="s">
        <v>292</v>
      </c>
    </row>
    <row r="2" spans="1:15" s="5" customFormat="1" ht="27.75" customHeight="1">
      <c r="A2" s="535" t="s">
        <v>45</v>
      </c>
      <c r="B2" s="536"/>
      <c r="C2" s="536"/>
      <c r="D2" s="128" t="s">
        <v>46</v>
      </c>
      <c r="E2" s="128" t="s">
        <v>47</v>
      </c>
      <c r="F2" s="142" t="s">
        <v>321</v>
      </c>
      <c r="G2" s="142" t="s">
        <v>315</v>
      </c>
      <c r="H2" s="142" t="s">
        <v>316</v>
      </c>
      <c r="I2" s="142" t="s">
        <v>317</v>
      </c>
      <c r="J2" s="142" t="s">
        <v>282</v>
      </c>
      <c r="K2" s="129" t="s">
        <v>268</v>
      </c>
    </row>
    <row r="3" spans="1:15" s="5" customFormat="1" ht="23.1" customHeight="1">
      <c r="A3" s="527" t="s">
        <v>267</v>
      </c>
      <c r="B3" s="529" t="s">
        <v>265</v>
      </c>
      <c r="C3" s="529"/>
      <c r="D3" s="131"/>
      <c r="E3" s="132">
        <f>E4+E11+E12+E13</f>
        <v>87717825</v>
      </c>
      <c r="F3" s="132">
        <f t="shared" ref="F3:H3" si="0">F4+F11+F12+F13</f>
        <v>72789000</v>
      </c>
      <c r="G3" s="132">
        <f t="shared" ref="G3" si="1">G4+G11+G12+G13</f>
        <v>14928825</v>
      </c>
      <c r="H3" s="132">
        <f t="shared" si="0"/>
        <v>0</v>
      </c>
      <c r="I3" s="132">
        <f t="shared" ref="I3:J3" si="2">I4+I11+I12+I13</f>
        <v>0</v>
      </c>
      <c r="J3" s="132">
        <f t="shared" si="2"/>
        <v>0</v>
      </c>
      <c r="K3" s="133"/>
    </row>
    <row r="4" spans="1:15" s="5" customFormat="1" ht="23.1" customHeight="1">
      <c r="A4" s="532"/>
      <c r="B4" s="522" t="s">
        <v>48</v>
      </c>
      <c r="C4" s="283" t="s">
        <v>49</v>
      </c>
      <c r="D4" s="284"/>
      <c r="E4" s="285">
        <f>SUM(E5:E10)</f>
        <v>86492065</v>
      </c>
      <c r="F4" s="285">
        <f t="shared" ref="F4" si="3">SUM(F5:F10)</f>
        <v>72789000</v>
      </c>
      <c r="G4" s="285">
        <f t="shared" ref="G4:J4" si="4">SUM(G5:G10)</f>
        <v>13703065</v>
      </c>
      <c r="H4" s="285">
        <f t="shared" si="4"/>
        <v>0</v>
      </c>
      <c r="I4" s="285">
        <f t="shared" ref="I4" si="5">SUM(I5:I10)</f>
        <v>0</v>
      </c>
      <c r="J4" s="285">
        <f t="shared" si="4"/>
        <v>0</v>
      </c>
      <c r="K4" s="286"/>
    </row>
    <row r="5" spans="1:15" s="5" customFormat="1" ht="23.1" customHeight="1">
      <c r="A5" s="532"/>
      <c r="B5" s="520"/>
      <c r="C5" s="287" t="s">
        <v>264</v>
      </c>
      <c r="D5" s="288"/>
      <c r="E5" s="288">
        <f t="shared" ref="E5:E13" si="6">SUM(F5:J5)</f>
        <v>60330000</v>
      </c>
      <c r="F5" s="291">
        <f t="shared" ref="F5" si="7">F16+F27+F38+F49+F60</f>
        <v>60330000</v>
      </c>
      <c r="G5" s="291">
        <f t="shared" ref="G5:J5" si="8">G16+G27+G38+G49+G60</f>
        <v>0</v>
      </c>
      <c r="H5" s="291">
        <f t="shared" si="8"/>
        <v>0</v>
      </c>
      <c r="I5" s="291">
        <f t="shared" ref="I5" si="9">I16+I27+I38+I49+I60</f>
        <v>0</v>
      </c>
      <c r="J5" s="291">
        <f t="shared" si="8"/>
        <v>0</v>
      </c>
      <c r="K5" s="286"/>
    </row>
    <row r="6" spans="1:15" s="5" customFormat="1" ht="23.1" customHeight="1">
      <c r="A6" s="532"/>
      <c r="B6" s="520"/>
      <c r="C6" s="289" t="s">
        <v>50</v>
      </c>
      <c r="D6" s="288"/>
      <c r="E6" s="288">
        <f t="shared" si="6"/>
        <v>12459000</v>
      </c>
      <c r="F6" s="291">
        <f t="shared" ref="F6" si="10">F17+F28+F39+F50+F61</f>
        <v>12459000</v>
      </c>
      <c r="G6" s="291">
        <f t="shared" ref="G6:J6" si="11">G17+G28+G39+G50+G61</f>
        <v>0</v>
      </c>
      <c r="H6" s="291">
        <f t="shared" si="11"/>
        <v>0</v>
      </c>
      <c r="I6" s="291">
        <f t="shared" ref="I6" si="12">I17+I28+I39+I50+I61</f>
        <v>0</v>
      </c>
      <c r="J6" s="291">
        <f t="shared" si="11"/>
        <v>0</v>
      </c>
      <c r="K6" s="286"/>
    </row>
    <row r="7" spans="1:15" s="5" customFormat="1" ht="23.1" customHeight="1">
      <c r="A7" s="532"/>
      <c r="B7" s="520"/>
      <c r="C7" s="289" t="s">
        <v>51</v>
      </c>
      <c r="D7" s="288"/>
      <c r="E7" s="288">
        <f t="shared" si="6"/>
        <v>0</v>
      </c>
      <c r="F7" s="291">
        <f t="shared" ref="F7" si="13">F18+F29+F40+F51+F62</f>
        <v>0</v>
      </c>
      <c r="G7" s="291">
        <f t="shared" ref="G7:J7" si="14">G18+G29+G40+G51+G62</f>
        <v>0</v>
      </c>
      <c r="H7" s="291">
        <f t="shared" si="14"/>
        <v>0</v>
      </c>
      <c r="I7" s="291">
        <f t="shared" ref="I7" si="15">I18+I29+I40+I51+I62</f>
        <v>0</v>
      </c>
      <c r="J7" s="291">
        <f t="shared" si="14"/>
        <v>0</v>
      </c>
      <c r="K7" s="286"/>
    </row>
    <row r="8" spans="1:15" s="5" customFormat="1" ht="23.1" customHeight="1">
      <c r="A8" s="532"/>
      <c r="B8" s="520"/>
      <c r="C8" s="283" t="s">
        <v>52</v>
      </c>
      <c r="D8" s="290"/>
      <c r="E8" s="288">
        <f t="shared" si="6"/>
        <v>0</v>
      </c>
      <c r="F8" s="291">
        <f t="shared" ref="F8" si="16">F19+F30+F41+F52+F63</f>
        <v>0</v>
      </c>
      <c r="G8" s="291">
        <f t="shared" ref="G8:J8" si="17">G19+G30+G41+G52+G63</f>
        <v>0</v>
      </c>
      <c r="H8" s="291">
        <f t="shared" si="17"/>
        <v>0</v>
      </c>
      <c r="I8" s="291">
        <f t="shared" ref="I8" si="18">I19+I30+I41+I52+I63</f>
        <v>0</v>
      </c>
      <c r="J8" s="291">
        <f t="shared" si="17"/>
        <v>0</v>
      </c>
      <c r="K8" s="286"/>
    </row>
    <row r="9" spans="1:15" s="5" customFormat="1" ht="23.1" customHeight="1">
      <c r="A9" s="532"/>
      <c r="B9" s="520"/>
      <c r="C9" s="289" t="s">
        <v>53</v>
      </c>
      <c r="D9" s="288"/>
      <c r="E9" s="288">
        <f t="shared" si="6"/>
        <v>13703065</v>
      </c>
      <c r="F9" s="291">
        <f t="shared" ref="F9" si="19">F20+F31+F42+F53+F64</f>
        <v>0</v>
      </c>
      <c r="G9" s="291">
        <f t="shared" ref="G9:J9" si="20">G20+G31+G42+G53+G64</f>
        <v>13703065</v>
      </c>
      <c r="H9" s="291">
        <f t="shared" si="20"/>
        <v>0</v>
      </c>
      <c r="I9" s="291">
        <f t="shared" ref="I9" si="21">I20+I31+I42+I53+I64</f>
        <v>0</v>
      </c>
      <c r="J9" s="291">
        <f t="shared" si="20"/>
        <v>0</v>
      </c>
      <c r="K9" s="297"/>
    </row>
    <row r="10" spans="1:15" s="5" customFormat="1" ht="23.1" customHeight="1">
      <c r="A10" s="532"/>
      <c r="B10" s="523"/>
      <c r="C10" s="289" t="s">
        <v>271</v>
      </c>
      <c r="D10" s="288"/>
      <c r="E10" s="288">
        <f t="shared" si="6"/>
        <v>0</v>
      </c>
      <c r="F10" s="291">
        <f t="shared" ref="F10" si="22">F21+F32+F43+F54+F65</f>
        <v>0</v>
      </c>
      <c r="G10" s="291">
        <f t="shared" ref="G10:J10" si="23">G21+G32+G43+G54+G65</f>
        <v>0</v>
      </c>
      <c r="H10" s="291">
        <f t="shared" si="23"/>
        <v>0</v>
      </c>
      <c r="I10" s="291">
        <f t="shared" ref="I10" si="24">I21+I32+I43+I54+I65</f>
        <v>0</v>
      </c>
      <c r="J10" s="291">
        <f t="shared" si="23"/>
        <v>0</v>
      </c>
      <c r="K10" s="297"/>
    </row>
    <row r="11" spans="1:15" s="5" customFormat="1" ht="23.1" customHeight="1">
      <c r="A11" s="532"/>
      <c r="B11" s="292" t="s">
        <v>54</v>
      </c>
      <c r="C11" s="292"/>
      <c r="D11" s="288"/>
      <c r="E11" s="288">
        <f t="shared" si="6"/>
        <v>1225760</v>
      </c>
      <c r="F11" s="291">
        <f t="shared" ref="F11" si="25">F22+F33+F44+F55+F66</f>
        <v>0</v>
      </c>
      <c r="G11" s="291">
        <f t="shared" ref="G11:J13" si="26">G22+G33+G44+G55+G66</f>
        <v>1225760</v>
      </c>
      <c r="H11" s="291">
        <f t="shared" si="26"/>
        <v>0</v>
      </c>
      <c r="I11" s="291">
        <f t="shared" ref="I11" si="27">I22+I33+I44+I55+I66</f>
        <v>0</v>
      </c>
      <c r="J11" s="291">
        <f t="shared" si="26"/>
        <v>0</v>
      </c>
      <c r="K11" s="286" t="s">
        <v>263</v>
      </c>
      <c r="M11" s="433"/>
      <c r="N11" s="433"/>
      <c r="O11" s="433"/>
    </row>
    <row r="12" spans="1:15" s="5" customFormat="1" ht="23.1" customHeight="1">
      <c r="A12" s="532"/>
      <c r="B12" s="292" t="s">
        <v>55</v>
      </c>
      <c r="C12" s="293" t="str">
        <f>"A = "&amp;" ㎡"</f>
        <v>A =  ㎡</v>
      </c>
      <c r="D12" s="288"/>
      <c r="E12" s="288">
        <f t="shared" si="6"/>
        <v>0</v>
      </c>
      <c r="F12" s="291">
        <f t="shared" ref="F12" si="28">F23+F34+F45+F56+F67</f>
        <v>0</v>
      </c>
      <c r="G12" s="291">
        <f t="shared" si="26"/>
        <v>0</v>
      </c>
      <c r="H12" s="291">
        <f t="shared" si="26"/>
        <v>0</v>
      </c>
      <c r="I12" s="291">
        <f t="shared" ref="I12" si="29">I23+I34+I45+I56+I67</f>
        <v>0</v>
      </c>
      <c r="J12" s="291">
        <f t="shared" si="26"/>
        <v>0</v>
      </c>
      <c r="K12" s="286"/>
    </row>
    <row r="13" spans="1:15" s="5" customFormat="1" ht="23.1" customHeight="1">
      <c r="A13" s="533"/>
      <c r="B13" s="294" t="s">
        <v>56</v>
      </c>
      <c r="C13" s="294"/>
      <c r="D13" s="295"/>
      <c r="E13" s="295">
        <f t="shared" si="6"/>
        <v>0</v>
      </c>
      <c r="F13" s="298">
        <f t="shared" ref="F13" si="30">F24+F35+F46+F57+F68</f>
        <v>0</v>
      </c>
      <c r="G13" s="298">
        <f t="shared" si="26"/>
        <v>0</v>
      </c>
      <c r="H13" s="298">
        <f t="shared" si="26"/>
        <v>0</v>
      </c>
      <c r="I13" s="298">
        <f t="shared" ref="I13" si="31">I24+I35+I46+I57+I68</f>
        <v>0</v>
      </c>
      <c r="J13" s="298">
        <f t="shared" si="26"/>
        <v>0</v>
      </c>
      <c r="K13" s="296"/>
    </row>
    <row r="14" spans="1:15" s="5" customFormat="1" ht="23.1" customHeight="1">
      <c r="A14" s="524" t="s">
        <v>57</v>
      </c>
      <c r="B14" s="537" t="s">
        <v>265</v>
      </c>
      <c r="C14" s="537"/>
      <c r="D14" s="122"/>
      <c r="E14" s="123">
        <f>E15+E22+E23+E24</f>
        <v>60443825</v>
      </c>
      <c r="F14" s="123">
        <f t="shared" ref="F14" si="32">F15+F22+F23+F24</f>
        <v>45851000</v>
      </c>
      <c r="G14" s="123">
        <f t="shared" ref="G14:J14" si="33">G15+G22+G23+G24</f>
        <v>14592825</v>
      </c>
      <c r="H14" s="123">
        <f t="shared" si="33"/>
        <v>0</v>
      </c>
      <c r="I14" s="123">
        <f t="shared" ref="I14" si="34">I15+I22+I23+I24</f>
        <v>0</v>
      </c>
      <c r="J14" s="123">
        <f t="shared" si="33"/>
        <v>0</v>
      </c>
      <c r="K14" s="130"/>
    </row>
    <row r="15" spans="1:15" s="5" customFormat="1" ht="23.1" customHeight="1">
      <c r="A15" s="525"/>
      <c r="B15" s="519" t="s">
        <v>48</v>
      </c>
      <c r="C15" s="6" t="s">
        <v>49</v>
      </c>
      <c r="D15" s="7"/>
      <c r="E15" s="121">
        <f>SUM(E16:E21)</f>
        <v>59218065</v>
      </c>
      <c r="F15" s="121">
        <f t="shared" ref="F15:H15" si="35">SUM(F16:F21)</f>
        <v>45851000</v>
      </c>
      <c r="G15" s="121">
        <f t="shared" ref="G15" si="36">SUM(G16:G21)</f>
        <v>13367065</v>
      </c>
      <c r="H15" s="121">
        <f t="shared" si="35"/>
        <v>0</v>
      </c>
      <c r="I15" s="121">
        <f t="shared" ref="I15:J15" si="37">SUM(I16:I21)</f>
        <v>0</v>
      </c>
      <c r="J15" s="121">
        <f t="shared" si="37"/>
        <v>0</v>
      </c>
      <c r="K15" s="126"/>
    </row>
    <row r="16" spans="1:15" s="5" customFormat="1" ht="23.1" customHeight="1">
      <c r="A16" s="525"/>
      <c r="B16" s="520"/>
      <c r="C16" s="10" t="s">
        <v>264</v>
      </c>
      <c r="D16" s="8"/>
      <c r="E16" s="8">
        <f t="shared" ref="E16:E24" si="38">SUM(F16:J16)</f>
        <v>33392000</v>
      </c>
      <c r="F16" s="8">
        <f>33392000</f>
        <v>33392000</v>
      </c>
      <c r="G16" s="11">
        <v>0</v>
      </c>
      <c r="H16" s="8">
        <v>0</v>
      </c>
      <c r="I16" s="8">
        <v>0</v>
      </c>
      <c r="J16" s="8">
        <v>0</v>
      </c>
      <c r="K16" s="126"/>
    </row>
    <row r="17" spans="1:13" s="5" customFormat="1" ht="23.1" customHeight="1">
      <c r="A17" s="525"/>
      <c r="B17" s="520"/>
      <c r="C17" s="12" t="s">
        <v>50</v>
      </c>
      <c r="D17" s="8"/>
      <c r="E17" s="8">
        <f t="shared" si="38"/>
        <v>12459000</v>
      </c>
      <c r="F17" s="8">
        <f>12459000</f>
        <v>12459000</v>
      </c>
      <c r="G17" s="11">
        <v>0</v>
      </c>
      <c r="H17" s="8">
        <v>0</v>
      </c>
      <c r="I17" s="8">
        <v>0</v>
      </c>
      <c r="J17" s="8">
        <v>0</v>
      </c>
      <c r="K17" s="126"/>
    </row>
    <row r="18" spans="1:13" s="5" customFormat="1" ht="23.1" customHeight="1">
      <c r="A18" s="525"/>
      <c r="B18" s="520"/>
      <c r="C18" s="12" t="s">
        <v>51</v>
      </c>
      <c r="D18" s="8">
        <v>30000</v>
      </c>
      <c r="E18" s="8">
        <f t="shared" si="38"/>
        <v>0</v>
      </c>
      <c r="F18" s="8">
        <v>0</v>
      </c>
      <c r="G18" s="11"/>
      <c r="H18" s="8">
        <v>0</v>
      </c>
      <c r="I18" s="8">
        <v>0</v>
      </c>
      <c r="J18" s="8">
        <v>0</v>
      </c>
      <c r="K18" s="126"/>
    </row>
    <row r="19" spans="1:13" s="5" customFormat="1" ht="23.1" customHeight="1">
      <c r="A19" s="525"/>
      <c r="B19" s="520"/>
      <c r="C19" s="6" t="s">
        <v>52</v>
      </c>
      <c r="D19" s="13"/>
      <c r="E19" s="8">
        <f t="shared" si="38"/>
        <v>0</v>
      </c>
      <c r="F19" s="8">
        <v>0</v>
      </c>
      <c r="G19" s="11">
        <v>0</v>
      </c>
      <c r="H19" s="8">
        <v>0</v>
      </c>
      <c r="I19" s="8">
        <v>0</v>
      </c>
      <c r="J19" s="8">
        <v>0</v>
      </c>
      <c r="K19" s="126"/>
    </row>
    <row r="20" spans="1:13" s="5" customFormat="1" ht="29.25" customHeight="1">
      <c r="A20" s="525"/>
      <c r="B20" s="520"/>
      <c r="C20" s="12" t="s">
        <v>53</v>
      </c>
      <c r="D20" s="8">
        <v>10000</v>
      </c>
      <c r="E20" s="8">
        <f t="shared" si="38"/>
        <v>13367065</v>
      </c>
      <c r="F20" s="8">
        <v>0</v>
      </c>
      <c r="G20" s="8">
        <f>ROUND((1.25*(3024*(D20/1000)^0.643-1795.2*(D20/1000)^0.622)+48.95*(D20/1000)^0.3855)*1000+(8400*718000/1000),0)</f>
        <v>13367065</v>
      </c>
      <c r="H20" s="8">
        <v>0</v>
      </c>
      <c r="I20" s="8">
        <v>0</v>
      </c>
      <c r="J20" s="8">
        <v>0</v>
      </c>
      <c r="K20" s="393" t="s">
        <v>355</v>
      </c>
      <c r="M20" s="5">
        <f>7000/0.7</f>
        <v>10000</v>
      </c>
    </row>
    <row r="21" spans="1:13" s="5" customFormat="1" ht="23.1" customHeight="1">
      <c r="A21" s="525"/>
      <c r="B21" s="521"/>
      <c r="C21" s="12" t="s">
        <v>271</v>
      </c>
      <c r="D21" s="8"/>
      <c r="E21" s="8">
        <f t="shared" si="38"/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9"/>
    </row>
    <row r="22" spans="1:13" s="5" customFormat="1" ht="23.1" customHeight="1">
      <c r="A22" s="525"/>
      <c r="B22" s="14" t="s">
        <v>54</v>
      </c>
      <c r="C22" s="14"/>
      <c r="D22" s="8"/>
      <c r="E22" s="8">
        <f t="shared" si="38"/>
        <v>1225760</v>
      </c>
      <c r="F22" s="8"/>
      <c r="G22" s="8">
        <f>ROUND(G20*9.17/100,0)</f>
        <v>1225760</v>
      </c>
      <c r="H22" s="8"/>
      <c r="I22" s="8"/>
      <c r="J22" s="8"/>
      <c r="K22" s="126" t="s">
        <v>263</v>
      </c>
    </row>
    <row r="23" spans="1:13" s="5" customFormat="1" ht="23.1" customHeight="1">
      <c r="A23" s="525"/>
      <c r="B23" s="14" t="s">
        <v>55</v>
      </c>
      <c r="C23" s="15" t="str">
        <f>"A = "&amp;" ㎡"</f>
        <v>A =  ㎡</v>
      </c>
      <c r="D23" s="8"/>
      <c r="E23" s="8">
        <f t="shared" si="38"/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126"/>
    </row>
    <row r="24" spans="1:13" s="5" customFormat="1" ht="23.1" customHeight="1">
      <c r="A24" s="526"/>
      <c r="B24" s="124" t="s">
        <v>56</v>
      </c>
      <c r="C24" s="124"/>
      <c r="D24" s="125"/>
      <c r="E24" s="8">
        <f t="shared" si="38"/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34"/>
    </row>
    <row r="25" spans="1:13" s="5" customFormat="1" ht="23.1" customHeight="1">
      <c r="A25" s="527" t="s">
        <v>58</v>
      </c>
      <c r="B25" s="529" t="s">
        <v>265</v>
      </c>
      <c r="C25" s="529"/>
      <c r="D25" s="131"/>
      <c r="E25" s="132">
        <f>E26+E33+E34+E35</f>
        <v>16464000</v>
      </c>
      <c r="F25" s="132">
        <f t="shared" ref="F25:H25" si="39">F26+F33+F34+F35</f>
        <v>16380000</v>
      </c>
      <c r="G25" s="132">
        <f t="shared" ref="G25" si="40">G26+G33+G34+G35</f>
        <v>84000</v>
      </c>
      <c r="H25" s="132">
        <f t="shared" si="39"/>
        <v>0</v>
      </c>
      <c r="I25" s="132">
        <f t="shared" ref="I25:J25" si="41">I26+I33+I34+I35</f>
        <v>0</v>
      </c>
      <c r="J25" s="132">
        <f t="shared" si="41"/>
        <v>0</v>
      </c>
      <c r="K25" s="133"/>
    </row>
    <row r="26" spans="1:13" s="5" customFormat="1" ht="23.1" customHeight="1">
      <c r="A26" s="525"/>
      <c r="B26" s="519" t="s">
        <v>48</v>
      </c>
      <c r="C26" s="6" t="s">
        <v>49</v>
      </c>
      <c r="D26" s="7"/>
      <c r="E26" s="121">
        <f>SUM(E27:E32)</f>
        <v>16464000</v>
      </c>
      <c r="F26" s="121">
        <f t="shared" ref="F26:H26" si="42">SUM(F27:F32)</f>
        <v>16380000</v>
      </c>
      <c r="G26" s="121">
        <f t="shared" ref="G26" si="43">SUM(G27:G32)</f>
        <v>84000</v>
      </c>
      <c r="H26" s="121">
        <f t="shared" si="42"/>
        <v>0</v>
      </c>
      <c r="I26" s="121">
        <f t="shared" ref="I26:J26" si="44">SUM(I27:I32)</f>
        <v>0</v>
      </c>
      <c r="J26" s="121">
        <f t="shared" si="44"/>
        <v>0</v>
      </c>
      <c r="K26" s="126"/>
    </row>
    <row r="27" spans="1:13" s="5" customFormat="1" ht="23.1" customHeight="1">
      <c r="A27" s="525"/>
      <c r="B27" s="520"/>
      <c r="C27" s="10" t="s">
        <v>264</v>
      </c>
      <c r="D27" s="8"/>
      <c r="E27" s="8">
        <f t="shared" ref="E27:E35" si="45">SUM(F27:J27)</f>
        <v>16380000</v>
      </c>
      <c r="F27" s="8">
        <v>16380000</v>
      </c>
      <c r="G27" s="11">
        <v>0</v>
      </c>
      <c r="H27" s="8">
        <v>0</v>
      </c>
      <c r="I27" s="8">
        <v>0</v>
      </c>
      <c r="J27" s="8">
        <v>0</v>
      </c>
      <c r="K27" s="126"/>
    </row>
    <row r="28" spans="1:13" s="5" customFormat="1" ht="23.1" customHeight="1">
      <c r="A28" s="525"/>
      <c r="B28" s="520"/>
      <c r="C28" s="12" t="s">
        <v>50</v>
      </c>
      <c r="D28" s="8"/>
      <c r="E28" s="8">
        <f t="shared" si="45"/>
        <v>0</v>
      </c>
      <c r="F28" s="8">
        <v>0</v>
      </c>
      <c r="G28" s="11">
        <v>0</v>
      </c>
      <c r="H28" s="8">
        <v>0</v>
      </c>
      <c r="I28" s="8">
        <v>0</v>
      </c>
      <c r="J28" s="8">
        <v>0</v>
      </c>
      <c r="K28" s="126"/>
    </row>
    <row r="29" spans="1:13" s="5" customFormat="1" ht="23.1" customHeight="1">
      <c r="A29" s="525"/>
      <c r="B29" s="520"/>
      <c r="C29" s="12" t="s">
        <v>51</v>
      </c>
      <c r="D29" s="8"/>
      <c r="E29" s="8">
        <f t="shared" si="45"/>
        <v>0</v>
      </c>
      <c r="F29" s="8">
        <v>0</v>
      </c>
      <c r="G29" s="11">
        <v>0</v>
      </c>
      <c r="H29" s="8">
        <v>0</v>
      </c>
      <c r="I29" s="8">
        <v>0</v>
      </c>
      <c r="J29" s="8">
        <v>0</v>
      </c>
      <c r="K29" s="126"/>
    </row>
    <row r="30" spans="1:13" s="5" customFormat="1" ht="23.1" customHeight="1">
      <c r="A30" s="525"/>
      <c r="B30" s="520"/>
      <c r="C30" s="6" t="s">
        <v>52</v>
      </c>
      <c r="D30" s="13"/>
      <c r="E30" s="8">
        <f t="shared" si="45"/>
        <v>0</v>
      </c>
      <c r="F30" s="8">
        <v>0</v>
      </c>
      <c r="G30" s="11">
        <v>0</v>
      </c>
      <c r="H30" s="8">
        <v>0</v>
      </c>
      <c r="I30" s="8">
        <v>0</v>
      </c>
      <c r="J30" s="8">
        <v>0</v>
      </c>
      <c r="K30" s="126"/>
    </row>
    <row r="31" spans="1:13" s="5" customFormat="1" ht="23.1" customHeight="1">
      <c r="A31" s="525"/>
      <c r="B31" s="520"/>
      <c r="C31" s="12" t="s">
        <v>53</v>
      </c>
      <c r="D31" s="8">
        <v>100</v>
      </c>
      <c r="E31" s="8">
        <f t="shared" si="45"/>
        <v>84000</v>
      </c>
      <c r="F31" s="8">
        <v>0</v>
      </c>
      <c r="G31" s="11">
        <f>ROUND(30000+180000*300/1000,0)</f>
        <v>84000</v>
      </c>
      <c r="H31" s="8">
        <v>0</v>
      </c>
      <c r="I31" s="8">
        <v>0</v>
      </c>
      <c r="J31" s="8">
        <v>0</v>
      </c>
      <c r="K31" s="126" t="s">
        <v>266</v>
      </c>
    </row>
    <row r="32" spans="1:13" s="5" customFormat="1" ht="23.1" customHeight="1">
      <c r="A32" s="525"/>
      <c r="B32" s="521"/>
      <c r="C32" s="12" t="s">
        <v>271</v>
      </c>
      <c r="D32" s="8"/>
      <c r="E32" s="8">
        <f t="shared" si="45"/>
        <v>0</v>
      </c>
      <c r="F32" s="8">
        <v>0</v>
      </c>
      <c r="G32" s="11">
        <v>0</v>
      </c>
      <c r="H32" s="8">
        <v>0</v>
      </c>
      <c r="I32" s="8">
        <v>0</v>
      </c>
      <c r="J32" s="8">
        <v>0</v>
      </c>
      <c r="K32" s="126"/>
    </row>
    <row r="33" spans="1:11" s="5" customFormat="1" ht="23.1" customHeight="1">
      <c r="A33" s="525"/>
      <c r="B33" s="14" t="s">
        <v>54</v>
      </c>
      <c r="C33" s="14"/>
      <c r="D33" s="8"/>
      <c r="E33" s="8">
        <f t="shared" si="45"/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126"/>
    </row>
    <row r="34" spans="1:11" s="5" customFormat="1" ht="23.1" customHeight="1">
      <c r="A34" s="525"/>
      <c r="B34" s="14" t="s">
        <v>55</v>
      </c>
      <c r="C34" s="15" t="str">
        <f>"A = "&amp;" ㎡"</f>
        <v>A =  ㎡</v>
      </c>
      <c r="D34" s="8"/>
      <c r="E34" s="8">
        <f t="shared" si="45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126"/>
    </row>
    <row r="35" spans="1:11" s="5" customFormat="1" ht="23.1" customHeight="1">
      <c r="A35" s="528"/>
      <c r="B35" s="16" t="s">
        <v>56</v>
      </c>
      <c r="C35" s="16"/>
      <c r="D35" s="17"/>
      <c r="E35" s="8">
        <f t="shared" si="45"/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27"/>
    </row>
    <row r="36" spans="1:11" s="5" customFormat="1" ht="23.1" customHeight="1">
      <c r="A36" s="527" t="s">
        <v>59</v>
      </c>
      <c r="B36" s="529" t="s">
        <v>265</v>
      </c>
      <c r="C36" s="529"/>
      <c r="D36" s="131"/>
      <c r="E36" s="132">
        <f>E37+E44+E45+E46</f>
        <v>9769000</v>
      </c>
      <c r="F36" s="132">
        <f t="shared" ref="F36:H36" si="46">F37+F44+F45+F46</f>
        <v>9685000</v>
      </c>
      <c r="G36" s="132">
        <f t="shared" ref="G36" si="47">G37+G44+G45+G46</f>
        <v>84000</v>
      </c>
      <c r="H36" s="132">
        <f t="shared" si="46"/>
        <v>0</v>
      </c>
      <c r="I36" s="132">
        <f t="shared" ref="I36:J36" si="48">I37+I44+I45+I46</f>
        <v>0</v>
      </c>
      <c r="J36" s="132">
        <f t="shared" si="48"/>
        <v>0</v>
      </c>
      <c r="K36" s="133"/>
    </row>
    <row r="37" spans="1:11" s="5" customFormat="1" ht="23.1" customHeight="1">
      <c r="A37" s="530"/>
      <c r="B37" s="534" t="s">
        <v>48</v>
      </c>
      <c r="C37" s="350" t="s">
        <v>49</v>
      </c>
      <c r="D37" s="351"/>
      <c r="E37" s="352">
        <f>SUM(E38:E43)</f>
        <v>9769000</v>
      </c>
      <c r="F37" s="352">
        <f t="shared" ref="F37:H37" si="49">SUM(F38:F43)</f>
        <v>9685000</v>
      </c>
      <c r="G37" s="352">
        <f t="shared" ref="G37" si="50">SUM(G38:G43)</f>
        <v>84000</v>
      </c>
      <c r="H37" s="352">
        <f t="shared" si="49"/>
        <v>0</v>
      </c>
      <c r="I37" s="352">
        <f t="shared" ref="I37:J37" si="51">SUM(I38:I43)</f>
        <v>0</v>
      </c>
      <c r="J37" s="352">
        <f t="shared" si="51"/>
        <v>0</v>
      </c>
      <c r="K37" s="353"/>
    </row>
    <row r="38" spans="1:11" s="5" customFormat="1" ht="23.1" customHeight="1">
      <c r="A38" s="530"/>
      <c r="B38" s="520"/>
      <c r="C38" s="354" t="s">
        <v>264</v>
      </c>
      <c r="D38" s="355"/>
      <c r="E38" s="355">
        <f t="shared" ref="E38:E46" si="52">SUM(F38:J38)</f>
        <v>9685000</v>
      </c>
      <c r="F38" s="355">
        <v>9685000</v>
      </c>
      <c r="G38" s="356">
        <v>0</v>
      </c>
      <c r="H38" s="355">
        <v>0</v>
      </c>
      <c r="I38" s="355">
        <v>0</v>
      </c>
      <c r="J38" s="355">
        <v>0</v>
      </c>
      <c r="K38" s="353"/>
    </row>
    <row r="39" spans="1:11" s="5" customFormat="1" ht="23.1" customHeight="1">
      <c r="A39" s="530"/>
      <c r="B39" s="520"/>
      <c r="C39" s="357" t="s">
        <v>50</v>
      </c>
      <c r="D39" s="355"/>
      <c r="E39" s="355">
        <f t="shared" si="52"/>
        <v>0</v>
      </c>
      <c r="F39" s="355">
        <v>0</v>
      </c>
      <c r="G39" s="356">
        <v>0</v>
      </c>
      <c r="H39" s="355">
        <v>0</v>
      </c>
      <c r="I39" s="355">
        <v>0</v>
      </c>
      <c r="J39" s="355">
        <v>0</v>
      </c>
      <c r="K39" s="353"/>
    </row>
    <row r="40" spans="1:11" s="5" customFormat="1" ht="23.1" customHeight="1">
      <c r="A40" s="530"/>
      <c r="B40" s="520"/>
      <c r="C40" s="357" t="s">
        <v>51</v>
      </c>
      <c r="D40" s="355"/>
      <c r="E40" s="355">
        <f t="shared" si="52"/>
        <v>0</v>
      </c>
      <c r="F40" s="355">
        <v>0</v>
      </c>
      <c r="G40" s="356">
        <v>0</v>
      </c>
      <c r="H40" s="355">
        <v>0</v>
      </c>
      <c r="I40" s="355">
        <v>0</v>
      </c>
      <c r="J40" s="355">
        <v>0</v>
      </c>
      <c r="K40" s="353"/>
    </row>
    <row r="41" spans="1:11" s="5" customFormat="1" ht="23.1" customHeight="1">
      <c r="A41" s="530"/>
      <c r="B41" s="520"/>
      <c r="C41" s="350" t="s">
        <v>52</v>
      </c>
      <c r="D41" s="358"/>
      <c r="E41" s="355">
        <f t="shared" si="52"/>
        <v>0</v>
      </c>
      <c r="F41" s="355">
        <v>0</v>
      </c>
      <c r="G41" s="356">
        <v>0</v>
      </c>
      <c r="H41" s="355">
        <v>0</v>
      </c>
      <c r="I41" s="355">
        <v>0</v>
      </c>
      <c r="J41" s="355">
        <v>0</v>
      </c>
      <c r="K41" s="353"/>
    </row>
    <row r="42" spans="1:11" s="5" customFormat="1" ht="23.1" customHeight="1">
      <c r="A42" s="530"/>
      <c r="B42" s="520"/>
      <c r="C42" s="357" t="s">
        <v>53</v>
      </c>
      <c r="D42" s="355">
        <v>100</v>
      </c>
      <c r="E42" s="355">
        <f t="shared" si="52"/>
        <v>84000</v>
      </c>
      <c r="F42" s="355">
        <v>0</v>
      </c>
      <c r="G42" s="356">
        <f>ROUND(30000+180000*300/1000,0)</f>
        <v>84000</v>
      </c>
      <c r="H42" s="355">
        <v>0</v>
      </c>
      <c r="I42" s="355">
        <v>0</v>
      </c>
      <c r="J42" s="355">
        <v>0</v>
      </c>
      <c r="K42" s="353" t="s">
        <v>266</v>
      </c>
    </row>
    <row r="43" spans="1:11" s="5" customFormat="1" ht="23.1" customHeight="1">
      <c r="A43" s="530"/>
      <c r="B43" s="521"/>
      <c r="C43" s="357" t="s">
        <v>271</v>
      </c>
      <c r="D43" s="355"/>
      <c r="E43" s="355">
        <f t="shared" si="52"/>
        <v>0</v>
      </c>
      <c r="F43" s="355">
        <v>0</v>
      </c>
      <c r="G43" s="356">
        <v>0</v>
      </c>
      <c r="H43" s="355">
        <v>0</v>
      </c>
      <c r="I43" s="355">
        <v>0</v>
      </c>
      <c r="J43" s="355">
        <v>0</v>
      </c>
      <c r="K43" s="353"/>
    </row>
    <row r="44" spans="1:11" s="5" customFormat="1" ht="23.1" customHeight="1">
      <c r="A44" s="530"/>
      <c r="B44" s="359" t="s">
        <v>54</v>
      </c>
      <c r="C44" s="359"/>
      <c r="D44" s="355"/>
      <c r="E44" s="355">
        <f t="shared" si="52"/>
        <v>0</v>
      </c>
      <c r="F44" s="355">
        <v>0</v>
      </c>
      <c r="G44" s="355">
        <v>0</v>
      </c>
      <c r="H44" s="355">
        <v>0</v>
      </c>
      <c r="I44" s="355">
        <v>0</v>
      </c>
      <c r="J44" s="355">
        <v>0</v>
      </c>
      <c r="K44" s="353"/>
    </row>
    <row r="45" spans="1:11" s="5" customFormat="1" ht="23.1" customHeight="1">
      <c r="A45" s="530"/>
      <c r="B45" s="359" t="s">
        <v>55</v>
      </c>
      <c r="C45" s="360" t="str">
        <f>"A = "&amp;" ㎡"</f>
        <v>A =  ㎡</v>
      </c>
      <c r="D45" s="355"/>
      <c r="E45" s="355">
        <f t="shared" si="52"/>
        <v>0</v>
      </c>
      <c r="F45" s="355">
        <v>0</v>
      </c>
      <c r="G45" s="355">
        <v>0</v>
      </c>
      <c r="H45" s="355">
        <v>0</v>
      </c>
      <c r="I45" s="355">
        <v>0</v>
      </c>
      <c r="J45" s="355">
        <v>0</v>
      </c>
      <c r="K45" s="353"/>
    </row>
    <row r="46" spans="1:11" s="5" customFormat="1" ht="23.1" customHeight="1">
      <c r="A46" s="531"/>
      <c r="B46" s="361" t="s">
        <v>56</v>
      </c>
      <c r="C46" s="361"/>
      <c r="D46" s="362"/>
      <c r="E46" s="362">
        <f t="shared" si="52"/>
        <v>0</v>
      </c>
      <c r="F46" s="362">
        <v>0</v>
      </c>
      <c r="G46" s="362">
        <v>0</v>
      </c>
      <c r="H46" s="362">
        <v>0</v>
      </c>
      <c r="I46" s="362">
        <v>0</v>
      </c>
      <c r="J46" s="362">
        <v>0</v>
      </c>
      <c r="K46" s="363"/>
    </row>
    <row r="47" spans="1:11" s="5" customFormat="1" ht="23.1" customHeight="1">
      <c r="A47" s="527" t="s">
        <v>60</v>
      </c>
      <c r="B47" s="529" t="s">
        <v>265</v>
      </c>
      <c r="C47" s="529"/>
      <c r="D47" s="131"/>
      <c r="E47" s="132">
        <f>E48+E55+E56+E57</f>
        <v>957000</v>
      </c>
      <c r="F47" s="132">
        <f t="shared" ref="F47:H47" si="53">F48+F55+F56+F57</f>
        <v>873000</v>
      </c>
      <c r="G47" s="132">
        <f t="shared" ref="G47" si="54">G48+G55+G56+G57</f>
        <v>84000</v>
      </c>
      <c r="H47" s="132">
        <f t="shared" si="53"/>
        <v>0</v>
      </c>
      <c r="I47" s="132">
        <f t="shared" ref="I47:J47" si="55">I48+I55+I56+I57</f>
        <v>0</v>
      </c>
      <c r="J47" s="132">
        <f t="shared" si="55"/>
        <v>0</v>
      </c>
      <c r="K47" s="133"/>
    </row>
    <row r="48" spans="1:11" s="5" customFormat="1" ht="23.1" customHeight="1">
      <c r="A48" s="525"/>
      <c r="B48" s="519" t="s">
        <v>48</v>
      </c>
      <c r="C48" s="6" t="s">
        <v>49</v>
      </c>
      <c r="D48" s="7"/>
      <c r="E48" s="121">
        <f>SUM(E49:E54)</f>
        <v>957000</v>
      </c>
      <c r="F48" s="121">
        <f t="shared" ref="F48:H48" si="56">SUM(F49:F54)</f>
        <v>873000</v>
      </c>
      <c r="G48" s="121">
        <f t="shared" ref="G48" si="57">SUM(G49:G54)</f>
        <v>84000</v>
      </c>
      <c r="H48" s="121">
        <f t="shared" si="56"/>
        <v>0</v>
      </c>
      <c r="I48" s="121">
        <f t="shared" ref="I48:J48" si="58">SUM(I49:I54)</f>
        <v>0</v>
      </c>
      <c r="J48" s="121">
        <f t="shared" si="58"/>
        <v>0</v>
      </c>
      <c r="K48" s="126"/>
    </row>
    <row r="49" spans="1:11" s="5" customFormat="1" ht="23.1" customHeight="1">
      <c r="A49" s="525"/>
      <c r="B49" s="520"/>
      <c r="C49" s="10" t="s">
        <v>264</v>
      </c>
      <c r="D49" s="8"/>
      <c r="E49" s="8">
        <f t="shared" ref="E49:E57" si="59">SUM(F49:J49)</f>
        <v>873000</v>
      </c>
      <c r="F49" s="8">
        <f>873000</f>
        <v>873000</v>
      </c>
      <c r="G49" s="8">
        <v>0</v>
      </c>
      <c r="H49" s="8">
        <v>0</v>
      </c>
      <c r="I49" s="8">
        <v>0</v>
      </c>
      <c r="J49" s="8">
        <v>0</v>
      </c>
      <c r="K49" s="126"/>
    </row>
    <row r="50" spans="1:11" s="5" customFormat="1" ht="23.1" customHeight="1">
      <c r="A50" s="525"/>
      <c r="B50" s="520"/>
      <c r="C50" s="12" t="s">
        <v>50</v>
      </c>
      <c r="D50" s="8"/>
      <c r="E50" s="8">
        <f t="shared" si="59"/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126"/>
    </row>
    <row r="51" spans="1:11" s="5" customFormat="1" ht="23.1" customHeight="1">
      <c r="A51" s="525"/>
      <c r="B51" s="520"/>
      <c r="C51" s="12" t="s">
        <v>51</v>
      </c>
      <c r="D51" s="8"/>
      <c r="E51" s="8">
        <f t="shared" si="59"/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126"/>
    </row>
    <row r="52" spans="1:11" s="5" customFormat="1" ht="23.1" customHeight="1">
      <c r="A52" s="525"/>
      <c r="B52" s="520"/>
      <c r="C52" s="6" t="s">
        <v>52</v>
      </c>
      <c r="D52" s="13"/>
      <c r="E52" s="8">
        <f t="shared" si="59"/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126"/>
    </row>
    <row r="53" spans="1:11" s="5" customFormat="1" ht="23.1" customHeight="1">
      <c r="A53" s="525"/>
      <c r="B53" s="520"/>
      <c r="C53" s="12" t="s">
        <v>53</v>
      </c>
      <c r="D53" s="8">
        <v>100</v>
      </c>
      <c r="E53" s="8">
        <f t="shared" si="59"/>
        <v>84000</v>
      </c>
      <c r="F53" s="8">
        <v>0</v>
      </c>
      <c r="G53" s="11">
        <f>ROUND(30000+180000*300/1000,0)</f>
        <v>84000</v>
      </c>
      <c r="H53" s="8">
        <v>0</v>
      </c>
      <c r="I53" s="8">
        <v>0</v>
      </c>
      <c r="J53" s="8">
        <v>0</v>
      </c>
      <c r="K53" s="126"/>
    </row>
    <row r="54" spans="1:11" s="5" customFormat="1" ht="23.1" customHeight="1">
      <c r="A54" s="525"/>
      <c r="B54" s="521"/>
      <c r="C54" s="12" t="s">
        <v>271</v>
      </c>
      <c r="D54" s="8"/>
      <c r="E54" s="8">
        <f t="shared" si="59"/>
        <v>0</v>
      </c>
      <c r="F54" s="8">
        <v>0</v>
      </c>
      <c r="G54" s="11">
        <v>0</v>
      </c>
      <c r="H54" s="8">
        <v>0</v>
      </c>
      <c r="I54" s="8">
        <v>0</v>
      </c>
      <c r="J54" s="8">
        <v>0</v>
      </c>
      <c r="K54" s="126"/>
    </row>
    <row r="55" spans="1:11" s="5" customFormat="1" ht="23.1" customHeight="1">
      <c r="A55" s="525"/>
      <c r="B55" s="14" t="s">
        <v>54</v>
      </c>
      <c r="C55" s="14"/>
      <c r="D55" s="8"/>
      <c r="E55" s="8">
        <f t="shared" si="59"/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126"/>
    </row>
    <row r="56" spans="1:11" s="5" customFormat="1" ht="23.1" customHeight="1">
      <c r="A56" s="525"/>
      <c r="B56" s="14" t="s">
        <v>55</v>
      </c>
      <c r="C56" s="15" t="str">
        <f>"A = "&amp;" ㎡"</f>
        <v>A =  ㎡</v>
      </c>
      <c r="D56" s="8"/>
      <c r="E56" s="8">
        <f t="shared" si="59"/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126"/>
    </row>
    <row r="57" spans="1:11" s="5" customFormat="1" ht="23.1" customHeight="1">
      <c r="A57" s="528"/>
      <c r="B57" s="16" t="s">
        <v>56</v>
      </c>
      <c r="C57" s="16"/>
      <c r="D57" s="17"/>
      <c r="E57" s="8">
        <f t="shared" si="59"/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27"/>
    </row>
    <row r="58" spans="1:11" s="5" customFormat="1" ht="23.1" customHeight="1">
      <c r="A58" s="527" t="s">
        <v>61</v>
      </c>
      <c r="B58" s="529" t="s">
        <v>265</v>
      </c>
      <c r="C58" s="529"/>
      <c r="D58" s="131"/>
      <c r="E58" s="132">
        <f>E59+E66+E67+E68</f>
        <v>84000</v>
      </c>
      <c r="F58" s="132">
        <f t="shared" ref="F58:H58" si="60">F59+F66+F67+F68</f>
        <v>0</v>
      </c>
      <c r="G58" s="132">
        <f t="shared" ref="G58" si="61">G59+G66+G67+G68</f>
        <v>84000</v>
      </c>
      <c r="H58" s="132">
        <f t="shared" si="60"/>
        <v>0</v>
      </c>
      <c r="I58" s="132">
        <f t="shared" ref="I58:J58" si="62">I59+I66+I67+I68</f>
        <v>0</v>
      </c>
      <c r="J58" s="132">
        <f t="shared" si="62"/>
        <v>0</v>
      </c>
      <c r="K58" s="133"/>
    </row>
    <row r="59" spans="1:11" s="5" customFormat="1" ht="23.1" customHeight="1">
      <c r="A59" s="532"/>
      <c r="B59" s="522" t="s">
        <v>48</v>
      </c>
      <c r="C59" s="283" t="s">
        <v>49</v>
      </c>
      <c r="D59" s="284"/>
      <c r="E59" s="285">
        <f>SUM(E60:E65)</f>
        <v>84000</v>
      </c>
      <c r="F59" s="285">
        <f t="shared" ref="F59:H59" si="63">SUM(F60:F65)</f>
        <v>0</v>
      </c>
      <c r="G59" s="285">
        <f t="shared" ref="G59" si="64">SUM(G60:G65)</f>
        <v>84000</v>
      </c>
      <c r="H59" s="285">
        <f t="shared" si="63"/>
        <v>0</v>
      </c>
      <c r="I59" s="285">
        <f t="shared" ref="I59:J59" si="65">SUM(I60:I65)</f>
        <v>0</v>
      </c>
      <c r="J59" s="285">
        <f t="shared" si="65"/>
        <v>0</v>
      </c>
      <c r="K59" s="286"/>
    </row>
    <row r="60" spans="1:11" s="5" customFormat="1" ht="23.1" customHeight="1">
      <c r="A60" s="532"/>
      <c r="B60" s="520"/>
      <c r="C60" s="287" t="s">
        <v>264</v>
      </c>
      <c r="D60" s="288"/>
      <c r="E60" s="288">
        <f t="shared" ref="E60:E68" si="66">SUM(F60:J60)</f>
        <v>0</v>
      </c>
      <c r="F60" s="288">
        <v>0</v>
      </c>
      <c r="G60" s="288">
        <v>0</v>
      </c>
      <c r="H60" s="288">
        <v>0</v>
      </c>
      <c r="I60" s="288">
        <v>0</v>
      </c>
      <c r="J60" s="288">
        <v>0</v>
      </c>
      <c r="K60" s="286"/>
    </row>
    <row r="61" spans="1:11" s="5" customFormat="1" ht="23.1" customHeight="1">
      <c r="A61" s="532"/>
      <c r="B61" s="520"/>
      <c r="C61" s="289" t="s">
        <v>50</v>
      </c>
      <c r="D61" s="288"/>
      <c r="E61" s="288">
        <f t="shared" si="66"/>
        <v>0</v>
      </c>
      <c r="F61" s="288">
        <v>0</v>
      </c>
      <c r="G61" s="288">
        <v>0</v>
      </c>
      <c r="H61" s="288">
        <v>0</v>
      </c>
      <c r="I61" s="288">
        <v>0</v>
      </c>
      <c r="J61" s="288">
        <v>0</v>
      </c>
      <c r="K61" s="286"/>
    </row>
    <row r="62" spans="1:11" s="5" customFormat="1" ht="23.1" customHeight="1">
      <c r="A62" s="532"/>
      <c r="B62" s="520"/>
      <c r="C62" s="289" t="s">
        <v>51</v>
      </c>
      <c r="D62" s="288">
        <v>700</v>
      </c>
      <c r="E62" s="288">
        <f t="shared" si="66"/>
        <v>0</v>
      </c>
      <c r="F62" s="288">
        <v>0</v>
      </c>
      <c r="G62" s="288">
        <v>0</v>
      </c>
      <c r="H62" s="288">
        <v>0</v>
      </c>
      <c r="I62" s="288">
        <v>0</v>
      </c>
      <c r="J62" s="288">
        <v>0</v>
      </c>
      <c r="K62" s="286"/>
    </row>
    <row r="63" spans="1:11" s="5" customFormat="1" ht="23.1" customHeight="1">
      <c r="A63" s="532"/>
      <c r="B63" s="520"/>
      <c r="C63" s="283" t="s">
        <v>52</v>
      </c>
      <c r="D63" s="290"/>
      <c r="E63" s="288">
        <f t="shared" si="66"/>
        <v>0</v>
      </c>
      <c r="F63" s="288">
        <v>0</v>
      </c>
      <c r="G63" s="288">
        <v>0</v>
      </c>
      <c r="H63" s="288">
        <v>0</v>
      </c>
      <c r="I63" s="288">
        <v>0</v>
      </c>
      <c r="J63" s="288">
        <v>0</v>
      </c>
      <c r="K63" s="286"/>
    </row>
    <row r="64" spans="1:11" s="5" customFormat="1" ht="23.1" customHeight="1">
      <c r="A64" s="532"/>
      <c r="B64" s="520"/>
      <c r="C64" s="289" t="s">
        <v>53</v>
      </c>
      <c r="D64" s="288">
        <v>100</v>
      </c>
      <c r="E64" s="288">
        <f t="shared" si="66"/>
        <v>84000</v>
      </c>
      <c r="F64" s="288">
        <v>0</v>
      </c>
      <c r="G64" s="291">
        <f>ROUND(30000+180000*300/1000,0)</f>
        <v>84000</v>
      </c>
      <c r="H64" s="288">
        <v>0</v>
      </c>
      <c r="I64" s="288">
        <v>0</v>
      </c>
      <c r="J64" s="288">
        <v>0</v>
      </c>
      <c r="K64" s="286" t="s">
        <v>266</v>
      </c>
    </row>
    <row r="65" spans="1:11" s="5" customFormat="1" ht="23.1" customHeight="1">
      <c r="A65" s="532"/>
      <c r="B65" s="523"/>
      <c r="C65" s="289" t="s">
        <v>271</v>
      </c>
      <c r="D65" s="288"/>
      <c r="E65" s="288">
        <f t="shared" si="66"/>
        <v>0</v>
      </c>
      <c r="F65" s="288">
        <v>0</v>
      </c>
      <c r="G65" s="291">
        <v>0</v>
      </c>
      <c r="H65" s="288">
        <v>0</v>
      </c>
      <c r="I65" s="288">
        <v>0</v>
      </c>
      <c r="J65" s="288">
        <v>0</v>
      </c>
      <c r="K65" s="286"/>
    </row>
    <row r="66" spans="1:11" s="5" customFormat="1" ht="23.1" customHeight="1">
      <c r="A66" s="532"/>
      <c r="B66" s="292" t="s">
        <v>54</v>
      </c>
      <c r="C66" s="292"/>
      <c r="D66" s="288"/>
      <c r="E66" s="288">
        <f t="shared" si="66"/>
        <v>0</v>
      </c>
      <c r="F66" s="288">
        <v>0</v>
      </c>
      <c r="G66" s="288">
        <v>0</v>
      </c>
      <c r="H66" s="288">
        <v>0</v>
      </c>
      <c r="I66" s="288">
        <v>0</v>
      </c>
      <c r="J66" s="288">
        <v>0</v>
      </c>
      <c r="K66" s="286"/>
    </row>
    <row r="67" spans="1:11" s="5" customFormat="1" ht="23.1" customHeight="1">
      <c r="A67" s="532"/>
      <c r="B67" s="292" t="s">
        <v>55</v>
      </c>
      <c r="C67" s="293" t="str">
        <f>"A = "&amp;" ㎡"</f>
        <v>A =  ㎡</v>
      </c>
      <c r="D67" s="288"/>
      <c r="E67" s="288">
        <f t="shared" si="66"/>
        <v>0</v>
      </c>
      <c r="F67" s="288">
        <v>0</v>
      </c>
      <c r="G67" s="288">
        <v>0</v>
      </c>
      <c r="H67" s="288">
        <v>0</v>
      </c>
      <c r="I67" s="288">
        <v>0</v>
      </c>
      <c r="J67" s="288">
        <v>0</v>
      </c>
      <c r="K67" s="286"/>
    </row>
    <row r="68" spans="1:11" s="5" customFormat="1" ht="23.1" customHeight="1">
      <c r="A68" s="533"/>
      <c r="B68" s="294" t="s">
        <v>56</v>
      </c>
      <c r="C68" s="294"/>
      <c r="D68" s="295"/>
      <c r="E68" s="295">
        <f t="shared" si="66"/>
        <v>0</v>
      </c>
      <c r="F68" s="295">
        <v>0</v>
      </c>
      <c r="G68" s="295">
        <v>0</v>
      </c>
      <c r="H68" s="295">
        <v>0</v>
      </c>
      <c r="I68" s="295">
        <v>0</v>
      </c>
      <c r="J68" s="295">
        <v>0</v>
      </c>
      <c r="K68" s="296"/>
    </row>
    <row r="69" spans="1:11" s="106" customFormat="1" ht="23.1" customHeight="1">
      <c r="A69" s="106" t="s">
        <v>269</v>
      </c>
      <c r="K69" s="114"/>
    </row>
    <row r="70" spans="1:11" s="106" customFormat="1" ht="23.1" customHeight="1">
      <c r="A70" s="106" t="s">
        <v>270</v>
      </c>
      <c r="K70" s="114"/>
    </row>
    <row r="71" spans="1:11" s="106" customFormat="1" ht="23.1" customHeight="1">
      <c r="K71" s="114"/>
    </row>
    <row r="72" spans="1:11" s="106" customFormat="1" ht="23.1" customHeight="1">
      <c r="K72" s="114"/>
    </row>
    <row r="73" spans="1:11" s="106" customFormat="1" ht="23.1" customHeight="1">
      <c r="K73" s="114"/>
    </row>
    <row r="74" spans="1:11" s="106" customFormat="1" ht="23.1" customHeight="1">
      <c r="K74" s="114"/>
    </row>
    <row r="75" spans="1:11" s="106" customFormat="1" ht="23.1" customHeight="1">
      <c r="K75" s="114"/>
    </row>
    <row r="76" spans="1:11" s="106" customFormat="1" ht="23.1" customHeight="1">
      <c r="K76" s="114"/>
    </row>
  </sheetData>
  <mergeCells count="21">
    <mergeCell ref="A3:A13"/>
    <mergeCell ref="A2:C2"/>
    <mergeCell ref="B14:C14"/>
    <mergeCell ref="B3:C3"/>
    <mergeCell ref="B4:B10"/>
    <mergeCell ref="M11:O11"/>
    <mergeCell ref="A1:D1"/>
    <mergeCell ref="B48:B54"/>
    <mergeCell ref="B59:B65"/>
    <mergeCell ref="B15:B21"/>
    <mergeCell ref="A14:A24"/>
    <mergeCell ref="A25:A35"/>
    <mergeCell ref="B25:C25"/>
    <mergeCell ref="A36:A46"/>
    <mergeCell ref="B36:C36"/>
    <mergeCell ref="A47:A57"/>
    <mergeCell ref="B47:C47"/>
    <mergeCell ref="A58:A68"/>
    <mergeCell ref="B58:C58"/>
    <mergeCell ref="B26:B32"/>
    <mergeCell ref="B37:B4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1" manualBreakCount="1">
    <brk id="4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15"/>
  <sheetViews>
    <sheetView view="pageBreakPreview" zoomScaleNormal="100" zoomScaleSheetLayoutView="100" workbookViewId="0">
      <selection activeCell="H6" sqref="H6"/>
    </sheetView>
  </sheetViews>
  <sheetFormatPr defaultRowHeight="23.1" customHeight="1"/>
  <cols>
    <col min="1" max="1" width="8.125" customWidth="1"/>
    <col min="2" max="2" width="10.875" customWidth="1"/>
    <col min="3" max="3" width="17.25" customWidth="1"/>
    <col min="4" max="4" width="9.5" bestFit="1" customWidth="1"/>
    <col min="5" max="5" width="13.5" customWidth="1"/>
    <col min="6" max="9" width="11.625" bestFit="1" customWidth="1"/>
    <col min="10" max="10" width="11.625" hidden="1" customWidth="1"/>
    <col min="11" max="11" width="16.75" style="91" bestFit="1" customWidth="1"/>
  </cols>
  <sheetData>
    <row r="1" spans="1:19" ht="23.1" customHeight="1">
      <c r="A1" s="433" t="s">
        <v>343</v>
      </c>
      <c r="B1" s="433"/>
      <c r="C1" s="433"/>
      <c r="D1" s="433"/>
      <c r="K1" s="144" t="s">
        <v>291</v>
      </c>
    </row>
    <row r="2" spans="1:19" s="5" customFormat="1" ht="40.5" customHeight="1">
      <c r="A2" s="535" t="s">
        <v>45</v>
      </c>
      <c r="B2" s="536"/>
      <c r="C2" s="536"/>
      <c r="D2" s="128" t="s">
        <v>46</v>
      </c>
      <c r="E2" s="128" t="s">
        <v>47</v>
      </c>
      <c r="F2" s="142" t="s">
        <v>323</v>
      </c>
      <c r="G2" s="142" t="s">
        <v>315</v>
      </c>
      <c r="H2" s="142" t="s">
        <v>316</v>
      </c>
      <c r="I2" s="142" t="s">
        <v>317</v>
      </c>
      <c r="J2" s="142" t="s">
        <v>282</v>
      </c>
      <c r="K2" s="129" t="s">
        <v>63</v>
      </c>
    </row>
    <row r="3" spans="1:19" s="5" customFormat="1" ht="40.5" customHeight="1">
      <c r="A3" s="527" t="s">
        <v>288</v>
      </c>
      <c r="B3" s="529" t="s">
        <v>64</v>
      </c>
      <c r="C3" s="529"/>
      <c r="D3" s="131"/>
      <c r="E3" s="132">
        <f t="shared" ref="E3:J3" si="0">E4+E5+E6+E7</f>
        <v>10292954</v>
      </c>
      <c r="F3" s="132">
        <f t="shared" si="0"/>
        <v>7797000</v>
      </c>
      <c r="G3" s="132">
        <f t="shared" si="0"/>
        <v>2495954</v>
      </c>
      <c r="H3" s="132">
        <f t="shared" si="0"/>
        <v>0</v>
      </c>
      <c r="I3" s="132">
        <f t="shared" si="0"/>
        <v>0</v>
      </c>
      <c r="J3" s="132">
        <f t="shared" si="0"/>
        <v>0</v>
      </c>
      <c r="K3" s="133"/>
    </row>
    <row r="4" spans="1:19" s="5" customFormat="1" ht="40.5" customHeight="1">
      <c r="A4" s="525"/>
      <c r="B4" s="539" t="s">
        <v>48</v>
      </c>
      <c r="C4" s="540"/>
      <c r="D4" s="7">
        <v>100</v>
      </c>
      <c r="E4" s="121">
        <f>SUM(F4:I4)</f>
        <v>10155902</v>
      </c>
      <c r="F4" s="121">
        <v>7797000</v>
      </c>
      <c r="G4" s="121">
        <f>ROUND((3880.4*LN(D4)-15511)*1000,0)</f>
        <v>2358902</v>
      </c>
      <c r="H4" s="121">
        <v>0</v>
      </c>
      <c r="I4" s="121">
        <v>0</v>
      </c>
      <c r="J4" s="121">
        <v>0</v>
      </c>
      <c r="K4" s="126"/>
    </row>
    <row r="5" spans="1:19" s="5" customFormat="1" ht="40.5" customHeight="1">
      <c r="A5" s="525"/>
      <c r="B5" s="14" t="s">
        <v>54</v>
      </c>
      <c r="C5" s="14"/>
      <c r="D5" s="8"/>
      <c r="E5" s="8">
        <f>SUM(F5:I5)</f>
        <v>137052</v>
      </c>
      <c r="F5" s="11">
        <v>0</v>
      </c>
      <c r="G5" s="11">
        <f>ROUND(G4*0.0581,0)</f>
        <v>137052</v>
      </c>
      <c r="H5" s="11">
        <v>0</v>
      </c>
      <c r="I5" s="11">
        <v>0</v>
      </c>
      <c r="J5" s="11">
        <v>0</v>
      </c>
      <c r="K5" s="126" t="s">
        <v>263</v>
      </c>
    </row>
    <row r="6" spans="1:19" s="5" customFormat="1" ht="40.5" customHeight="1">
      <c r="A6" s="525"/>
      <c r="B6" s="14" t="s">
        <v>55</v>
      </c>
      <c r="C6" s="15" t="str">
        <f>"A = "&amp;" ㎡"</f>
        <v>A =  ㎡</v>
      </c>
      <c r="D6" s="8"/>
      <c r="E6" s="8">
        <f t="shared" ref="E6:E7" si="1">SUM(G6:J6)</f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26"/>
    </row>
    <row r="7" spans="1:19" s="5" customFormat="1" ht="40.5" customHeight="1">
      <c r="A7" s="528"/>
      <c r="B7" s="16" t="s">
        <v>56</v>
      </c>
      <c r="C7" s="16"/>
      <c r="D7" s="17"/>
      <c r="E7" s="17">
        <f t="shared" si="1"/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27"/>
    </row>
    <row r="8" spans="1:19" s="106" customFormat="1" ht="23.1" customHeight="1">
      <c r="A8" s="538" t="s">
        <v>289</v>
      </c>
      <c r="B8" s="538"/>
      <c r="C8" s="538"/>
      <c r="D8" s="538"/>
      <c r="E8" s="538"/>
      <c r="F8" s="538"/>
      <c r="G8" s="538"/>
      <c r="H8" s="538"/>
      <c r="I8" s="538"/>
      <c r="J8" s="538"/>
      <c r="K8" s="538"/>
    </row>
    <row r="9" spans="1:19" s="106" customFormat="1" ht="23.1" customHeight="1">
      <c r="A9" s="106" t="s">
        <v>290</v>
      </c>
      <c r="K9" s="114"/>
    </row>
    <row r="10" spans="1:19" s="106" customFormat="1" ht="23.1" customHeight="1">
      <c r="K10" s="114"/>
      <c r="P10" s="433"/>
      <c r="Q10" s="433"/>
      <c r="R10" s="433"/>
      <c r="S10" s="433"/>
    </row>
    <row r="11" spans="1:19" s="106" customFormat="1" ht="23.1" customHeight="1">
      <c r="K11" s="114"/>
    </row>
    <row r="12" spans="1:19" s="106" customFormat="1" ht="23.1" customHeight="1">
      <c r="K12" s="114"/>
    </row>
    <row r="13" spans="1:19" s="106" customFormat="1" ht="23.1" customHeight="1">
      <c r="K13" s="114"/>
    </row>
    <row r="14" spans="1:19" s="106" customFormat="1" ht="23.1" customHeight="1">
      <c r="K14" s="114"/>
    </row>
    <row r="15" spans="1:19" s="106" customFormat="1" ht="23.1" customHeight="1">
      <c r="K15" s="114"/>
    </row>
  </sheetData>
  <mergeCells count="7">
    <mergeCell ref="P10:S10"/>
    <mergeCell ref="A1:D1"/>
    <mergeCell ref="A8:K8"/>
    <mergeCell ref="A2:C2"/>
    <mergeCell ref="A3:A7"/>
    <mergeCell ref="B3:C3"/>
    <mergeCell ref="B4:C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3"/>
  <sheetViews>
    <sheetView tabSelected="1" view="pageBreakPreview" zoomScale="85" zoomScaleNormal="100" zoomScaleSheetLayoutView="85" workbookViewId="0">
      <selection activeCell="N6" sqref="N6"/>
    </sheetView>
  </sheetViews>
  <sheetFormatPr defaultRowHeight="20.100000000000001" customHeight="1"/>
  <cols>
    <col min="1" max="1" width="6.25" style="114" customWidth="1"/>
    <col min="2" max="2" width="8.375" style="114" customWidth="1"/>
    <col min="3" max="3" width="12.125" style="114" customWidth="1"/>
    <col min="4" max="4" width="7.5" style="145" customWidth="1"/>
    <col min="5" max="5" width="11.25" style="145" customWidth="1"/>
    <col min="6" max="6" width="7.75" style="265" bestFit="1" customWidth="1"/>
    <col min="7" max="7" width="9.375" style="114" bestFit="1" customWidth="1"/>
    <col min="8" max="9" width="8.5" style="114" bestFit="1" customWidth="1"/>
    <col min="10" max="10" width="8.375" style="114" hidden="1" customWidth="1"/>
    <col min="11" max="16384" width="9" style="114"/>
  </cols>
  <sheetData>
    <row r="1" spans="1:14" ht="27.75" customHeight="1">
      <c r="A1" s="149" t="s">
        <v>330</v>
      </c>
    </row>
    <row r="2" spans="1:14" ht="20.100000000000001" customHeight="1">
      <c r="A2" s="400" t="s">
        <v>302</v>
      </c>
      <c r="B2" s="401"/>
      <c r="C2" s="401"/>
      <c r="D2" s="146" t="s">
        <v>301</v>
      </c>
      <c r="E2" s="146" t="s">
        <v>210</v>
      </c>
      <c r="F2" s="266" t="s">
        <v>320</v>
      </c>
      <c r="G2" s="329" t="s">
        <v>205</v>
      </c>
      <c r="H2" s="329" t="s">
        <v>207</v>
      </c>
      <c r="I2" s="118" t="s">
        <v>206</v>
      </c>
      <c r="J2" s="335" t="s">
        <v>277</v>
      </c>
      <c r="L2" s="333"/>
      <c r="M2" s="333"/>
      <c r="N2" s="333"/>
    </row>
    <row r="3" spans="1:14" ht="20.100000000000001" customHeight="1">
      <c r="A3" s="417" t="s">
        <v>303</v>
      </c>
      <c r="B3" s="411"/>
      <c r="C3" s="339" t="s">
        <v>143</v>
      </c>
      <c r="D3" s="340"/>
      <c r="E3" s="343">
        <f>SUM(G3:J3)</f>
        <v>230854</v>
      </c>
      <c r="F3" s="343">
        <v>0</v>
      </c>
      <c r="G3" s="343">
        <f>G11+G15+G19+G27+G31+G35+G39+G43+G47</f>
        <v>110191</v>
      </c>
      <c r="H3" s="343">
        <f t="shared" ref="H3:J3" si="0">H11+H15+H19+H27+H31+H35+H39+H43+H47</f>
        <v>69677</v>
      </c>
      <c r="I3" s="344">
        <f t="shared" si="0"/>
        <v>50986</v>
      </c>
      <c r="J3" s="336">
        <f t="shared" si="0"/>
        <v>0</v>
      </c>
      <c r="L3" s="265"/>
      <c r="M3" s="265"/>
      <c r="N3" s="265"/>
    </row>
    <row r="4" spans="1:14" ht="20.100000000000001" customHeight="1">
      <c r="A4" s="417"/>
      <c r="B4" s="411"/>
      <c r="C4" s="339" t="s">
        <v>294</v>
      </c>
      <c r="D4" s="340"/>
      <c r="E4" s="343">
        <f t="shared" ref="E4:E10" si="1">SUM(G4:J4)</f>
        <v>160412</v>
      </c>
      <c r="F4" s="343">
        <v>0</v>
      </c>
      <c r="G4" s="343">
        <f>G12+G16+G20+G28+G32+G36+G40+G44+G48</f>
        <v>76954</v>
      </c>
      <c r="H4" s="343">
        <f t="shared" ref="H4:J4" si="2">H12+H16+H20+H28+H32+H36+H40+H44+H48</f>
        <v>48709</v>
      </c>
      <c r="I4" s="344">
        <f t="shared" si="2"/>
        <v>34749</v>
      </c>
      <c r="J4" s="336">
        <f t="shared" si="2"/>
        <v>0</v>
      </c>
    </row>
    <row r="5" spans="1:14" ht="20.100000000000001" customHeight="1">
      <c r="A5" s="417"/>
      <c r="B5" s="411"/>
      <c r="C5" s="339" t="s">
        <v>295</v>
      </c>
      <c r="D5" s="340"/>
      <c r="E5" s="343">
        <f t="shared" si="1"/>
        <v>65428</v>
      </c>
      <c r="F5" s="343">
        <v>0</v>
      </c>
      <c r="G5" s="343">
        <f t="shared" ref="G5:J5" si="3">G13+G17+G21+G29+G33+G37+G41+G45+G49</f>
        <v>31842</v>
      </c>
      <c r="H5" s="343">
        <f t="shared" si="3"/>
        <v>20793</v>
      </c>
      <c r="I5" s="344">
        <f t="shared" si="3"/>
        <v>12793</v>
      </c>
      <c r="J5" s="336">
        <f t="shared" si="3"/>
        <v>0</v>
      </c>
    </row>
    <row r="6" spans="1:14" ht="20.100000000000001" customHeight="1">
      <c r="A6" s="417"/>
      <c r="B6" s="411"/>
      <c r="C6" s="339" t="s">
        <v>296</v>
      </c>
      <c r="D6" s="340"/>
      <c r="E6" s="343">
        <f t="shared" si="1"/>
        <v>5016</v>
      </c>
      <c r="F6" s="343">
        <v>0</v>
      </c>
      <c r="G6" s="343">
        <f t="shared" ref="G6:J6" si="4">G14+G18+G22+G30+G34+G38+G42+G46+G50</f>
        <v>1396</v>
      </c>
      <c r="H6" s="343">
        <f t="shared" si="4"/>
        <v>175</v>
      </c>
      <c r="I6" s="344">
        <f t="shared" si="4"/>
        <v>3445</v>
      </c>
      <c r="J6" s="336">
        <f t="shared" si="4"/>
        <v>0</v>
      </c>
    </row>
    <row r="7" spans="1:14" ht="20.100000000000001" customHeight="1">
      <c r="A7" s="415" t="s">
        <v>306</v>
      </c>
      <c r="B7" s="414" t="s">
        <v>143</v>
      </c>
      <c r="C7" s="339" t="s">
        <v>143</v>
      </c>
      <c r="D7" s="340"/>
      <c r="E7" s="343">
        <f t="shared" si="1"/>
        <v>53479</v>
      </c>
      <c r="F7" s="343">
        <v>0</v>
      </c>
      <c r="G7" s="343">
        <f>G11+G15+G19</f>
        <v>42079</v>
      </c>
      <c r="H7" s="343">
        <f t="shared" ref="H7:J7" si="5">H11+H15+H19</f>
        <v>11400</v>
      </c>
      <c r="I7" s="344">
        <f t="shared" si="5"/>
        <v>0</v>
      </c>
      <c r="J7" s="336">
        <f t="shared" si="5"/>
        <v>0</v>
      </c>
    </row>
    <row r="8" spans="1:14" ht="20.100000000000001" customHeight="1">
      <c r="A8" s="409"/>
      <c r="B8" s="404"/>
      <c r="C8" s="339" t="s">
        <v>294</v>
      </c>
      <c r="D8" s="340"/>
      <c r="E8" s="343">
        <f t="shared" si="1"/>
        <v>37435</v>
      </c>
      <c r="F8" s="343">
        <v>0</v>
      </c>
      <c r="G8" s="343">
        <f t="shared" ref="G8:J8" si="6">G12+G16+G20</f>
        <v>29455</v>
      </c>
      <c r="H8" s="343">
        <f t="shared" si="6"/>
        <v>7980</v>
      </c>
      <c r="I8" s="344">
        <f t="shared" si="6"/>
        <v>0</v>
      </c>
      <c r="J8" s="336">
        <f t="shared" si="6"/>
        <v>0</v>
      </c>
    </row>
    <row r="9" spans="1:14" ht="20.100000000000001" customHeight="1">
      <c r="A9" s="409"/>
      <c r="B9" s="404"/>
      <c r="C9" s="339" t="s">
        <v>295</v>
      </c>
      <c r="D9" s="340"/>
      <c r="E9" s="343">
        <f t="shared" si="1"/>
        <v>16044</v>
      </c>
      <c r="F9" s="343">
        <v>0</v>
      </c>
      <c r="G9" s="343">
        <f t="shared" ref="G9:J9" si="7">G13+G17+G21</f>
        <v>12624</v>
      </c>
      <c r="H9" s="343">
        <f t="shared" si="7"/>
        <v>3420</v>
      </c>
      <c r="I9" s="344">
        <f t="shared" si="7"/>
        <v>0</v>
      </c>
      <c r="J9" s="336">
        <f t="shared" si="7"/>
        <v>0</v>
      </c>
    </row>
    <row r="10" spans="1:14" ht="20.100000000000001" customHeight="1">
      <c r="A10" s="409"/>
      <c r="B10" s="405"/>
      <c r="C10" s="339" t="s">
        <v>296</v>
      </c>
      <c r="D10" s="340"/>
      <c r="E10" s="343">
        <f t="shared" si="1"/>
        <v>0</v>
      </c>
      <c r="F10" s="343">
        <v>0</v>
      </c>
      <c r="G10" s="343">
        <f t="shared" ref="G10:J10" si="8">G14+G18+G22</f>
        <v>0</v>
      </c>
      <c r="H10" s="343">
        <f t="shared" si="8"/>
        <v>0</v>
      </c>
      <c r="I10" s="344">
        <f t="shared" si="8"/>
        <v>0</v>
      </c>
      <c r="J10" s="336">
        <f t="shared" si="8"/>
        <v>0</v>
      </c>
    </row>
    <row r="11" spans="1:14" ht="20.100000000000001" customHeight="1">
      <c r="A11" s="409"/>
      <c r="B11" s="412" t="s">
        <v>310</v>
      </c>
      <c r="C11" s="339" t="s">
        <v>143</v>
      </c>
      <c r="D11" s="340"/>
      <c r="E11" s="343">
        <f>SUM(G11:J11)</f>
        <v>0</v>
      </c>
      <c r="F11" s="343">
        <v>0</v>
      </c>
      <c r="G11" s="343">
        <f>ROUND(('9.처리시설 사업비'!G7+'9.처리시설 사업비'!G10)/1000,0)</f>
        <v>0</v>
      </c>
      <c r="H11" s="343">
        <f>ROUND(('9.처리시설 사업비'!H7+'9.처리시설 사업비'!H10)/1000,0)</f>
        <v>0</v>
      </c>
      <c r="I11" s="344">
        <f>ROUND(('9.처리시설 사업비'!I7+'9.처리시설 사업비'!I10)/1000,0)</f>
        <v>0</v>
      </c>
      <c r="J11" s="336">
        <f>ROUND(('9.처리시설 사업비'!J7+'9.처리시설 사업비'!J10)/1000,0)</f>
        <v>0</v>
      </c>
    </row>
    <row r="12" spans="1:14" ht="20.100000000000001" customHeight="1">
      <c r="A12" s="409"/>
      <c r="B12" s="411"/>
      <c r="C12" s="339" t="s">
        <v>294</v>
      </c>
      <c r="D12" s="340">
        <v>0.5</v>
      </c>
      <c r="E12" s="343">
        <f t="shared" ref="E12:E50" si="9">SUM(G12:J12)</f>
        <v>0</v>
      </c>
      <c r="F12" s="343">
        <v>0</v>
      </c>
      <c r="G12" s="343">
        <f>ROUND(G11*$D12,0)</f>
        <v>0</v>
      </c>
      <c r="H12" s="343">
        <f t="shared" ref="H12:J12" si="10">ROUND(H11*$D12,0)</f>
        <v>0</v>
      </c>
      <c r="I12" s="344">
        <f t="shared" si="10"/>
        <v>0</v>
      </c>
      <c r="J12" s="336">
        <f t="shared" si="10"/>
        <v>0</v>
      </c>
    </row>
    <row r="13" spans="1:14" ht="20.100000000000001" customHeight="1">
      <c r="A13" s="409"/>
      <c r="B13" s="411"/>
      <c r="C13" s="339" t="s">
        <v>295</v>
      </c>
      <c r="D13" s="340">
        <v>0.5</v>
      </c>
      <c r="E13" s="343">
        <f t="shared" si="9"/>
        <v>0</v>
      </c>
      <c r="F13" s="343">
        <v>0</v>
      </c>
      <c r="G13" s="343">
        <f>ROUND(G11*$D13,0)</f>
        <v>0</v>
      </c>
      <c r="H13" s="343">
        <f t="shared" ref="H13:J13" si="11">ROUND(H11*$D13,0)</f>
        <v>0</v>
      </c>
      <c r="I13" s="344">
        <f t="shared" si="11"/>
        <v>0</v>
      </c>
      <c r="J13" s="336">
        <f t="shared" si="11"/>
        <v>0</v>
      </c>
    </row>
    <row r="14" spans="1:14" ht="20.100000000000001" customHeight="1">
      <c r="A14" s="409"/>
      <c r="B14" s="411"/>
      <c r="C14" s="339" t="s">
        <v>296</v>
      </c>
      <c r="D14" s="340"/>
      <c r="E14" s="343">
        <f t="shared" si="9"/>
        <v>0</v>
      </c>
      <c r="F14" s="343">
        <v>0</v>
      </c>
      <c r="G14" s="343">
        <v>0</v>
      </c>
      <c r="H14" s="343">
        <v>0</v>
      </c>
      <c r="I14" s="344">
        <v>0</v>
      </c>
      <c r="J14" s="336"/>
    </row>
    <row r="15" spans="1:14" ht="20.100000000000001" customHeight="1">
      <c r="A15" s="409"/>
      <c r="B15" s="412" t="s">
        <v>308</v>
      </c>
      <c r="C15" s="339" t="s">
        <v>143</v>
      </c>
      <c r="D15" s="340"/>
      <c r="E15" s="343">
        <f t="shared" si="9"/>
        <v>14929</v>
      </c>
      <c r="F15" s="343">
        <v>0</v>
      </c>
      <c r="G15" s="343">
        <f>ROUND(('9.처리시설 사업비'!G9+'9.처리시설 사업비'!G11)/1000,0)</f>
        <v>14929</v>
      </c>
      <c r="H15" s="343">
        <f>ROUND(('9.처리시설 사업비'!H9+'9.처리시설 사업비'!H11)/1000,0)</f>
        <v>0</v>
      </c>
      <c r="I15" s="344">
        <f>ROUND(('9.처리시설 사업비'!I9+'9.처리시설 사업비'!I11)/1000,0)</f>
        <v>0</v>
      </c>
      <c r="J15" s="336">
        <f>ROUND(('9.처리시설 사업비'!J9+'9.처리시설 사업비'!J11)/1000,0)</f>
        <v>0</v>
      </c>
    </row>
    <row r="16" spans="1:14" ht="20.100000000000001" customHeight="1">
      <c r="A16" s="409"/>
      <c r="B16" s="411"/>
      <c r="C16" s="339" t="s">
        <v>294</v>
      </c>
      <c r="D16" s="340">
        <v>0.7</v>
      </c>
      <c r="E16" s="343">
        <f t="shared" si="9"/>
        <v>10450</v>
      </c>
      <c r="F16" s="343">
        <v>0</v>
      </c>
      <c r="G16" s="343">
        <f>ROUND(G15*$D16,0)</f>
        <v>10450</v>
      </c>
      <c r="H16" s="343">
        <f t="shared" ref="H16" si="12">ROUND(H15*$D16,0)</f>
        <v>0</v>
      </c>
      <c r="I16" s="344">
        <f t="shared" ref="I16" si="13">ROUND(I15*$D16,0)</f>
        <v>0</v>
      </c>
      <c r="J16" s="336">
        <f t="shared" ref="J16" si="14">ROUND(J15*$D16,0)</f>
        <v>0</v>
      </c>
    </row>
    <row r="17" spans="1:10" ht="20.100000000000001" customHeight="1">
      <c r="A17" s="409"/>
      <c r="B17" s="411"/>
      <c r="C17" s="339" t="s">
        <v>295</v>
      </c>
      <c r="D17" s="340">
        <v>0.3</v>
      </c>
      <c r="E17" s="343">
        <f t="shared" si="9"/>
        <v>4479</v>
      </c>
      <c r="F17" s="343">
        <v>0</v>
      </c>
      <c r="G17" s="343">
        <f>ROUND(G15*$D17,0)</f>
        <v>4479</v>
      </c>
      <c r="H17" s="343">
        <f t="shared" ref="H17:J17" si="15">ROUND(H15*$D17,0)</f>
        <v>0</v>
      </c>
      <c r="I17" s="344">
        <f t="shared" si="15"/>
        <v>0</v>
      </c>
      <c r="J17" s="336">
        <f t="shared" si="15"/>
        <v>0</v>
      </c>
    </row>
    <row r="18" spans="1:10" ht="20.100000000000001" customHeight="1">
      <c r="A18" s="409"/>
      <c r="B18" s="411"/>
      <c r="C18" s="339" t="s">
        <v>296</v>
      </c>
      <c r="D18" s="340"/>
      <c r="E18" s="343">
        <f t="shared" si="9"/>
        <v>0</v>
      </c>
      <c r="F18" s="343">
        <v>0</v>
      </c>
      <c r="G18" s="343">
        <v>0</v>
      </c>
      <c r="H18" s="343">
        <v>0</v>
      </c>
      <c r="I18" s="344">
        <v>0</v>
      </c>
      <c r="J18" s="336"/>
    </row>
    <row r="19" spans="1:10" ht="20.100000000000001" customHeight="1">
      <c r="A19" s="409"/>
      <c r="B19" s="412" t="s">
        <v>309</v>
      </c>
      <c r="C19" s="339" t="s">
        <v>143</v>
      </c>
      <c r="D19" s="340"/>
      <c r="E19" s="343">
        <f t="shared" si="9"/>
        <v>38550</v>
      </c>
      <c r="F19" s="343">
        <v>0</v>
      </c>
      <c r="G19" s="343">
        <f>ROUND(('5. 소규모하수도 사업비'!E4+'5. 소규모하수도 사업비'!I4+'5. 소규모하수도 사업비'!J4+'5. 소규모하수도 사업비'!K4)/1000,0)</f>
        <v>27150</v>
      </c>
      <c r="H19" s="343">
        <f>ROUND(('5. 소규모하수도 사업비'!M4+'5. 소규모하수도 사업비'!Q4+'5. 소규모하수도 사업비'!R4+'5. 소규모하수도 사업비'!S4)/1000,0)</f>
        <v>11400</v>
      </c>
      <c r="I19" s="344">
        <v>0</v>
      </c>
      <c r="J19" s="336">
        <v>0</v>
      </c>
    </row>
    <row r="20" spans="1:10" ht="20.100000000000001" customHeight="1">
      <c r="A20" s="409"/>
      <c r="B20" s="411"/>
      <c r="C20" s="339" t="s">
        <v>294</v>
      </c>
      <c r="D20" s="340">
        <v>0.7</v>
      </c>
      <c r="E20" s="343">
        <f t="shared" si="9"/>
        <v>26985</v>
      </c>
      <c r="F20" s="343">
        <v>0</v>
      </c>
      <c r="G20" s="343">
        <f>ROUND((G19-G22)*$D20,0)</f>
        <v>19005</v>
      </c>
      <c r="H20" s="343">
        <f>ROUND((H19-H22)*$D20,0)</f>
        <v>7980</v>
      </c>
      <c r="I20" s="344">
        <f t="shared" ref="I20" si="16">ROUND(I19*$D20,0)</f>
        <v>0</v>
      </c>
      <c r="J20" s="336">
        <f t="shared" ref="J20" si="17">ROUND(J19*$D20,0)</f>
        <v>0</v>
      </c>
    </row>
    <row r="21" spans="1:10" ht="20.100000000000001" customHeight="1">
      <c r="A21" s="409"/>
      <c r="B21" s="411"/>
      <c r="C21" s="339" t="s">
        <v>295</v>
      </c>
      <c r="D21" s="340">
        <v>0.3</v>
      </c>
      <c r="E21" s="343">
        <f t="shared" si="9"/>
        <v>11565</v>
      </c>
      <c r="F21" s="343">
        <v>0</v>
      </c>
      <c r="G21" s="343">
        <f>ROUND((G19-G22)*$D21,0)</f>
        <v>8145</v>
      </c>
      <c r="H21" s="343">
        <f>ROUND((H19-H22)*$D21,0)</f>
        <v>3420</v>
      </c>
      <c r="I21" s="344">
        <f t="shared" ref="I21:J21" si="18">ROUND(I19*$D21,0)</f>
        <v>0</v>
      </c>
      <c r="J21" s="336">
        <f t="shared" si="18"/>
        <v>0</v>
      </c>
    </row>
    <row r="22" spans="1:10" ht="20.100000000000001" customHeight="1">
      <c r="A22" s="416"/>
      <c r="B22" s="411"/>
      <c r="C22" s="339" t="s">
        <v>296</v>
      </c>
      <c r="D22" s="340"/>
      <c r="E22" s="343">
        <f t="shared" si="9"/>
        <v>0</v>
      </c>
      <c r="F22" s="343">
        <v>0</v>
      </c>
      <c r="G22" s="343">
        <v>0</v>
      </c>
      <c r="H22" s="343">
        <v>0</v>
      </c>
      <c r="I22" s="344">
        <v>0</v>
      </c>
      <c r="J22" s="336"/>
    </row>
    <row r="23" spans="1:10" ht="20.100000000000001" customHeight="1">
      <c r="A23" s="415" t="s">
        <v>307</v>
      </c>
      <c r="B23" s="414" t="s">
        <v>143</v>
      </c>
      <c r="C23" s="339" t="s">
        <v>143</v>
      </c>
      <c r="D23" s="340"/>
      <c r="E23" s="343">
        <f t="shared" si="9"/>
        <v>177375</v>
      </c>
      <c r="F23" s="343">
        <v>0</v>
      </c>
      <c r="G23" s="343">
        <f>G27+G31+G35+G39+G43+G47</f>
        <v>68112</v>
      </c>
      <c r="H23" s="343">
        <f t="shared" ref="H23:J23" si="19">H27+H31+H35+H39+H43+H47</f>
        <v>58277</v>
      </c>
      <c r="I23" s="344">
        <f t="shared" si="19"/>
        <v>50986</v>
      </c>
      <c r="J23" s="336">
        <f t="shared" si="19"/>
        <v>0</v>
      </c>
    </row>
    <row r="24" spans="1:10" ht="20.100000000000001" customHeight="1">
      <c r="A24" s="409"/>
      <c r="B24" s="404"/>
      <c r="C24" s="339" t="s">
        <v>294</v>
      </c>
      <c r="D24" s="340"/>
      <c r="E24" s="343">
        <f t="shared" si="9"/>
        <v>122977</v>
      </c>
      <c r="F24" s="343">
        <v>0</v>
      </c>
      <c r="G24" s="343">
        <f t="shared" ref="G24:J24" si="20">G28+G32+G36+G40+G44+G48</f>
        <v>47499</v>
      </c>
      <c r="H24" s="343">
        <f t="shared" si="20"/>
        <v>40729</v>
      </c>
      <c r="I24" s="344">
        <f t="shared" si="20"/>
        <v>34749</v>
      </c>
      <c r="J24" s="336">
        <f t="shared" si="20"/>
        <v>0</v>
      </c>
    </row>
    <row r="25" spans="1:10" ht="20.100000000000001" customHeight="1">
      <c r="A25" s="409"/>
      <c r="B25" s="404"/>
      <c r="C25" s="339" t="s">
        <v>295</v>
      </c>
      <c r="D25" s="340"/>
      <c r="E25" s="343">
        <f t="shared" si="9"/>
        <v>49384</v>
      </c>
      <c r="F25" s="343">
        <v>0</v>
      </c>
      <c r="G25" s="343">
        <f t="shared" ref="G25:J25" si="21">G29+G33+G37+G41+G45+G49</f>
        <v>19218</v>
      </c>
      <c r="H25" s="343">
        <f t="shared" si="21"/>
        <v>17373</v>
      </c>
      <c r="I25" s="344">
        <f t="shared" si="21"/>
        <v>12793</v>
      </c>
      <c r="J25" s="336">
        <f t="shared" si="21"/>
        <v>0</v>
      </c>
    </row>
    <row r="26" spans="1:10" ht="20.100000000000001" customHeight="1">
      <c r="A26" s="409"/>
      <c r="B26" s="405"/>
      <c r="C26" s="339" t="s">
        <v>296</v>
      </c>
      <c r="D26" s="340"/>
      <c r="E26" s="343">
        <f t="shared" si="9"/>
        <v>5016</v>
      </c>
      <c r="F26" s="343">
        <v>0</v>
      </c>
      <c r="G26" s="343">
        <f t="shared" ref="G26:J26" si="22">G30+G34+G38+G42+G46+G50</f>
        <v>1396</v>
      </c>
      <c r="H26" s="343">
        <f t="shared" si="22"/>
        <v>175</v>
      </c>
      <c r="I26" s="344">
        <f t="shared" si="22"/>
        <v>3445</v>
      </c>
      <c r="J26" s="336">
        <f t="shared" si="22"/>
        <v>0</v>
      </c>
    </row>
    <row r="27" spans="1:10" ht="20.100000000000001" customHeight="1">
      <c r="A27" s="409"/>
      <c r="B27" s="411" t="s">
        <v>297</v>
      </c>
      <c r="C27" s="339" t="s">
        <v>143</v>
      </c>
      <c r="D27" s="340"/>
      <c r="E27" s="343">
        <f t="shared" si="9"/>
        <v>124705</v>
      </c>
      <c r="F27" s="343">
        <v>0</v>
      </c>
      <c r="G27" s="343">
        <f>ROUND(('1. 하수관거 사업비'!H7+'1. 하수관거 사업비'!H11+'1. 하수관거 사업비'!H19+'1. 하수관거 사업비'!H20+'1. 하수관거 사업비'!H23+'5. 소규모하수도 사업비'!F4+'0. 총괄사업비'!F19)/1000,0)</f>
        <v>51761</v>
      </c>
      <c r="H27" s="343">
        <f>ROUND(('1. 하수관거 사업비'!I7+'1. 하수관거 사업비'!I11+'1. 하수관거 사업비'!I19+'1. 하수관거 사업비'!I20+'1. 하수관거 사업비'!I23+'5. 소규모하수도 사업비'!N4+'0. 총괄사업비'!G19)/1000,0)</f>
        <v>49304</v>
      </c>
      <c r="I27" s="344">
        <f>ROUND(('1. 하수관거 사업비'!J7+'1. 하수관거 사업비'!J11+'1. 하수관거 사업비'!J19+'1. 하수관거 사업비'!J20+'1. 하수관거 사업비'!J23+'0. 총괄사업비'!H19)/1000,0)</f>
        <v>23640</v>
      </c>
      <c r="J27" s="336">
        <f>ROUND(('1. 하수관거 사업비'!K7+'1. 하수관거 사업비'!K11+'1. 하수관거 사업비'!K19+'1. 하수관거 사업비'!K20+'1. 하수관거 사업비'!K23)/1000,0)</f>
        <v>0</v>
      </c>
    </row>
    <row r="28" spans="1:10" ht="20.100000000000001" customHeight="1">
      <c r="A28" s="409"/>
      <c r="B28" s="411"/>
      <c r="C28" s="339" t="s">
        <v>294</v>
      </c>
      <c r="D28" s="340">
        <v>0.7</v>
      </c>
      <c r="E28" s="343">
        <f t="shared" si="9"/>
        <v>87294</v>
      </c>
      <c r="F28" s="343">
        <v>0</v>
      </c>
      <c r="G28" s="343">
        <f>ROUND(G27*$D28,0)</f>
        <v>36233</v>
      </c>
      <c r="H28" s="343">
        <f t="shared" ref="H28" si="23">ROUND(H27*$D28,0)</f>
        <v>34513</v>
      </c>
      <c r="I28" s="344">
        <f t="shared" ref="I28" si="24">ROUND(I27*$D28,0)</f>
        <v>16548</v>
      </c>
      <c r="J28" s="336">
        <f t="shared" ref="J28" si="25">ROUND(J27*$D28,0)</f>
        <v>0</v>
      </c>
    </row>
    <row r="29" spans="1:10" ht="20.100000000000001" customHeight="1">
      <c r="A29" s="409"/>
      <c r="B29" s="411"/>
      <c r="C29" s="339" t="s">
        <v>295</v>
      </c>
      <c r="D29" s="340">
        <v>0.3</v>
      </c>
      <c r="E29" s="343">
        <f t="shared" si="9"/>
        <v>37411</v>
      </c>
      <c r="F29" s="343">
        <v>0</v>
      </c>
      <c r="G29" s="343">
        <f>ROUND(G27*$D29,0)</f>
        <v>15528</v>
      </c>
      <c r="H29" s="343">
        <f t="shared" ref="H29:J29" si="26">ROUND(H27*$D29,0)</f>
        <v>14791</v>
      </c>
      <c r="I29" s="344">
        <f t="shared" si="26"/>
        <v>7092</v>
      </c>
      <c r="J29" s="336">
        <f t="shared" si="26"/>
        <v>0</v>
      </c>
    </row>
    <row r="30" spans="1:10" ht="20.100000000000001" customHeight="1">
      <c r="A30" s="409"/>
      <c r="B30" s="411"/>
      <c r="C30" s="339" t="s">
        <v>296</v>
      </c>
      <c r="D30" s="340"/>
      <c r="E30" s="343">
        <f t="shared" si="9"/>
        <v>0</v>
      </c>
      <c r="F30" s="343">
        <v>0</v>
      </c>
      <c r="G30" s="343">
        <v>0</v>
      </c>
      <c r="H30" s="343">
        <v>0</v>
      </c>
      <c r="I30" s="344">
        <v>0</v>
      </c>
      <c r="J30" s="336"/>
    </row>
    <row r="31" spans="1:10" ht="20.100000000000001" customHeight="1">
      <c r="A31" s="409"/>
      <c r="B31" s="411" t="s">
        <v>298</v>
      </c>
      <c r="C31" s="339" t="s">
        <v>143</v>
      </c>
      <c r="D31" s="340"/>
      <c r="E31" s="343">
        <f t="shared" si="9"/>
        <v>21119</v>
      </c>
      <c r="F31" s="343">
        <v>0</v>
      </c>
      <c r="G31" s="343">
        <f>ROUND(('1. 하수관거 사업비'!H8+'1. 하수관거 사업비'!H12+'1. 하수관거 사업비'!H14+'1. 하수관거 사업비'!H18)/1000,0)</f>
        <v>4652</v>
      </c>
      <c r="H31" s="343">
        <f>ROUND(('1. 하수관거 사업비'!I8+'1. 하수관거 사업비'!I12+'1. 하수관거 사업비'!I14+'1. 하수관거 사업비'!I18)/1000,0)</f>
        <v>582</v>
      </c>
      <c r="I31" s="344">
        <f>ROUND(('1. 하수관거 사업비'!J8+'1. 하수관거 사업비'!J12+'1. 하수관거 사업비'!J14+'1. 하수관거 사업비'!J18)/1000,0)</f>
        <v>15885</v>
      </c>
      <c r="J31" s="336">
        <f>ROUND(('1. 하수관거 사업비'!K8+'1. 하수관거 사업비'!K12+'1. 하수관거 사업비'!K14+'1. 하수관거 사업비'!K18)/1000,0)</f>
        <v>0</v>
      </c>
    </row>
    <row r="32" spans="1:10" ht="20.100000000000001" customHeight="1">
      <c r="A32" s="409"/>
      <c r="B32" s="411"/>
      <c r="C32" s="339" t="s">
        <v>294</v>
      </c>
      <c r="D32" s="340">
        <v>0.7</v>
      </c>
      <c r="E32" s="343">
        <f t="shared" si="9"/>
        <v>14783</v>
      </c>
      <c r="F32" s="343">
        <v>0</v>
      </c>
      <c r="G32" s="343">
        <f>ROUND(G31*$D32,0)</f>
        <v>3256</v>
      </c>
      <c r="H32" s="343">
        <f t="shared" ref="H32" si="27">ROUND(H31*$D32,0)</f>
        <v>407</v>
      </c>
      <c r="I32" s="344">
        <f t="shared" ref="I32" si="28">ROUND(I31*$D32,0)</f>
        <v>11120</v>
      </c>
      <c r="J32" s="336">
        <f t="shared" ref="J32" si="29">ROUND(J31*$D32,0)</f>
        <v>0</v>
      </c>
    </row>
    <row r="33" spans="1:10" ht="20.100000000000001" customHeight="1">
      <c r="A33" s="409"/>
      <c r="B33" s="411"/>
      <c r="C33" s="339" t="s">
        <v>295</v>
      </c>
      <c r="D33" s="340">
        <v>0.3</v>
      </c>
      <c r="E33" s="343">
        <f>SUM(G33:J33)</f>
        <v>1321</v>
      </c>
      <c r="F33" s="343">
        <v>0</v>
      </c>
      <c r="G33" s="343">
        <v>0</v>
      </c>
      <c r="H33" s="343">
        <v>0</v>
      </c>
      <c r="I33" s="344">
        <v>1321</v>
      </c>
      <c r="J33" s="336">
        <f t="shared" ref="J33" si="30">ROUND(J31*$D33,0)</f>
        <v>0</v>
      </c>
    </row>
    <row r="34" spans="1:10" ht="20.100000000000001" customHeight="1">
      <c r="A34" s="418"/>
      <c r="B34" s="413"/>
      <c r="C34" s="341" t="s">
        <v>296</v>
      </c>
      <c r="D34" s="342"/>
      <c r="E34" s="345">
        <f t="shared" si="9"/>
        <v>5016</v>
      </c>
      <c r="F34" s="345">
        <v>0</v>
      </c>
      <c r="G34" s="345">
        <v>1396</v>
      </c>
      <c r="H34" s="345">
        <v>175</v>
      </c>
      <c r="I34" s="346">
        <v>3445</v>
      </c>
      <c r="J34" s="337"/>
    </row>
    <row r="35" spans="1:10" ht="20.100000000000001" customHeight="1">
      <c r="A35" s="409" t="s">
        <v>311</v>
      </c>
      <c r="B35" s="405" t="s">
        <v>299</v>
      </c>
      <c r="C35" s="330" t="s">
        <v>143</v>
      </c>
      <c r="D35" s="164"/>
      <c r="E35" s="347">
        <f t="shared" si="9"/>
        <v>2967</v>
      </c>
      <c r="F35" s="347">
        <v>0</v>
      </c>
      <c r="G35" s="347">
        <f>ROUND(('1. 하수관거 사업비'!H9+'1. 하수관거 사업비'!H13)/1000,0)</f>
        <v>450</v>
      </c>
      <c r="H35" s="347">
        <f>ROUND(('1. 하수관거 사업비'!I9+'1. 하수관거 사업비'!I13)/1000,0)</f>
        <v>163</v>
      </c>
      <c r="I35" s="348">
        <f>ROUND(('1. 하수관거 사업비'!J9+'1. 하수관거 사업비'!J13)/1000,0)</f>
        <v>2354</v>
      </c>
      <c r="J35" s="338">
        <f>ROUND(('1. 하수관거 사업비'!K9+'1. 하수관거 사업비'!K13)/1000,0)</f>
        <v>0</v>
      </c>
    </row>
    <row r="36" spans="1:10" ht="20.100000000000001" customHeight="1">
      <c r="A36" s="407"/>
      <c r="B36" s="411"/>
      <c r="C36" s="339" t="s">
        <v>294</v>
      </c>
      <c r="D36" s="340">
        <v>0.3</v>
      </c>
      <c r="E36" s="343">
        <f t="shared" si="9"/>
        <v>890</v>
      </c>
      <c r="F36" s="343">
        <v>0</v>
      </c>
      <c r="G36" s="343">
        <f>ROUND(G35*$D36,0)</f>
        <v>135</v>
      </c>
      <c r="H36" s="343">
        <f t="shared" ref="H36" si="31">ROUND(H35*$D36,0)</f>
        <v>49</v>
      </c>
      <c r="I36" s="344">
        <f t="shared" ref="I36" si="32">ROUND(I35*$D36,0)</f>
        <v>706</v>
      </c>
      <c r="J36" s="336">
        <f t="shared" ref="J36" si="33">ROUND(J35*$D36,0)</f>
        <v>0</v>
      </c>
    </row>
    <row r="37" spans="1:10" ht="20.100000000000001" customHeight="1">
      <c r="A37" s="407"/>
      <c r="B37" s="411"/>
      <c r="C37" s="339" t="s">
        <v>295</v>
      </c>
      <c r="D37" s="340">
        <v>0.7</v>
      </c>
      <c r="E37" s="343">
        <f t="shared" si="9"/>
        <v>2077</v>
      </c>
      <c r="F37" s="343">
        <v>0</v>
      </c>
      <c r="G37" s="343">
        <f>ROUND(G35*$D37,0)</f>
        <v>315</v>
      </c>
      <c r="H37" s="343">
        <f t="shared" ref="H37:J37" si="34">ROUND(H35*$D37,0)</f>
        <v>114</v>
      </c>
      <c r="I37" s="344">
        <f t="shared" si="34"/>
        <v>1648</v>
      </c>
      <c r="J37" s="336">
        <f t="shared" si="34"/>
        <v>0</v>
      </c>
    </row>
    <row r="38" spans="1:10" ht="20.100000000000001" customHeight="1">
      <c r="A38" s="407"/>
      <c r="B38" s="411"/>
      <c r="C38" s="339" t="s">
        <v>296</v>
      </c>
      <c r="D38" s="340"/>
      <c r="E38" s="343">
        <f t="shared" si="9"/>
        <v>0</v>
      </c>
      <c r="F38" s="343">
        <v>0</v>
      </c>
      <c r="G38" s="343">
        <v>0</v>
      </c>
      <c r="H38" s="343">
        <v>0</v>
      </c>
      <c r="I38" s="344">
        <v>0</v>
      </c>
      <c r="J38" s="336"/>
    </row>
    <row r="39" spans="1:10" ht="20.100000000000001" customHeight="1">
      <c r="A39" s="407"/>
      <c r="B39" s="411" t="s">
        <v>243</v>
      </c>
      <c r="C39" s="339" t="s">
        <v>143</v>
      </c>
      <c r="D39" s="340"/>
      <c r="E39" s="343">
        <f t="shared" si="9"/>
        <v>17384</v>
      </c>
      <c r="F39" s="343">
        <v>0</v>
      </c>
      <c r="G39" s="343">
        <f>ROUND(('1. 하수관거 사업비'!H15+'5. 소규모하수도 사업비'!G4)/1000,0)</f>
        <v>8465</v>
      </c>
      <c r="H39" s="343">
        <f>ROUND(('1. 하수관거 사업비'!I15+'5. 소규모하수도 사업비'!O4)/1000,0)</f>
        <v>8100</v>
      </c>
      <c r="I39" s="344">
        <f>ROUND(('1. 하수관거 사업비'!J15)/1000,0)</f>
        <v>819</v>
      </c>
      <c r="J39" s="336">
        <f>ROUND(('1. 하수관거 사업비'!K15)/1000,0)</f>
        <v>0</v>
      </c>
    </row>
    <row r="40" spans="1:10" ht="20.100000000000001" customHeight="1">
      <c r="A40" s="407"/>
      <c r="B40" s="411"/>
      <c r="C40" s="339" t="s">
        <v>294</v>
      </c>
      <c r="D40" s="340">
        <v>0.7</v>
      </c>
      <c r="E40" s="343">
        <f t="shared" si="9"/>
        <v>12169</v>
      </c>
      <c r="F40" s="343">
        <v>0</v>
      </c>
      <c r="G40" s="343">
        <f>ROUND(G39*$D40,0)</f>
        <v>5926</v>
      </c>
      <c r="H40" s="343">
        <f t="shared" ref="H40" si="35">ROUND(H39*$D40,0)</f>
        <v>5670</v>
      </c>
      <c r="I40" s="344">
        <f t="shared" ref="I40" si="36">ROUND(I39*$D40,0)</f>
        <v>573</v>
      </c>
      <c r="J40" s="336">
        <f t="shared" ref="J40" si="37">ROUND(J39*$D40,0)</f>
        <v>0</v>
      </c>
    </row>
    <row r="41" spans="1:10" ht="20.100000000000001" customHeight="1">
      <c r="A41" s="407"/>
      <c r="B41" s="411"/>
      <c r="C41" s="339" t="s">
        <v>295</v>
      </c>
      <c r="D41" s="340">
        <v>0.3</v>
      </c>
      <c r="E41" s="343">
        <f t="shared" si="9"/>
        <v>5216</v>
      </c>
      <c r="F41" s="343">
        <v>0</v>
      </c>
      <c r="G41" s="343">
        <f>ROUND(G39*$D41,0)</f>
        <v>2540</v>
      </c>
      <c r="H41" s="343">
        <f t="shared" ref="H41:J41" si="38">ROUND(H39*$D41,0)</f>
        <v>2430</v>
      </c>
      <c r="I41" s="344">
        <f t="shared" si="38"/>
        <v>246</v>
      </c>
      <c r="J41" s="336">
        <f t="shared" si="38"/>
        <v>0</v>
      </c>
    </row>
    <row r="42" spans="1:10" ht="20.100000000000001" customHeight="1">
      <c r="A42" s="407"/>
      <c r="B42" s="411"/>
      <c r="C42" s="339" t="s">
        <v>296</v>
      </c>
      <c r="D42" s="340"/>
      <c r="E42" s="343">
        <f t="shared" si="9"/>
        <v>0</v>
      </c>
      <c r="F42" s="343">
        <v>0</v>
      </c>
      <c r="G42" s="343">
        <v>0</v>
      </c>
      <c r="H42" s="343">
        <v>0</v>
      </c>
      <c r="I42" s="344">
        <v>0</v>
      </c>
      <c r="J42" s="336"/>
    </row>
    <row r="43" spans="1:10" ht="20.100000000000001" customHeight="1">
      <c r="A43" s="407"/>
      <c r="B43" s="411" t="s">
        <v>300</v>
      </c>
      <c r="C43" s="339" t="s">
        <v>143</v>
      </c>
      <c r="D43" s="340"/>
      <c r="E43" s="343">
        <f t="shared" si="9"/>
        <v>2912</v>
      </c>
      <c r="F43" s="343">
        <v>0</v>
      </c>
      <c r="G43" s="343">
        <f>ROUND(('1. 하수관거 사업비'!H16+'10. 빗물펌프장 사업비'!G3+'5. 소규모하수도 사업비'!H4)/1000,0)</f>
        <v>2784</v>
      </c>
      <c r="H43" s="343">
        <f>ROUND(('1. 하수관거 사업비'!I16+'10. 빗물펌프장 사업비'!H3+'5. 소규모하수도 사업비'!P4)/1000,0)</f>
        <v>128</v>
      </c>
      <c r="I43" s="344">
        <f>ROUND(('1. 하수관거 사업비'!J16+'10. 빗물펌프장 사업비'!I3)/1000,0)</f>
        <v>0</v>
      </c>
      <c r="J43" s="336">
        <f>ROUND(('1. 하수관거 사업비'!K16+'10. 빗물펌프장 사업비'!J3)/1000,0)</f>
        <v>0</v>
      </c>
    </row>
    <row r="44" spans="1:10" ht="20.100000000000001" customHeight="1">
      <c r="A44" s="407"/>
      <c r="B44" s="411"/>
      <c r="C44" s="339" t="s">
        <v>294</v>
      </c>
      <c r="D44" s="340">
        <v>0.7</v>
      </c>
      <c r="E44" s="343">
        <f t="shared" si="9"/>
        <v>2039</v>
      </c>
      <c r="F44" s="343">
        <v>0</v>
      </c>
      <c r="G44" s="343">
        <f>ROUND(G43*$D44,0)</f>
        <v>1949</v>
      </c>
      <c r="H44" s="343">
        <f t="shared" ref="H44" si="39">ROUND(H43*$D44,0)</f>
        <v>90</v>
      </c>
      <c r="I44" s="344">
        <f t="shared" ref="I44" si="40">ROUND(I43*$D44,0)</f>
        <v>0</v>
      </c>
      <c r="J44" s="336">
        <f t="shared" ref="J44" si="41">ROUND(J43*$D44,0)</f>
        <v>0</v>
      </c>
    </row>
    <row r="45" spans="1:10" ht="20.100000000000001" customHeight="1">
      <c r="A45" s="407"/>
      <c r="B45" s="411"/>
      <c r="C45" s="339" t="s">
        <v>295</v>
      </c>
      <c r="D45" s="340">
        <v>0.3</v>
      </c>
      <c r="E45" s="343">
        <f t="shared" si="9"/>
        <v>873</v>
      </c>
      <c r="F45" s="343">
        <v>0</v>
      </c>
      <c r="G45" s="343">
        <f>ROUND(G43*$D45,0)</f>
        <v>835</v>
      </c>
      <c r="H45" s="343">
        <f t="shared" ref="H45:J45" si="42">ROUND(H43*$D45,0)</f>
        <v>38</v>
      </c>
      <c r="I45" s="344">
        <f t="shared" si="42"/>
        <v>0</v>
      </c>
      <c r="J45" s="336">
        <f t="shared" si="42"/>
        <v>0</v>
      </c>
    </row>
    <row r="46" spans="1:10" ht="20.100000000000001" customHeight="1">
      <c r="A46" s="407"/>
      <c r="B46" s="411"/>
      <c r="C46" s="339" t="s">
        <v>296</v>
      </c>
      <c r="D46" s="340"/>
      <c r="E46" s="343">
        <f>SUM(G46:J46)</f>
        <v>0</v>
      </c>
      <c r="F46" s="343">
        <v>0</v>
      </c>
      <c r="G46" s="343">
        <v>0</v>
      </c>
      <c r="H46" s="343">
        <v>0</v>
      </c>
      <c r="I46" s="344">
        <v>0</v>
      </c>
      <c r="J46" s="336"/>
    </row>
    <row r="47" spans="1:10" ht="20.100000000000001" customHeight="1">
      <c r="A47" s="407"/>
      <c r="B47" s="412" t="s">
        <v>305</v>
      </c>
      <c r="C47" s="339" t="s">
        <v>143</v>
      </c>
      <c r="D47" s="340"/>
      <c r="E47" s="343">
        <f t="shared" si="9"/>
        <v>8288</v>
      </c>
      <c r="F47" s="343">
        <v>0</v>
      </c>
      <c r="G47" s="343">
        <f>'1. 하수관거 사업비'!H17</f>
        <v>0</v>
      </c>
      <c r="H47" s="343">
        <f>'1. 하수관거 사업비'!I17</f>
        <v>0</v>
      </c>
      <c r="I47" s="344">
        <f>ROUND(('1. 하수관거 사업비'!J17)/1000,0)</f>
        <v>8288</v>
      </c>
      <c r="J47" s="336">
        <f>ROUND(('1. 하수관거 사업비'!K17)/1000,0)</f>
        <v>0</v>
      </c>
    </row>
    <row r="48" spans="1:10" ht="20.100000000000001" customHeight="1">
      <c r="A48" s="407"/>
      <c r="B48" s="411"/>
      <c r="C48" s="339" t="s">
        <v>294</v>
      </c>
      <c r="D48" s="340">
        <v>0.7</v>
      </c>
      <c r="E48" s="343">
        <f t="shared" si="9"/>
        <v>5802</v>
      </c>
      <c r="F48" s="343">
        <v>0</v>
      </c>
      <c r="G48" s="343">
        <f>ROUND(G47*$D48,0)</f>
        <v>0</v>
      </c>
      <c r="H48" s="343">
        <f t="shared" ref="H48" si="43">ROUND(H47*$D48,0)</f>
        <v>0</v>
      </c>
      <c r="I48" s="344">
        <f t="shared" ref="I48" si="44">ROUND(I47*$D48,0)</f>
        <v>5802</v>
      </c>
      <c r="J48" s="336">
        <f t="shared" ref="J48" si="45">ROUND(J47*$D48,0)</f>
        <v>0</v>
      </c>
    </row>
    <row r="49" spans="1:10" ht="20.100000000000001" customHeight="1">
      <c r="A49" s="407"/>
      <c r="B49" s="411"/>
      <c r="C49" s="339" t="s">
        <v>295</v>
      </c>
      <c r="D49" s="340">
        <v>0.3</v>
      </c>
      <c r="E49" s="343">
        <f t="shared" si="9"/>
        <v>2486</v>
      </c>
      <c r="F49" s="343">
        <v>0</v>
      </c>
      <c r="G49" s="343">
        <f>ROUND(G47*$D49,0)</f>
        <v>0</v>
      </c>
      <c r="H49" s="343">
        <f t="shared" ref="H49:J49" si="46">ROUND(H47*$D49,0)</f>
        <v>0</v>
      </c>
      <c r="I49" s="344">
        <f t="shared" si="46"/>
        <v>2486</v>
      </c>
      <c r="J49" s="336">
        <f t="shared" si="46"/>
        <v>0</v>
      </c>
    </row>
    <row r="50" spans="1:10" ht="20.100000000000001" customHeight="1">
      <c r="A50" s="410"/>
      <c r="B50" s="413"/>
      <c r="C50" s="341" t="s">
        <v>296</v>
      </c>
      <c r="D50" s="342"/>
      <c r="E50" s="345">
        <f t="shared" si="9"/>
        <v>0</v>
      </c>
      <c r="F50" s="345">
        <v>0</v>
      </c>
      <c r="G50" s="345">
        <v>0</v>
      </c>
      <c r="H50" s="345">
        <v>0</v>
      </c>
      <c r="I50" s="346">
        <v>0</v>
      </c>
      <c r="J50" s="337"/>
    </row>
    <row r="51" spans="1:10" ht="20.100000000000001" customHeight="1">
      <c r="G51" s="147"/>
      <c r="H51" s="147"/>
      <c r="I51" s="147"/>
      <c r="J51" s="147"/>
    </row>
    <row r="52" spans="1:10" ht="20.100000000000001" customHeight="1">
      <c r="G52" s="147"/>
      <c r="H52" s="147"/>
    </row>
    <row r="53" spans="1:10" ht="20.100000000000001" customHeight="1">
      <c r="G53" s="147"/>
      <c r="H53" s="147"/>
      <c r="I53" s="147"/>
      <c r="J53" s="147"/>
    </row>
  </sheetData>
  <mergeCells count="16">
    <mergeCell ref="A35:A50"/>
    <mergeCell ref="B43:B46"/>
    <mergeCell ref="B47:B50"/>
    <mergeCell ref="A2:C2"/>
    <mergeCell ref="B7:B10"/>
    <mergeCell ref="A7:A22"/>
    <mergeCell ref="B23:B26"/>
    <mergeCell ref="A3:B6"/>
    <mergeCell ref="B11:B14"/>
    <mergeCell ref="B15:B18"/>
    <mergeCell ref="B19:B22"/>
    <mergeCell ref="B27:B30"/>
    <mergeCell ref="B31:B34"/>
    <mergeCell ref="B35:B38"/>
    <mergeCell ref="B39:B42"/>
    <mergeCell ref="A23:A3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Q130"/>
  <sheetViews>
    <sheetView view="pageBreakPreview" topLeftCell="A94" zoomScale="85" zoomScaleNormal="85" zoomScaleSheetLayoutView="85" workbookViewId="0">
      <selection activeCell="L20" sqref="L20"/>
    </sheetView>
  </sheetViews>
  <sheetFormatPr defaultRowHeight="17.100000000000001" customHeight="1"/>
  <cols>
    <col min="1" max="1" width="9.625" style="52" customWidth="1"/>
    <col min="2" max="2" width="7" style="52" bestFit="1" customWidth="1"/>
    <col min="3" max="3" width="9" style="52"/>
    <col min="4" max="4" width="5.875" style="52" customWidth="1"/>
    <col min="5" max="5" width="7" style="52" customWidth="1"/>
    <col min="6" max="6" width="13.5" style="52" bestFit="1" customWidth="1"/>
    <col min="7" max="7" width="15.625" style="52" bestFit="1" customWidth="1"/>
    <col min="8" max="8" width="14.75" style="52" customWidth="1"/>
    <col min="9" max="10" width="15" style="52" customWidth="1"/>
    <col min="11" max="11" width="14.625" style="52" hidden="1" customWidth="1"/>
    <col min="12" max="12" width="13.5" style="52" bestFit="1" customWidth="1"/>
    <col min="13" max="13" width="12.625" style="386" bestFit="1" customWidth="1"/>
    <col min="14" max="17" width="9" style="386"/>
    <col min="18" max="16384" width="9" style="52"/>
  </cols>
  <sheetData>
    <row r="1" spans="1:17" ht="17.100000000000001" customHeight="1">
      <c r="A1" s="433" t="s">
        <v>331</v>
      </c>
      <c r="B1" s="433"/>
      <c r="C1" s="433"/>
      <c r="D1" s="433"/>
      <c r="J1" s="120" t="s">
        <v>261</v>
      </c>
      <c r="K1" s="120" t="s">
        <v>261</v>
      </c>
    </row>
    <row r="2" spans="1:17" ht="26.25" customHeight="1">
      <c r="A2" s="436" t="s">
        <v>182</v>
      </c>
      <c r="B2" s="437"/>
      <c r="C2" s="437"/>
      <c r="D2" s="437"/>
      <c r="E2" s="437"/>
      <c r="F2" s="301" t="s">
        <v>183</v>
      </c>
      <c r="G2" s="301" t="s">
        <v>321</v>
      </c>
      <c r="H2" s="301" t="s">
        <v>312</v>
      </c>
      <c r="I2" s="301" t="s">
        <v>313</v>
      </c>
      <c r="J2" s="74" t="s">
        <v>314</v>
      </c>
      <c r="K2" s="279" t="s">
        <v>281</v>
      </c>
    </row>
    <row r="3" spans="1:17" ht="16.5" customHeight="1">
      <c r="A3" s="438" t="s">
        <v>184</v>
      </c>
      <c r="B3" s="431" t="s">
        <v>3</v>
      </c>
      <c r="C3" s="431"/>
      <c r="D3" s="431"/>
      <c r="E3" s="431"/>
      <c r="F3" s="73">
        <f>F4+F22+F23</f>
        <v>221304914</v>
      </c>
      <c r="G3" s="73">
        <f t="shared" ref="G3:H3" si="0">G4+G22+G23</f>
        <v>81490000</v>
      </c>
      <c r="H3" s="73">
        <f t="shared" si="0"/>
        <v>45209238</v>
      </c>
      <c r="I3" s="73">
        <f t="shared" ref="I3" si="1">I4+I22+I23</f>
        <v>43619786</v>
      </c>
      <c r="J3" s="80">
        <f t="shared" ref="J3" si="2">J4+J22+J23</f>
        <v>50985890</v>
      </c>
      <c r="K3" s="280">
        <f t="shared" ref="K3" si="3">K4+K22+K23</f>
        <v>0</v>
      </c>
      <c r="L3" s="53"/>
      <c r="M3" s="386">
        <f>ROUND(F3/1000,0)</f>
        <v>221305</v>
      </c>
      <c r="N3" s="386">
        <f t="shared" ref="N3:Q3" si="4">ROUND(G3/1000,0)</f>
        <v>81490</v>
      </c>
      <c r="O3" s="386">
        <f t="shared" si="4"/>
        <v>45209</v>
      </c>
      <c r="P3" s="386">
        <f t="shared" si="4"/>
        <v>43620</v>
      </c>
      <c r="Q3" s="386">
        <f t="shared" si="4"/>
        <v>50986</v>
      </c>
    </row>
    <row r="4" spans="1:17" ht="16.5" customHeight="1">
      <c r="A4" s="425"/>
      <c r="B4" s="429" t="s">
        <v>185</v>
      </c>
      <c r="C4" s="428" t="s">
        <v>186</v>
      </c>
      <c r="D4" s="428"/>
      <c r="E4" s="428"/>
      <c r="F4" s="72">
        <f>F5+F15+F16+F17+F18+F19+F20+F14+F21</f>
        <v>215729757</v>
      </c>
      <c r="G4" s="72">
        <f>G5+G15+G16+G17+G18+G19+G20+G14+G21</f>
        <v>81490000</v>
      </c>
      <c r="H4" s="72">
        <f>H5+H15+H16+H17+H18+H19+H20+H14+H21</f>
        <v>43422223</v>
      </c>
      <c r="I4" s="72">
        <f>I5+I15+I16+I17+I18+I19+I20+I14+I21</f>
        <v>41697504</v>
      </c>
      <c r="J4" s="77">
        <f>J5+J15+J16+J17+J18+J19+J20+J14+J21</f>
        <v>49120030</v>
      </c>
      <c r="K4" s="278">
        <f t="shared" ref="K4" si="5">K5+K15+K16+K17+K18+K19+K20+K14</f>
        <v>0</v>
      </c>
      <c r="M4" s="386">
        <f t="shared" ref="M4:M18" si="6">ROUND(F4/1000,0)</f>
        <v>215730</v>
      </c>
      <c r="N4" s="386">
        <f t="shared" ref="N4:N18" si="7">ROUND(G4/1000,0)</f>
        <v>81490</v>
      </c>
      <c r="O4" s="386">
        <f t="shared" ref="O4:O18" si="8">ROUND(H4/1000,0)</f>
        <v>43422</v>
      </c>
      <c r="P4" s="386">
        <f t="shared" ref="P4:P18" si="9">ROUND(I4/1000,0)</f>
        <v>41698</v>
      </c>
      <c r="Q4" s="386">
        <f t="shared" ref="Q4:Q18" si="10">ROUND(J4/1000,0)</f>
        <v>49120</v>
      </c>
    </row>
    <row r="5" spans="1:17" ht="16.5" customHeight="1">
      <c r="A5" s="425"/>
      <c r="B5" s="434"/>
      <c r="C5" s="428" t="s">
        <v>197</v>
      </c>
      <c r="D5" s="428" t="s">
        <v>183</v>
      </c>
      <c r="E5" s="428"/>
      <c r="F5" s="71">
        <f>F6+F10</f>
        <v>112367711</v>
      </c>
      <c r="G5" s="71">
        <f t="shared" ref="G5:H5" si="11">G6+G10</f>
        <v>58595000</v>
      </c>
      <c r="H5" s="71">
        <f t="shared" si="11"/>
        <v>20000349</v>
      </c>
      <c r="I5" s="71">
        <f t="shared" ref="I5" si="12">I6+I10</f>
        <v>16501177</v>
      </c>
      <c r="J5" s="78">
        <f t="shared" ref="J5" si="13">J6+J10</f>
        <v>17271185</v>
      </c>
      <c r="K5" s="271">
        <f t="shared" ref="K5" si="14">K6+K10</f>
        <v>0</v>
      </c>
      <c r="M5" s="386">
        <f t="shared" si="6"/>
        <v>112368</v>
      </c>
      <c r="N5" s="386">
        <f t="shared" si="7"/>
        <v>58595</v>
      </c>
      <c r="O5" s="386">
        <f t="shared" si="8"/>
        <v>20000</v>
      </c>
      <c r="P5" s="386">
        <f t="shared" si="9"/>
        <v>16501</v>
      </c>
      <c r="Q5" s="386">
        <f t="shared" si="10"/>
        <v>17271</v>
      </c>
    </row>
    <row r="6" spans="1:17" ht="16.5" customHeight="1">
      <c r="A6" s="425"/>
      <c r="B6" s="434"/>
      <c r="C6" s="428"/>
      <c r="D6" s="428" t="s">
        <v>198</v>
      </c>
      <c r="E6" s="300" t="s">
        <v>187</v>
      </c>
      <c r="F6" s="70">
        <f t="shared" ref="F6:K6" si="15">SUM(F7:F9)</f>
        <v>99003604</v>
      </c>
      <c r="G6" s="70">
        <f t="shared" si="15"/>
        <v>58595000</v>
      </c>
      <c r="H6" s="70">
        <f t="shared" si="15"/>
        <v>16550348</v>
      </c>
      <c r="I6" s="70">
        <f t="shared" si="15"/>
        <v>15808424</v>
      </c>
      <c r="J6" s="79">
        <f t="shared" si="15"/>
        <v>8049832</v>
      </c>
      <c r="K6" s="272">
        <f t="shared" si="15"/>
        <v>0</v>
      </c>
      <c r="M6" s="386">
        <f t="shared" si="6"/>
        <v>99004</v>
      </c>
      <c r="N6" s="386">
        <f t="shared" si="7"/>
        <v>58595</v>
      </c>
      <c r="O6" s="386">
        <f t="shared" si="8"/>
        <v>16550</v>
      </c>
      <c r="P6" s="386">
        <f t="shared" si="9"/>
        <v>15808</v>
      </c>
      <c r="Q6" s="386">
        <f t="shared" si="10"/>
        <v>8050</v>
      </c>
    </row>
    <row r="7" spans="1:17" ht="16.5" customHeight="1">
      <c r="A7" s="425"/>
      <c r="B7" s="434"/>
      <c r="C7" s="428"/>
      <c r="D7" s="428"/>
      <c r="E7" s="300" t="s">
        <v>188</v>
      </c>
      <c r="F7" s="66">
        <f>SUM(G7:K7)</f>
        <v>48811933</v>
      </c>
      <c r="G7" s="165">
        <f t="shared" ref="G7" si="16">G28+G48+G68+G88+G108</f>
        <v>16658000</v>
      </c>
      <c r="H7" s="165">
        <f t="shared" ref="H7:J16" si="17">H28+H48+H68+H88+H108</f>
        <v>15056963</v>
      </c>
      <c r="I7" s="66">
        <f t="shared" si="17"/>
        <v>15808424</v>
      </c>
      <c r="J7" s="67">
        <f>J28+J48+J68+J88+J108</f>
        <v>1288546</v>
      </c>
      <c r="K7" s="273">
        <f>K28+K48+K68+J88+K108</f>
        <v>0</v>
      </c>
      <c r="M7" s="386">
        <f t="shared" si="6"/>
        <v>48812</v>
      </c>
      <c r="N7" s="386">
        <f t="shared" si="7"/>
        <v>16658</v>
      </c>
      <c r="O7" s="386">
        <f t="shared" si="8"/>
        <v>15057</v>
      </c>
      <c r="P7" s="386">
        <f t="shared" si="9"/>
        <v>15808</v>
      </c>
      <c r="Q7" s="386">
        <f t="shared" si="10"/>
        <v>1289</v>
      </c>
    </row>
    <row r="8" spans="1:17" ht="16.5" customHeight="1">
      <c r="A8" s="425"/>
      <c r="B8" s="434"/>
      <c r="C8" s="428"/>
      <c r="D8" s="428"/>
      <c r="E8" s="300" t="s">
        <v>189</v>
      </c>
      <c r="F8" s="66">
        <f>SUM(G8:K8)</f>
        <v>8090280</v>
      </c>
      <c r="G8" s="165">
        <f t="shared" ref="G8" si="18">G29+G49+G69+G89+G109</f>
        <v>500000</v>
      </c>
      <c r="H8" s="165">
        <f t="shared" si="17"/>
        <v>1366373</v>
      </c>
      <c r="I8" s="66">
        <f t="shared" si="17"/>
        <v>0</v>
      </c>
      <c r="J8" s="67">
        <f t="shared" si="17"/>
        <v>6223907</v>
      </c>
      <c r="K8" s="273">
        <v>0</v>
      </c>
      <c r="M8" s="386">
        <f t="shared" si="6"/>
        <v>8090</v>
      </c>
      <c r="N8" s="386">
        <f t="shared" si="7"/>
        <v>500</v>
      </c>
      <c r="O8" s="386">
        <f t="shared" si="8"/>
        <v>1366</v>
      </c>
      <c r="P8" s="386">
        <f t="shared" si="9"/>
        <v>0</v>
      </c>
      <c r="Q8" s="386">
        <f t="shared" si="10"/>
        <v>6224</v>
      </c>
    </row>
    <row r="9" spans="1:17" ht="16.5" customHeight="1">
      <c r="A9" s="425"/>
      <c r="B9" s="434"/>
      <c r="C9" s="428"/>
      <c r="D9" s="428"/>
      <c r="E9" s="300" t="s">
        <v>190</v>
      </c>
      <c r="F9" s="66">
        <f>SUM(G9:K9)</f>
        <v>42101391</v>
      </c>
      <c r="G9" s="165">
        <f t="shared" ref="G9" si="19">G30+G50+G70+G90+G110</f>
        <v>41437000</v>
      </c>
      <c r="H9" s="165">
        <f t="shared" si="17"/>
        <v>127012</v>
      </c>
      <c r="I9" s="66">
        <f t="shared" si="17"/>
        <v>0</v>
      </c>
      <c r="J9" s="67">
        <f t="shared" si="17"/>
        <v>537379</v>
      </c>
      <c r="K9" s="273">
        <v>0</v>
      </c>
      <c r="M9" s="386">
        <f t="shared" si="6"/>
        <v>42101</v>
      </c>
      <c r="N9" s="386">
        <f t="shared" si="7"/>
        <v>41437</v>
      </c>
      <c r="O9" s="386">
        <f t="shared" si="8"/>
        <v>127</v>
      </c>
      <c r="P9" s="386">
        <f t="shared" si="9"/>
        <v>0</v>
      </c>
      <c r="Q9" s="386">
        <f t="shared" si="10"/>
        <v>537</v>
      </c>
    </row>
    <row r="10" spans="1:17" ht="16.5" customHeight="1">
      <c r="A10" s="425"/>
      <c r="B10" s="434"/>
      <c r="C10" s="428"/>
      <c r="D10" s="428" t="s">
        <v>199</v>
      </c>
      <c r="E10" s="300" t="s">
        <v>187</v>
      </c>
      <c r="F10" s="70">
        <f t="shared" ref="F10:K10" si="20">SUM(F11:F13)</f>
        <v>13364107</v>
      </c>
      <c r="G10" s="166">
        <f t="shared" si="20"/>
        <v>0</v>
      </c>
      <c r="H10" s="166">
        <f t="shared" si="20"/>
        <v>3450001</v>
      </c>
      <c r="I10" s="70">
        <f t="shared" si="20"/>
        <v>692753</v>
      </c>
      <c r="J10" s="79">
        <f t="shared" si="20"/>
        <v>9221353</v>
      </c>
      <c r="K10" s="272">
        <f t="shared" si="20"/>
        <v>0</v>
      </c>
      <c r="M10" s="386">
        <f t="shared" si="6"/>
        <v>13364</v>
      </c>
      <c r="N10" s="386">
        <f t="shared" si="7"/>
        <v>0</v>
      </c>
      <c r="O10" s="386">
        <f t="shared" si="8"/>
        <v>3450</v>
      </c>
      <c r="P10" s="386">
        <f t="shared" si="9"/>
        <v>693</v>
      </c>
      <c r="Q10" s="386">
        <f t="shared" si="10"/>
        <v>9221</v>
      </c>
    </row>
    <row r="11" spans="1:17" ht="16.5" customHeight="1">
      <c r="A11" s="425"/>
      <c r="B11" s="434"/>
      <c r="C11" s="428"/>
      <c r="D11" s="428"/>
      <c r="E11" s="300" t="s">
        <v>188</v>
      </c>
      <c r="F11" s="66">
        <f t="shared" ref="F11:F23" si="21">SUM(G11:K11)</f>
        <v>0</v>
      </c>
      <c r="G11" s="165">
        <f t="shared" ref="G11" si="22">G32+G52+G72+G92+G112</f>
        <v>0</v>
      </c>
      <c r="H11" s="165">
        <f t="shared" ref="H11:I20" si="23">H32+H52+H72+H92+H112</f>
        <v>0</v>
      </c>
      <c r="I11" s="66">
        <f t="shared" si="23"/>
        <v>0</v>
      </c>
      <c r="J11" s="67">
        <f t="shared" si="17"/>
        <v>0</v>
      </c>
      <c r="K11" s="273">
        <f>K32+K52+K72+J92+K112</f>
        <v>0</v>
      </c>
      <c r="M11" s="386">
        <f t="shared" si="6"/>
        <v>0</v>
      </c>
      <c r="N11" s="386">
        <f t="shared" si="7"/>
        <v>0</v>
      </c>
      <c r="O11" s="386">
        <f t="shared" si="8"/>
        <v>0</v>
      </c>
      <c r="P11" s="386">
        <f t="shared" si="9"/>
        <v>0</v>
      </c>
      <c r="Q11" s="386">
        <f t="shared" si="10"/>
        <v>0</v>
      </c>
    </row>
    <row r="12" spans="1:17" ht="16.5" customHeight="1">
      <c r="A12" s="425"/>
      <c r="B12" s="434"/>
      <c r="C12" s="428"/>
      <c r="D12" s="428"/>
      <c r="E12" s="300" t="s">
        <v>189</v>
      </c>
      <c r="F12" s="66">
        <f t="shared" si="21"/>
        <v>11060774</v>
      </c>
      <c r="G12" s="165">
        <f t="shared" ref="G12" si="24">G33+G53+G73+G93+G113</f>
        <v>0</v>
      </c>
      <c r="H12" s="165">
        <f t="shared" si="23"/>
        <v>3126747</v>
      </c>
      <c r="I12" s="66">
        <f t="shared" si="23"/>
        <v>529426</v>
      </c>
      <c r="J12" s="67">
        <f t="shared" si="17"/>
        <v>7404601</v>
      </c>
      <c r="K12" s="273">
        <v>0</v>
      </c>
      <c r="M12" s="386">
        <f t="shared" si="6"/>
        <v>11061</v>
      </c>
      <c r="N12" s="386">
        <f t="shared" si="7"/>
        <v>0</v>
      </c>
      <c r="O12" s="386">
        <f t="shared" si="8"/>
        <v>3127</v>
      </c>
      <c r="P12" s="386">
        <f t="shared" si="9"/>
        <v>529</v>
      </c>
      <c r="Q12" s="386">
        <f t="shared" si="10"/>
        <v>7405</v>
      </c>
    </row>
    <row r="13" spans="1:17" ht="16.5" customHeight="1">
      <c r="A13" s="425"/>
      <c r="B13" s="434"/>
      <c r="C13" s="428"/>
      <c r="D13" s="428"/>
      <c r="E13" s="300" t="s">
        <v>190</v>
      </c>
      <c r="F13" s="66">
        <f t="shared" si="21"/>
        <v>2303333</v>
      </c>
      <c r="G13" s="165">
        <f t="shared" ref="G13" si="25">G34+G54+G74+G94+G114</f>
        <v>0</v>
      </c>
      <c r="H13" s="165">
        <f t="shared" si="23"/>
        <v>323254</v>
      </c>
      <c r="I13" s="66">
        <f t="shared" si="23"/>
        <v>163327</v>
      </c>
      <c r="J13" s="67">
        <f t="shared" si="17"/>
        <v>1816752</v>
      </c>
      <c r="K13" s="273">
        <v>0</v>
      </c>
      <c r="M13" s="386">
        <f t="shared" si="6"/>
        <v>2303</v>
      </c>
      <c r="N13" s="386">
        <f t="shared" si="7"/>
        <v>0</v>
      </c>
      <c r="O13" s="386">
        <f t="shared" si="8"/>
        <v>323</v>
      </c>
      <c r="P13" s="386">
        <f t="shared" si="9"/>
        <v>163</v>
      </c>
      <c r="Q13" s="386">
        <f t="shared" si="10"/>
        <v>1817</v>
      </c>
    </row>
    <row r="14" spans="1:17" ht="16.5" customHeight="1">
      <c r="A14" s="425"/>
      <c r="B14" s="434"/>
      <c r="C14" s="419" t="s">
        <v>287</v>
      </c>
      <c r="D14" s="420"/>
      <c r="E14" s="421"/>
      <c r="F14" s="66">
        <f t="shared" si="21"/>
        <v>23958342</v>
      </c>
      <c r="G14" s="165">
        <f t="shared" ref="G14" si="26">G35+G55+G75+G95+G115</f>
        <v>21914000</v>
      </c>
      <c r="H14" s="165">
        <f t="shared" si="23"/>
        <v>0</v>
      </c>
      <c r="I14" s="66">
        <f t="shared" si="23"/>
        <v>0</v>
      </c>
      <c r="J14" s="67">
        <f t="shared" si="17"/>
        <v>2044342</v>
      </c>
      <c r="K14" s="273">
        <v>0</v>
      </c>
      <c r="M14" s="386">
        <f t="shared" si="6"/>
        <v>23958</v>
      </c>
      <c r="N14" s="386">
        <f t="shared" si="7"/>
        <v>21914</v>
      </c>
      <c r="O14" s="386">
        <f t="shared" si="8"/>
        <v>0</v>
      </c>
      <c r="P14" s="386">
        <f t="shared" si="9"/>
        <v>0</v>
      </c>
      <c r="Q14" s="386">
        <f t="shared" si="10"/>
        <v>2044</v>
      </c>
    </row>
    <row r="15" spans="1:17" ht="16.5" customHeight="1">
      <c r="A15" s="425"/>
      <c r="B15" s="434"/>
      <c r="C15" s="428" t="s">
        <v>191</v>
      </c>
      <c r="D15" s="428"/>
      <c r="E15" s="428"/>
      <c r="F15" s="66">
        <f t="shared" si="21"/>
        <v>10192900</v>
      </c>
      <c r="G15" s="165">
        <f t="shared" ref="G15" si="27">G36+G56+G76+G96+G116</f>
        <v>692000</v>
      </c>
      <c r="H15" s="165">
        <f t="shared" si="23"/>
        <v>4489000</v>
      </c>
      <c r="I15" s="66">
        <f t="shared" si="23"/>
        <v>4193400</v>
      </c>
      <c r="J15" s="67">
        <f t="shared" si="17"/>
        <v>818500</v>
      </c>
      <c r="K15" s="273">
        <v>0</v>
      </c>
      <c r="M15" s="386">
        <f t="shared" si="6"/>
        <v>10193</v>
      </c>
      <c r="N15" s="386">
        <f t="shared" si="7"/>
        <v>692</v>
      </c>
      <c r="O15" s="386">
        <f t="shared" si="8"/>
        <v>4489</v>
      </c>
      <c r="P15" s="386">
        <f t="shared" si="9"/>
        <v>4193</v>
      </c>
      <c r="Q15" s="386">
        <f t="shared" si="10"/>
        <v>819</v>
      </c>
    </row>
    <row r="16" spans="1:17" ht="16.5" customHeight="1">
      <c r="A16" s="425"/>
      <c r="B16" s="434"/>
      <c r="C16" s="428" t="s">
        <v>192</v>
      </c>
      <c r="D16" s="428"/>
      <c r="E16" s="428"/>
      <c r="F16" s="66">
        <f t="shared" si="21"/>
        <v>545000</v>
      </c>
      <c r="G16" s="165">
        <f t="shared" ref="G16" si="28">G37+G57+G77+G97+G117</f>
        <v>289000</v>
      </c>
      <c r="H16" s="165">
        <f t="shared" si="23"/>
        <v>192000</v>
      </c>
      <c r="I16" s="66">
        <f t="shared" si="23"/>
        <v>64000</v>
      </c>
      <c r="J16" s="67">
        <f t="shared" si="17"/>
        <v>0</v>
      </c>
      <c r="K16" s="273">
        <v>0</v>
      </c>
      <c r="M16" s="386">
        <f t="shared" si="6"/>
        <v>545</v>
      </c>
      <c r="N16" s="386">
        <f t="shared" si="7"/>
        <v>289</v>
      </c>
      <c r="O16" s="386">
        <f t="shared" si="8"/>
        <v>192</v>
      </c>
      <c r="P16" s="386">
        <f t="shared" si="9"/>
        <v>64</v>
      </c>
      <c r="Q16" s="386">
        <f t="shared" si="10"/>
        <v>0</v>
      </c>
    </row>
    <row r="17" spans="1:17" ht="16.5" customHeight="1">
      <c r="A17" s="425"/>
      <c r="B17" s="434"/>
      <c r="C17" s="428" t="s">
        <v>193</v>
      </c>
      <c r="D17" s="428"/>
      <c r="E17" s="428"/>
      <c r="F17" s="66">
        <f t="shared" si="21"/>
        <v>8288000</v>
      </c>
      <c r="G17" s="165">
        <f t="shared" ref="G17" si="29">G38+G58+G78+G98+G118</f>
        <v>0</v>
      </c>
      <c r="H17" s="165">
        <f t="shared" si="23"/>
        <v>0</v>
      </c>
      <c r="I17" s="66">
        <f t="shared" si="23"/>
        <v>0</v>
      </c>
      <c r="J17" s="67">
        <f>J38+J58+J78+J98+J118</f>
        <v>8288000</v>
      </c>
      <c r="K17" s="273">
        <v>0</v>
      </c>
      <c r="M17" s="386">
        <f t="shared" si="6"/>
        <v>8288</v>
      </c>
      <c r="N17" s="386">
        <f t="shared" si="7"/>
        <v>0</v>
      </c>
      <c r="O17" s="386">
        <f t="shared" si="8"/>
        <v>0</v>
      </c>
      <c r="P17" s="386">
        <f t="shared" si="9"/>
        <v>0</v>
      </c>
      <c r="Q17" s="386">
        <f t="shared" si="10"/>
        <v>8288</v>
      </c>
    </row>
    <row r="18" spans="1:17" ht="16.5" customHeight="1">
      <c r="A18" s="425"/>
      <c r="B18" s="434"/>
      <c r="C18" s="428" t="s">
        <v>194</v>
      </c>
      <c r="D18" s="428"/>
      <c r="E18" s="428"/>
      <c r="F18" s="66">
        <f t="shared" si="21"/>
        <v>424000</v>
      </c>
      <c r="G18" s="165">
        <f t="shared" ref="G18" si="30">G39+G59+G79+G99+G119</f>
        <v>0</v>
      </c>
      <c r="H18" s="165">
        <f t="shared" si="23"/>
        <v>159000</v>
      </c>
      <c r="I18" s="66">
        <f t="shared" si="23"/>
        <v>53000</v>
      </c>
      <c r="J18" s="67">
        <f>J39+J59+J79+J99+J119</f>
        <v>212000</v>
      </c>
      <c r="K18" s="273">
        <v>0</v>
      </c>
      <c r="M18" s="386">
        <f t="shared" si="6"/>
        <v>424</v>
      </c>
      <c r="N18" s="386">
        <f t="shared" si="7"/>
        <v>0</v>
      </c>
      <c r="O18" s="386">
        <f t="shared" si="8"/>
        <v>159</v>
      </c>
      <c r="P18" s="386">
        <f t="shared" si="9"/>
        <v>53</v>
      </c>
      <c r="Q18" s="386">
        <f t="shared" si="10"/>
        <v>212</v>
      </c>
    </row>
    <row r="19" spans="1:17" ht="16.5" customHeight="1">
      <c r="A19" s="425"/>
      <c r="B19" s="434"/>
      <c r="C19" s="419" t="s">
        <v>208</v>
      </c>
      <c r="D19" s="420"/>
      <c r="E19" s="421"/>
      <c r="F19" s="66">
        <f t="shared" si="21"/>
        <v>745514</v>
      </c>
      <c r="G19" s="165">
        <f t="shared" ref="G19" si="31">G40+G60+G80+G100+G120</f>
        <v>0</v>
      </c>
      <c r="H19" s="165">
        <f t="shared" si="23"/>
        <v>303057</v>
      </c>
      <c r="I19" s="66">
        <f t="shared" si="23"/>
        <v>286324</v>
      </c>
      <c r="J19" s="67">
        <f>J40+J60+J80+J100+J120</f>
        <v>156133</v>
      </c>
      <c r="K19" s="273">
        <v>0</v>
      </c>
      <c r="M19" s="386">
        <f>M20+M21</f>
        <v>3055</v>
      </c>
      <c r="N19" s="386">
        <f t="shared" ref="N19:Q19" si="32">N20+N21</f>
        <v>0</v>
      </c>
      <c r="O19" s="386">
        <f t="shared" si="32"/>
        <v>1150</v>
      </c>
      <c r="P19" s="386">
        <f t="shared" si="32"/>
        <v>1152</v>
      </c>
      <c r="Q19" s="386">
        <f t="shared" si="32"/>
        <v>752</v>
      </c>
    </row>
    <row r="20" spans="1:17" ht="16.5" customHeight="1">
      <c r="A20" s="425"/>
      <c r="B20" s="435"/>
      <c r="C20" s="419" t="s">
        <v>209</v>
      </c>
      <c r="D20" s="420"/>
      <c r="E20" s="421"/>
      <c r="F20" s="66">
        <f t="shared" si="21"/>
        <v>2308590</v>
      </c>
      <c r="G20" s="165">
        <f t="shared" ref="G20" si="33">G41+G61+G81+G101+G121</f>
        <v>0</v>
      </c>
      <c r="H20" s="165">
        <f t="shared" si="23"/>
        <v>847117</v>
      </c>
      <c r="I20" s="66">
        <f t="shared" si="23"/>
        <v>865603</v>
      </c>
      <c r="J20" s="67">
        <f>J41+J61+J81+J101+J121</f>
        <v>595870</v>
      </c>
      <c r="K20" s="273">
        <v>0</v>
      </c>
      <c r="L20" s="53"/>
      <c r="M20" s="387">
        <f t="shared" ref="M20:M40" si="34">ROUND(F19/1000,0)</f>
        <v>746</v>
      </c>
      <c r="N20" s="387">
        <f t="shared" ref="N20:N40" si="35">ROUND(G19/1000,0)</f>
        <v>0</v>
      </c>
      <c r="O20" s="387">
        <f t="shared" ref="O20:O40" si="36">ROUND(H19/1000,0)</f>
        <v>303</v>
      </c>
      <c r="P20" s="387">
        <f t="shared" ref="P20:P40" si="37">ROUND(I19/1000,0)</f>
        <v>286</v>
      </c>
      <c r="Q20" s="387">
        <f t="shared" ref="Q20:Q40" si="38">ROUND(J19/1000,0)</f>
        <v>156</v>
      </c>
    </row>
    <row r="21" spans="1:17" ht="16.5" customHeight="1">
      <c r="A21" s="425"/>
      <c r="B21" s="419" t="s">
        <v>327</v>
      </c>
      <c r="C21" s="420"/>
      <c r="D21" s="420"/>
      <c r="E21" s="421"/>
      <c r="F21" s="66">
        <f t="shared" si="21"/>
        <v>56899700</v>
      </c>
      <c r="G21" s="165">
        <f>G124</f>
        <v>0</v>
      </c>
      <c r="H21" s="165">
        <f t="shared" ref="H21:J21" si="39">H124</f>
        <v>17431700</v>
      </c>
      <c r="I21" s="165">
        <f t="shared" si="39"/>
        <v>19734000</v>
      </c>
      <c r="J21" s="321">
        <f t="shared" si="39"/>
        <v>19734000</v>
      </c>
      <c r="K21" s="273"/>
      <c r="M21" s="387">
        <f t="shared" si="34"/>
        <v>2309</v>
      </c>
      <c r="N21" s="387">
        <f t="shared" si="35"/>
        <v>0</v>
      </c>
      <c r="O21" s="387">
        <f t="shared" si="36"/>
        <v>847</v>
      </c>
      <c r="P21" s="387">
        <f t="shared" si="37"/>
        <v>866</v>
      </c>
      <c r="Q21" s="387">
        <f t="shared" si="38"/>
        <v>596</v>
      </c>
    </row>
    <row r="22" spans="1:17" ht="16.5" customHeight="1">
      <c r="A22" s="425"/>
      <c r="B22" s="428" t="s">
        <v>195</v>
      </c>
      <c r="C22" s="428"/>
      <c r="D22" s="428"/>
      <c r="E22" s="428"/>
      <c r="F22" s="66">
        <f t="shared" si="21"/>
        <v>0</v>
      </c>
      <c r="G22" s="165">
        <f t="shared" ref="G22" si="40">G42+G62+G82+G102+G122</f>
        <v>0</v>
      </c>
      <c r="H22" s="165">
        <f t="shared" ref="H22:J23" si="41">H42+H62+H82+H102+H122</f>
        <v>0</v>
      </c>
      <c r="I22" s="66">
        <f t="shared" si="41"/>
        <v>0</v>
      </c>
      <c r="J22" s="67">
        <f t="shared" si="41"/>
        <v>0</v>
      </c>
      <c r="K22" s="273">
        <v>0</v>
      </c>
      <c r="M22" s="386">
        <f t="shared" si="34"/>
        <v>56900</v>
      </c>
      <c r="N22" s="386">
        <f t="shared" si="35"/>
        <v>0</v>
      </c>
      <c r="O22" s="386">
        <f t="shared" si="36"/>
        <v>17432</v>
      </c>
      <c r="P22" s="386">
        <f t="shared" si="37"/>
        <v>19734</v>
      </c>
      <c r="Q22" s="386">
        <f t="shared" si="38"/>
        <v>19734</v>
      </c>
    </row>
    <row r="23" spans="1:17" ht="16.5" customHeight="1">
      <c r="A23" s="426"/>
      <c r="B23" s="432" t="s">
        <v>196</v>
      </c>
      <c r="C23" s="432"/>
      <c r="D23" s="432"/>
      <c r="E23" s="432"/>
      <c r="F23" s="68">
        <f t="shared" si="21"/>
        <v>5575157</v>
      </c>
      <c r="G23" s="282">
        <f t="shared" ref="G23" si="42">G43+G63+G83+G103+G123</f>
        <v>0</v>
      </c>
      <c r="H23" s="282">
        <f t="shared" si="41"/>
        <v>1787015</v>
      </c>
      <c r="I23" s="68">
        <f t="shared" si="41"/>
        <v>1922282</v>
      </c>
      <c r="J23" s="69">
        <f t="shared" si="41"/>
        <v>1865860</v>
      </c>
      <c r="K23" s="281">
        <v>0</v>
      </c>
      <c r="M23" s="386">
        <f t="shared" si="34"/>
        <v>0</v>
      </c>
      <c r="N23" s="386">
        <f t="shared" si="35"/>
        <v>0</v>
      </c>
      <c r="O23" s="386">
        <f t="shared" si="36"/>
        <v>0</v>
      </c>
      <c r="P23" s="386">
        <f t="shared" si="37"/>
        <v>0</v>
      </c>
      <c r="Q23" s="386">
        <f t="shared" si="38"/>
        <v>0</v>
      </c>
    </row>
    <row r="24" spans="1:17" ht="16.5" customHeight="1">
      <c r="A24" s="424" t="s">
        <v>200</v>
      </c>
      <c r="B24" s="427" t="s">
        <v>3</v>
      </c>
      <c r="C24" s="427"/>
      <c r="D24" s="427"/>
      <c r="E24" s="427"/>
      <c r="F24" s="75">
        <f>F25+F42+F43</f>
        <v>105643227</v>
      </c>
      <c r="G24" s="75">
        <f t="shared" ref="G24" si="43">G25+G42+G43</f>
        <v>62012000</v>
      </c>
      <c r="H24" s="75">
        <f t="shared" ref="H24:K24" si="44">H25+H42+H43</f>
        <v>9880739</v>
      </c>
      <c r="I24" s="75">
        <f t="shared" si="44"/>
        <v>10119620</v>
      </c>
      <c r="J24" s="76">
        <f t="shared" si="44"/>
        <v>23630868</v>
      </c>
      <c r="K24" s="269">
        <f t="shared" si="44"/>
        <v>0</v>
      </c>
      <c r="L24" s="53"/>
      <c r="M24" s="386">
        <f t="shared" si="34"/>
        <v>5575</v>
      </c>
      <c r="N24" s="386">
        <f t="shared" si="35"/>
        <v>0</v>
      </c>
      <c r="O24" s="386">
        <f t="shared" si="36"/>
        <v>1787</v>
      </c>
      <c r="P24" s="386">
        <f t="shared" si="37"/>
        <v>1922</v>
      </c>
      <c r="Q24" s="386">
        <f t="shared" si="38"/>
        <v>1866</v>
      </c>
    </row>
    <row r="25" spans="1:17" ht="16.5" customHeight="1">
      <c r="A25" s="425"/>
      <c r="B25" s="429" t="s">
        <v>185</v>
      </c>
      <c r="C25" s="428" t="s">
        <v>186</v>
      </c>
      <c r="D25" s="428"/>
      <c r="E25" s="428"/>
      <c r="F25" s="72">
        <f>F26+F36+F37+F38+F39+F40+F41+F35</f>
        <v>102698972</v>
      </c>
      <c r="G25" s="72">
        <f t="shared" ref="G25" si="45">G26+G36+G37+G38+G39+G40+G41+G35</f>
        <v>62012000</v>
      </c>
      <c r="H25" s="72">
        <f t="shared" ref="H25:K25" si="46">H26+H36+H37+H38+H39+H40+H41+H35</f>
        <v>9063411</v>
      </c>
      <c r="I25" s="72">
        <f t="shared" si="46"/>
        <v>9179626</v>
      </c>
      <c r="J25" s="77">
        <f t="shared" si="46"/>
        <v>22443935</v>
      </c>
      <c r="K25" s="278">
        <f t="shared" si="46"/>
        <v>0</v>
      </c>
      <c r="L25" s="53"/>
      <c r="M25" s="386">
        <f t="shared" si="34"/>
        <v>105643</v>
      </c>
      <c r="N25" s="386">
        <f t="shared" si="35"/>
        <v>62012</v>
      </c>
      <c r="O25" s="386">
        <f t="shared" si="36"/>
        <v>9881</v>
      </c>
      <c r="P25" s="386">
        <f t="shared" si="37"/>
        <v>10120</v>
      </c>
      <c r="Q25" s="386">
        <f t="shared" si="38"/>
        <v>23631</v>
      </c>
    </row>
    <row r="26" spans="1:17" ht="16.5" customHeight="1">
      <c r="A26" s="425"/>
      <c r="B26" s="430"/>
      <c r="C26" s="428" t="s">
        <v>197</v>
      </c>
      <c r="D26" s="428" t="s">
        <v>183</v>
      </c>
      <c r="E26" s="428"/>
      <c r="F26" s="71">
        <f>F27+F31</f>
        <v>68199694</v>
      </c>
      <c r="G26" s="71">
        <f t="shared" ref="G26" si="47">G27+G31</f>
        <v>43524000</v>
      </c>
      <c r="H26" s="71">
        <f t="shared" ref="H26:K26" si="48">H27+H31</f>
        <v>7104606</v>
      </c>
      <c r="I26" s="71">
        <f t="shared" si="48"/>
        <v>6822285</v>
      </c>
      <c r="J26" s="78">
        <f t="shared" si="48"/>
        <v>10748803</v>
      </c>
      <c r="K26" s="271">
        <f t="shared" si="48"/>
        <v>0</v>
      </c>
      <c r="L26" s="53"/>
      <c r="M26" s="386">
        <f t="shared" si="34"/>
        <v>102699</v>
      </c>
      <c r="N26" s="386">
        <f t="shared" si="35"/>
        <v>62012</v>
      </c>
      <c r="O26" s="386">
        <f t="shared" si="36"/>
        <v>9063</v>
      </c>
      <c r="P26" s="386">
        <f t="shared" si="37"/>
        <v>9180</v>
      </c>
      <c r="Q26" s="386">
        <f t="shared" si="38"/>
        <v>22444</v>
      </c>
    </row>
    <row r="27" spans="1:17" ht="16.5" customHeight="1">
      <c r="A27" s="425"/>
      <c r="B27" s="430"/>
      <c r="C27" s="428"/>
      <c r="D27" s="428" t="s">
        <v>198</v>
      </c>
      <c r="E27" s="300" t="s">
        <v>187</v>
      </c>
      <c r="F27" s="70">
        <f t="shared" ref="F27" si="49">SUM(F28:F30)</f>
        <v>60626867</v>
      </c>
      <c r="G27" s="70">
        <f t="shared" ref="G27:K27" si="50">SUM(G28:G30)</f>
        <v>43524000</v>
      </c>
      <c r="H27" s="70">
        <f t="shared" si="50"/>
        <v>5257845</v>
      </c>
      <c r="I27" s="70">
        <f t="shared" si="50"/>
        <v>6822285</v>
      </c>
      <c r="J27" s="79">
        <f t="shared" si="50"/>
        <v>5022737</v>
      </c>
      <c r="K27" s="272">
        <f t="shared" si="50"/>
        <v>0</v>
      </c>
      <c r="L27" s="53"/>
      <c r="M27" s="386">
        <f t="shared" si="34"/>
        <v>68200</v>
      </c>
      <c r="N27" s="386">
        <f t="shared" si="35"/>
        <v>43524</v>
      </c>
      <c r="O27" s="386">
        <f t="shared" si="36"/>
        <v>7105</v>
      </c>
      <c r="P27" s="386">
        <f t="shared" si="37"/>
        <v>6822</v>
      </c>
      <c r="Q27" s="386">
        <f t="shared" si="38"/>
        <v>10749</v>
      </c>
    </row>
    <row r="28" spans="1:17" ht="16.5" customHeight="1">
      <c r="A28" s="425"/>
      <c r="B28" s="430"/>
      <c r="C28" s="428"/>
      <c r="D28" s="428"/>
      <c r="E28" s="300" t="s">
        <v>188</v>
      </c>
      <c r="F28" s="66">
        <f>SUM(G28:K28)</f>
        <v>19360676</v>
      </c>
      <c r="G28" s="66">
        <f>3053000+2939000</f>
        <v>5992000</v>
      </c>
      <c r="H28" s="66">
        <f>'2.하수관거 사업비_산출근거'!N36+'2.하수관거 사업비_산출근거'!Y36+'2.하수관거 사업비_산출근거'!AC36</f>
        <v>5257845</v>
      </c>
      <c r="I28" s="66">
        <f>'2.하수관거 사업비_산출근거'!AA36</f>
        <v>6822285</v>
      </c>
      <c r="J28" s="67">
        <f>'2.하수관거 사업비_산출근거'!P36+'2.하수관거 사업비_산출근거'!R36+'2.하수관거 사업비_산출근거'!T36+'2.하수관거 사업비_산출근거'!W36</f>
        <v>1288546</v>
      </c>
      <c r="K28" s="273"/>
      <c r="L28" s="53"/>
      <c r="M28" s="386">
        <f t="shared" si="34"/>
        <v>60627</v>
      </c>
      <c r="N28" s="386">
        <f t="shared" si="35"/>
        <v>43524</v>
      </c>
      <c r="O28" s="386">
        <f t="shared" si="36"/>
        <v>5258</v>
      </c>
      <c r="P28" s="386">
        <f t="shared" si="37"/>
        <v>6822</v>
      </c>
      <c r="Q28" s="386">
        <f t="shared" si="38"/>
        <v>5023</v>
      </c>
    </row>
    <row r="29" spans="1:17" ht="16.5" customHeight="1">
      <c r="A29" s="425"/>
      <c r="B29" s="430"/>
      <c r="C29" s="428"/>
      <c r="D29" s="428"/>
      <c r="E29" s="300" t="s">
        <v>189</v>
      </c>
      <c r="F29" s="66">
        <f>SUM(G29:K29)</f>
        <v>3942311</v>
      </c>
      <c r="G29" s="66">
        <f>500000</f>
        <v>500000</v>
      </c>
      <c r="H29" s="66">
        <f>'2.하수관거 사업비_산출근거'!N9+'2.하수관거 사업비_산출근거'!Y9</f>
        <v>0</v>
      </c>
      <c r="I29" s="66">
        <f>'2.하수관거 사업비_산출근거'!AA9</f>
        <v>0</v>
      </c>
      <c r="J29" s="67">
        <f>'2.하수관거 사업비_산출근거'!P9+'2.하수관거 사업비_산출근거'!R9+'2.하수관거 사업비_산출근거'!T9+'2.하수관거 사업비_산출근거'!W9</f>
        <v>3442311</v>
      </c>
      <c r="K29" s="273"/>
      <c r="L29" s="53"/>
      <c r="M29" s="386">
        <f t="shared" si="34"/>
        <v>19361</v>
      </c>
      <c r="N29" s="386">
        <f t="shared" si="35"/>
        <v>5992</v>
      </c>
      <c r="O29" s="386">
        <f t="shared" si="36"/>
        <v>5258</v>
      </c>
      <c r="P29" s="386">
        <f t="shared" si="37"/>
        <v>6822</v>
      </c>
      <c r="Q29" s="386">
        <f t="shared" si="38"/>
        <v>1289</v>
      </c>
    </row>
    <row r="30" spans="1:17" ht="16.5" customHeight="1">
      <c r="A30" s="425"/>
      <c r="B30" s="430"/>
      <c r="C30" s="428"/>
      <c r="D30" s="428"/>
      <c r="E30" s="300" t="s">
        <v>190</v>
      </c>
      <c r="F30" s="66">
        <f>SUM(G30:K30)</f>
        <v>37323880</v>
      </c>
      <c r="G30" s="66">
        <f>17340000+19692000</f>
        <v>37032000</v>
      </c>
      <c r="H30" s="66">
        <f>'2.하수관거 사업비_산출근거'!N18+'2.하수관거 사업비_산출근거'!N27+'2.하수관거 사업비_산출근거'!X27+'2.하수관거 사업비_산출근거'!X18</f>
        <v>0</v>
      </c>
      <c r="I30" s="66">
        <f>'2.하수관거 사업비_산출근거'!AA18+'2.하수관거 사업비_산출근거'!AA27</f>
        <v>0</v>
      </c>
      <c r="J30" s="67">
        <f>'2.하수관거 사업비_산출근거'!P18+'2.하수관거 사업비_산출근거'!P27+'2.하수관거 사업비_산출근거'!R18+'2.하수관거 사업비_산출근거'!T18+'2.하수관거 사업비_산출근거'!W18+'2.하수관거 사업비_산출근거'!R27+'2.하수관거 사업비_산출근거'!T27+'2.하수관거 사업비_산출근거'!W27</f>
        <v>291880</v>
      </c>
      <c r="K30" s="273">
        <v>0</v>
      </c>
      <c r="L30" s="53"/>
      <c r="M30" s="386">
        <f t="shared" si="34"/>
        <v>3942</v>
      </c>
      <c r="N30" s="386">
        <f t="shared" si="35"/>
        <v>500</v>
      </c>
      <c r="O30" s="386">
        <f t="shared" si="36"/>
        <v>0</v>
      </c>
      <c r="P30" s="386">
        <f t="shared" si="37"/>
        <v>0</v>
      </c>
      <c r="Q30" s="386">
        <f t="shared" si="38"/>
        <v>3442</v>
      </c>
    </row>
    <row r="31" spans="1:17" ht="16.5" customHeight="1">
      <c r="A31" s="425"/>
      <c r="B31" s="430"/>
      <c r="C31" s="428"/>
      <c r="D31" s="428" t="s">
        <v>199</v>
      </c>
      <c r="E31" s="300" t="s">
        <v>187</v>
      </c>
      <c r="F31" s="70">
        <f t="shared" ref="F31" si="51">SUM(F32:F34)</f>
        <v>7572827</v>
      </c>
      <c r="G31" s="70">
        <f t="shared" ref="G31:K31" si="52">SUM(G32:G34)</f>
        <v>0</v>
      </c>
      <c r="H31" s="70">
        <f t="shared" si="52"/>
        <v>1846761</v>
      </c>
      <c r="I31" s="70">
        <f t="shared" si="52"/>
        <v>0</v>
      </c>
      <c r="J31" s="79">
        <f t="shared" si="52"/>
        <v>5726066</v>
      </c>
      <c r="K31" s="272">
        <f t="shared" si="52"/>
        <v>0</v>
      </c>
      <c r="L31" s="53"/>
      <c r="M31" s="386">
        <f t="shared" si="34"/>
        <v>37324</v>
      </c>
      <c r="N31" s="386">
        <f t="shared" si="35"/>
        <v>37032</v>
      </c>
      <c r="O31" s="386">
        <f t="shared" si="36"/>
        <v>0</v>
      </c>
      <c r="P31" s="386">
        <f t="shared" si="37"/>
        <v>0</v>
      </c>
      <c r="Q31" s="386">
        <f t="shared" si="38"/>
        <v>292</v>
      </c>
    </row>
    <row r="32" spans="1:17" ht="16.5" customHeight="1">
      <c r="A32" s="425"/>
      <c r="B32" s="430"/>
      <c r="C32" s="428"/>
      <c r="D32" s="428"/>
      <c r="E32" s="300" t="s">
        <v>188</v>
      </c>
      <c r="F32" s="66">
        <f t="shared" ref="F32:F43" si="53">SUM(G32:K32)</f>
        <v>0</v>
      </c>
      <c r="G32" s="66">
        <v>0</v>
      </c>
      <c r="H32" s="66">
        <v>0</v>
      </c>
      <c r="I32" s="66">
        <v>0</v>
      </c>
      <c r="J32" s="67">
        <v>0</v>
      </c>
      <c r="K32" s="273"/>
      <c r="L32" s="53"/>
      <c r="M32" s="386">
        <f t="shared" si="34"/>
        <v>7573</v>
      </c>
      <c r="N32" s="386">
        <f t="shared" si="35"/>
        <v>0</v>
      </c>
      <c r="O32" s="386">
        <f t="shared" si="36"/>
        <v>1847</v>
      </c>
      <c r="P32" s="386">
        <f t="shared" si="37"/>
        <v>0</v>
      </c>
      <c r="Q32" s="386">
        <f t="shared" si="38"/>
        <v>5726</v>
      </c>
    </row>
    <row r="33" spans="1:17" ht="16.5" customHeight="1">
      <c r="A33" s="425"/>
      <c r="B33" s="430"/>
      <c r="C33" s="428"/>
      <c r="D33" s="428"/>
      <c r="E33" s="300" t="s">
        <v>189</v>
      </c>
      <c r="F33" s="66">
        <f t="shared" si="53"/>
        <v>6452785</v>
      </c>
      <c r="G33" s="66">
        <v>0</v>
      </c>
      <c r="H33" s="66">
        <f>'2.하수관거 사업비_산출근거'!N42+'2.하수관거 사업비_산출근거'!N80+'2.하수관거 사업비_산출근거'!Y42+'2.하수관거 사업비_산출근거'!Y80</f>
        <v>1846761</v>
      </c>
      <c r="I33" s="66">
        <f>'2.하수관거 사업비_산출근거'!AA42</f>
        <v>0</v>
      </c>
      <c r="J33" s="67">
        <f>'2.하수관거 사업비_산출근거'!P42+'2.하수관거 사업비_산출근거'!R42+'2.하수관거 사업비_산출근거'!T42+'2.하수관거 사업비_산출근거'!W42</f>
        <v>4606024</v>
      </c>
      <c r="K33" s="273"/>
      <c r="L33" s="53"/>
      <c r="M33" s="386">
        <f t="shared" si="34"/>
        <v>0</v>
      </c>
      <c r="N33" s="386">
        <f t="shared" si="35"/>
        <v>0</v>
      </c>
      <c r="O33" s="386">
        <f t="shared" si="36"/>
        <v>0</v>
      </c>
      <c r="P33" s="386">
        <f t="shared" si="37"/>
        <v>0</v>
      </c>
      <c r="Q33" s="386">
        <f t="shared" si="38"/>
        <v>0</v>
      </c>
    </row>
    <row r="34" spans="1:17" ht="16.5" customHeight="1">
      <c r="A34" s="425"/>
      <c r="B34" s="430"/>
      <c r="C34" s="428"/>
      <c r="D34" s="428"/>
      <c r="E34" s="300" t="s">
        <v>190</v>
      </c>
      <c r="F34" s="66">
        <f t="shared" si="53"/>
        <v>1120042</v>
      </c>
      <c r="G34" s="66">
        <v>0</v>
      </c>
      <c r="H34" s="66">
        <f>'2.하수관거 사업비_산출근거'!N55+'2.하수관거 사업비_산출근거'!N67+'2.하수관거 사업비_산출근거'!Y55+'2.하수관거 사업비_산출근거'!Y67</f>
        <v>0</v>
      </c>
      <c r="I34" s="66">
        <f>'2.하수관거 사업비_산출근거'!AA55+'2.하수관거 사업비_산출근거'!AA67</f>
        <v>0</v>
      </c>
      <c r="J34" s="67">
        <f>'2.하수관거 사업비_산출근거'!P55+'2.하수관거 사업비_산출근거'!P67+'2.하수관거 사업비_산출근거'!R55+'2.하수관거 사업비_산출근거'!T55+'2.하수관거 사업비_산출근거'!W55+'2.하수관거 사업비_산출근거'!R67+'2.하수관거 사업비_산출근거'!T67+'2.하수관거 사업비_산출근거'!W67</f>
        <v>1120042</v>
      </c>
      <c r="K34" s="273"/>
      <c r="L34" s="53"/>
      <c r="M34" s="386">
        <f t="shared" si="34"/>
        <v>6453</v>
      </c>
      <c r="N34" s="386">
        <f t="shared" si="35"/>
        <v>0</v>
      </c>
      <c r="O34" s="386">
        <f t="shared" si="36"/>
        <v>1847</v>
      </c>
      <c r="P34" s="386">
        <f t="shared" si="37"/>
        <v>0</v>
      </c>
      <c r="Q34" s="386">
        <f t="shared" si="38"/>
        <v>4606</v>
      </c>
    </row>
    <row r="35" spans="1:17" ht="16.5" customHeight="1">
      <c r="A35" s="425"/>
      <c r="B35" s="430"/>
      <c r="C35" s="419" t="s">
        <v>287</v>
      </c>
      <c r="D35" s="420"/>
      <c r="E35" s="421"/>
      <c r="F35" s="66">
        <f t="shared" si="53"/>
        <v>20468342</v>
      </c>
      <c r="G35" s="66">
        <f>18424000</f>
        <v>18424000</v>
      </c>
      <c r="H35" s="66">
        <v>0</v>
      </c>
      <c r="I35" s="66">
        <v>0</v>
      </c>
      <c r="J35" s="67">
        <f>'2.하수관거 사업비_산출근거'!K81</f>
        <v>2044342</v>
      </c>
      <c r="K35" s="273">
        <v>0</v>
      </c>
      <c r="L35" s="53"/>
      <c r="M35" s="386">
        <f t="shared" si="34"/>
        <v>1120</v>
      </c>
      <c r="N35" s="386">
        <f t="shared" si="35"/>
        <v>0</v>
      </c>
      <c r="O35" s="386">
        <f t="shared" si="36"/>
        <v>0</v>
      </c>
      <c r="P35" s="386">
        <f t="shared" si="37"/>
        <v>0</v>
      </c>
      <c r="Q35" s="386">
        <f t="shared" si="38"/>
        <v>1120</v>
      </c>
    </row>
    <row r="36" spans="1:17" ht="16.5" customHeight="1">
      <c r="A36" s="425"/>
      <c r="B36" s="430"/>
      <c r="C36" s="428" t="s">
        <v>191</v>
      </c>
      <c r="D36" s="428"/>
      <c r="E36" s="428"/>
      <c r="F36" s="66">
        <f t="shared" si="53"/>
        <v>4157900</v>
      </c>
      <c r="G36" s="66">
        <f>64000</f>
        <v>64000</v>
      </c>
      <c r="H36" s="66">
        <f>'2.하수관거 사업비_산출근거'!N90+'2.하수관거 사업비_산출근거'!Y90+'2.하수관거 사업비_산출근거'!AC90</f>
        <v>1481900</v>
      </c>
      <c r="I36" s="66">
        <f>'2.하수관거 사업비_산출근거'!AA90</f>
        <v>1841500</v>
      </c>
      <c r="J36" s="67">
        <f>'2.하수관거 사업비_산출근거'!P90+'2.하수관거 사업비_산출근거'!R90+'2.하수관거 사업비_산출근거'!T90+'2.하수관거 사업비_산출근거'!W90</f>
        <v>770500</v>
      </c>
      <c r="K36" s="273">
        <v>0</v>
      </c>
      <c r="L36" s="53"/>
      <c r="M36" s="386">
        <f t="shared" si="34"/>
        <v>20468</v>
      </c>
      <c r="N36" s="386">
        <f t="shared" si="35"/>
        <v>18424</v>
      </c>
      <c r="O36" s="386">
        <f t="shared" si="36"/>
        <v>0</v>
      </c>
      <c r="P36" s="386">
        <f t="shared" si="37"/>
        <v>0</v>
      </c>
      <c r="Q36" s="386">
        <f t="shared" si="38"/>
        <v>2044</v>
      </c>
    </row>
    <row r="37" spans="1:17" ht="16.5" customHeight="1">
      <c r="A37" s="425"/>
      <c r="B37" s="430"/>
      <c r="C37" s="428" t="s">
        <v>192</v>
      </c>
      <c r="D37" s="428"/>
      <c r="E37" s="428"/>
      <c r="F37" s="66">
        <f t="shared" si="53"/>
        <v>96000</v>
      </c>
      <c r="G37" s="66">
        <v>0</v>
      </c>
      <c r="H37" s="66">
        <f>'2.하수관거 사업비_산출근거'!N79+'2.하수관거 사업비_산출근거'!Y79+'2.하수관거 사업비_산출근거'!AC79</f>
        <v>64000</v>
      </c>
      <c r="I37" s="66">
        <f>'2.하수관거 사업비_산출근거'!AA79</f>
        <v>32000</v>
      </c>
      <c r="J37" s="67">
        <f>'2.하수관거 사업비_산출근거'!P79</f>
        <v>0</v>
      </c>
      <c r="K37" s="273">
        <f>'2.하수관거 사업비_산출근거'!R79+'2.하수관거 사업비_산출근거'!T79+'2.하수관거 사업비_산출근거'!W79</f>
        <v>0</v>
      </c>
      <c r="L37" s="53"/>
      <c r="M37" s="386">
        <f t="shared" si="34"/>
        <v>4158</v>
      </c>
      <c r="N37" s="386">
        <f t="shared" si="35"/>
        <v>64</v>
      </c>
      <c r="O37" s="386">
        <f t="shared" si="36"/>
        <v>1482</v>
      </c>
      <c r="P37" s="386">
        <f t="shared" si="37"/>
        <v>1842</v>
      </c>
      <c r="Q37" s="386">
        <f t="shared" si="38"/>
        <v>771</v>
      </c>
    </row>
    <row r="38" spans="1:17" ht="16.5" customHeight="1">
      <c r="A38" s="425"/>
      <c r="B38" s="430"/>
      <c r="C38" s="428" t="s">
        <v>193</v>
      </c>
      <c r="D38" s="428"/>
      <c r="E38" s="428"/>
      <c r="F38" s="66">
        <f t="shared" si="53"/>
        <v>8288000</v>
      </c>
      <c r="G38" s="66">
        <v>0</v>
      </c>
      <c r="H38" s="66">
        <f>'2.하수관거 사업비_산출근거'!N100+'2.하수관거 사업비_산출근거'!Y100</f>
        <v>0</v>
      </c>
      <c r="I38" s="66">
        <f>'2.하수관거 사업비_산출근거'!AA100</f>
        <v>0</v>
      </c>
      <c r="J38" s="67">
        <f>630*7600+3500000</f>
        <v>8288000</v>
      </c>
      <c r="K38" s="273">
        <f>'2.하수관거 사업비_산출근거'!R100+'2.하수관거 사업비_산출근거'!T100+'2.하수관거 사업비_산출근거'!W100</f>
        <v>0</v>
      </c>
      <c r="L38" s="53"/>
      <c r="M38" s="386">
        <f t="shared" si="34"/>
        <v>96</v>
      </c>
      <c r="N38" s="386">
        <f t="shared" si="35"/>
        <v>0</v>
      </c>
      <c r="O38" s="386">
        <f t="shared" si="36"/>
        <v>64</v>
      </c>
      <c r="P38" s="386">
        <f t="shared" si="37"/>
        <v>32</v>
      </c>
      <c r="Q38" s="386">
        <f t="shared" si="38"/>
        <v>0</v>
      </c>
    </row>
    <row r="39" spans="1:17" ht="16.5" customHeight="1">
      <c r="A39" s="425"/>
      <c r="B39" s="430"/>
      <c r="C39" s="428" t="s">
        <v>194</v>
      </c>
      <c r="D39" s="428"/>
      <c r="E39" s="428"/>
      <c r="F39" s="66">
        <f t="shared" si="53"/>
        <v>106000</v>
      </c>
      <c r="G39" s="66">
        <v>0</v>
      </c>
      <c r="H39" s="66">
        <f>'2.하수관거 사업비_산출근거'!N93+'2.하수관거 사업비_산출근거'!Y93</f>
        <v>0</v>
      </c>
      <c r="I39" s="66">
        <f>'2.하수관거 사업비_산출근거'!AA93</f>
        <v>0</v>
      </c>
      <c r="J39" s="67">
        <f>'2.하수관거 사업비_산출근거'!P93+'2.하수관거 사업비_산출근거'!R93+'2.하수관거 사업비_산출근거'!T93+'2.하수관거 사업비_산출근거'!W93</f>
        <v>106000</v>
      </c>
      <c r="K39" s="273">
        <v>0</v>
      </c>
      <c r="L39" s="53"/>
      <c r="M39" s="386">
        <f t="shared" si="34"/>
        <v>8288</v>
      </c>
      <c r="N39" s="386">
        <f t="shared" si="35"/>
        <v>0</v>
      </c>
      <c r="O39" s="386">
        <f t="shared" si="36"/>
        <v>0</v>
      </c>
      <c r="P39" s="386">
        <f t="shared" si="37"/>
        <v>0</v>
      </c>
      <c r="Q39" s="386">
        <f t="shared" si="38"/>
        <v>8288</v>
      </c>
    </row>
    <row r="40" spans="1:17" ht="16.5" customHeight="1">
      <c r="A40" s="425"/>
      <c r="B40" s="430"/>
      <c r="C40" s="419" t="s">
        <v>208</v>
      </c>
      <c r="D40" s="420"/>
      <c r="E40" s="421"/>
      <c r="F40" s="66">
        <f t="shared" si="53"/>
        <v>320633</v>
      </c>
      <c r="G40" s="66">
        <v>0</v>
      </c>
      <c r="H40" s="66">
        <f>'2.하수관거 사업비_산출근거'!N96+'2.하수관거 사업비_산출근거'!Y96+'2.하수관거 사업비_산출근거'!AC96</f>
        <v>102203</v>
      </c>
      <c r="I40" s="66">
        <f>'2.하수관거 사업비_산출근거'!AA96</f>
        <v>121223</v>
      </c>
      <c r="J40" s="67">
        <f>'2.하수관거 사업비_산출근거'!P96+'2.하수관거 사업비_산출근거'!R96+'2.하수관거 사업비_산출근거'!T96+'2.하수관거 사업비_산출근거'!W96</f>
        <v>97207</v>
      </c>
      <c r="K40" s="273">
        <v>0</v>
      </c>
      <c r="L40" s="53"/>
      <c r="M40" s="386">
        <f t="shared" si="34"/>
        <v>106</v>
      </c>
      <c r="N40" s="386">
        <f t="shared" si="35"/>
        <v>0</v>
      </c>
      <c r="O40" s="386">
        <f t="shared" si="36"/>
        <v>0</v>
      </c>
      <c r="P40" s="386">
        <f t="shared" si="37"/>
        <v>0</v>
      </c>
      <c r="Q40" s="386">
        <f t="shared" si="38"/>
        <v>106</v>
      </c>
    </row>
    <row r="41" spans="1:17" ht="16.5" customHeight="1">
      <c r="A41" s="425"/>
      <c r="B41" s="431"/>
      <c r="C41" s="419" t="s">
        <v>209</v>
      </c>
      <c r="D41" s="420"/>
      <c r="E41" s="421"/>
      <c r="F41" s="66">
        <f t="shared" si="53"/>
        <v>1062403</v>
      </c>
      <c r="G41" s="66">
        <v>0</v>
      </c>
      <c r="H41" s="66">
        <f>'2.하수관거 사업비_산출근거'!N97+'2.하수관거 사업비_산출근거'!Y97+'2.하수관거 사업비_산출근거'!AC97</f>
        <v>310702</v>
      </c>
      <c r="I41" s="66">
        <f>'2.하수관거 사업비_산출근거'!AA97</f>
        <v>362618</v>
      </c>
      <c r="J41" s="67">
        <f>'2.하수관거 사업비_산출근거'!P97+'2.하수관거 사업비_산출근거'!R97+'2.하수관거 사업비_산출근거'!T97+'2.하수관거 사업비_산출근거'!W97</f>
        <v>389083</v>
      </c>
      <c r="K41" s="273">
        <v>0</v>
      </c>
      <c r="L41" s="53"/>
      <c r="M41" s="386">
        <f>M42+M43</f>
        <v>1383</v>
      </c>
      <c r="N41" s="386">
        <f t="shared" ref="N41:Q41" si="54">N42+N43</f>
        <v>0</v>
      </c>
      <c r="O41" s="386">
        <f t="shared" si="54"/>
        <v>413</v>
      </c>
      <c r="P41" s="386">
        <f t="shared" si="54"/>
        <v>484</v>
      </c>
      <c r="Q41" s="386">
        <f t="shared" si="54"/>
        <v>486</v>
      </c>
    </row>
    <row r="42" spans="1:17" ht="16.5" customHeight="1">
      <c r="A42" s="425"/>
      <c r="B42" s="428" t="s">
        <v>195</v>
      </c>
      <c r="C42" s="428"/>
      <c r="D42" s="428"/>
      <c r="E42" s="428"/>
      <c r="F42" s="66">
        <f t="shared" si="53"/>
        <v>0</v>
      </c>
      <c r="G42" s="66">
        <v>0</v>
      </c>
      <c r="H42" s="66">
        <v>0</v>
      </c>
      <c r="I42" s="66">
        <v>0</v>
      </c>
      <c r="J42" s="67">
        <v>0</v>
      </c>
      <c r="K42" s="273"/>
      <c r="L42" s="53"/>
      <c r="M42" s="387">
        <f t="shared" ref="M42:M61" si="55">ROUND(F40/1000,0)</f>
        <v>321</v>
      </c>
      <c r="N42" s="387">
        <f t="shared" ref="N42:N61" si="56">ROUND(G40/1000,0)</f>
        <v>0</v>
      </c>
      <c r="O42" s="387">
        <f t="shared" ref="O42:O61" si="57">ROUND(H40/1000,0)</f>
        <v>102</v>
      </c>
      <c r="P42" s="387">
        <f t="shared" ref="P42:P61" si="58">ROUND(I40/1000,0)</f>
        <v>121</v>
      </c>
      <c r="Q42" s="387">
        <f t="shared" ref="Q42:Q61" si="59">ROUND(J40/1000,0)</f>
        <v>97</v>
      </c>
    </row>
    <row r="43" spans="1:17" ht="16.5" customHeight="1">
      <c r="A43" s="426"/>
      <c r="B43" s="432" t="s">
        <v>196</v>
      </c>
      <c r="C43" s="432"/>
      <c r="D43" s="432"/>
      <c r="E43" s="432"/>
      <c r="F43" s="68">
        <f t="shared" si="53"/>
        <v>2944255</v>
      </c>
      <c r="G43" s="68">
        <v>0</v>
      </c>
      <c r="H43" s="68">
        <f>'2.하수관거 사업비_산출근거'!N101+'2.하수관거 사업비_산출근거'!N102+'2.하수관거 사업비_산출근거'!N103+'2.하수관거 사업비_산출근거'!N104+'2.하수관거 사업비_산출근거'!Y101+'2.하수관거 사업비_산출근거'!Y102+'2.하수관거 사업비_산출근거'!Y103+'2.하수관거 사업비_산출근거'!Y104+'2.하수관거 사업비_산출근거'!AC101+'2.하수관거 사업비_산출근거'!AC102+'2.하수관거 사업비_산출근거'!AC103+'2.하수관거 사업비_산출근거'!AC104</f>
        <v>817328</v>
      </c>
      <c r="I43" s="68">
        <f>'2.하수관거 사업비_산출근거'!AA101+'2.하수관거 사업비_산출근거'!AA102+'2.하수관거 사업비_산출근거'!AA103+'2.하수관거 사업비_산출근거'!AA104</f>
        <v>939994</v>
      </c>
      <c r="J43" s="69">
        <f>'2.하수관거 사업비_산출근거'!P101+'2.하수관거 사업비_산출근거'!P102+'2.하수관거 사업비_산출근거'!P103+'2.하수관거 사업비_산출근거'!P104+'2.하수관거 사업비_산출근거'!K101+'2.하수관거 사업비_산출근거'!K102+'2.하수관거 사업비_산출근거'!K103+'2.하수관거 사업비_산출근거'!K104+'2.하수관거 사업비_산출근거'!R101+'2.하수관거 사업비_산출근거'!R102+'2.하수관거 사업비_산출근거'!R103+'2.하수관거 사업비_산출근거'!R104+'2.하수관거 사업비_산출근거'!T101+'2.하수관거 사업비_산출근거'!T102+'2.하수관거 사업비_산출근거'!T103+'2.하수관거 사업비_산출근거'!T104+'2.하수관거 사업비_산출근거'!W101+'2.하수관거 사업비_산출근거'!W102+'2.하수관거 사업비_산출근거'!W103+'2.하수관거 사업비_산출근거'!W104</f>
        <v>1186933</v>
      </c>
      <c r="K43" s="274">
        <v>0</v>
      </c>
      <c r="L43" s="53"/>
      <c r="M43" s="387">
        <f t="shared" si="55"/>
        <v>1062</v>
      </c>
      <c r="N43" s="387">
        <f t="shared" si="56"/>
        <v>0</v>
      </c>
      <c r="O43" s="387">
        <f t="shared" si="57"/>
        <v>311</v>
      </c>
      <c r="P43" s="387">
        <f t="shared" si="58"/>
        <v>363</v>
      </c>
      <c r="Q43" s="387">
        <f t="shared" si="59"/>
        <v>389</v>
      </c>
    </row>
    <row r="44" spans="1:17" ht="16.5" customHeight="1">
      <c r="A44" s="424" t="s">
        <v>201</v>
      </c>
      <c r="B44" s="427" t="s">
        <v>3</v>
      </c>
      <c r="C44" s="427"/>
      <c r="D44" s="427"/>
      <c r="E44" s="427"/>
      <c r="F44" s="75">
        <f>F45+F62+F63</f>
        <v>31759284</v>
      </c>
      <c r="G44" s="75">
        <f t="shared" ref="G44:H44" si="60">G45+G62+G63</f>
        <v>11355000</v>
      </c>
      <c r="H44" s="75">
        <f t="shared" si="60"/>
        <v>0</v>
      </c>
      <c r="I44" s="75">
        <f t="shared" ref="I44" si="61">I45+I62+I63</f>
        <v>13766166</v>
      </c>
      <c r="J44" s="76">
        <f t="shared" ref="J44" si="62">J45+J62+J63</f>
        <v>6638118</v>
      </c>
      <c r="K44" s="269">
        <f t="shared" ref="K44" si="63">K45+K62+K63</f>
        <v>0</v>
      </c>
      <c r="L44" s="53"/>
      <c r="M44" s="386">
        <f t="shared" si="55"/>
        <v>0</v>
      </c>
      <c r="N44" s="386">
        <f t="shared" si="56"/>
        <v>0</v>
      </c>
      <c r="O44" s="386">
        <f t="shared" si="57"/>
        <v>0</v>
      </c>
      <c r="P44" s="386">
        <f t="shared" si="58"/>
        <v>0</v>
      </c>
      <c r="Q44" s="386">
        <f t="shared" si="59"/>
        <v>0</v>
      </c>
    </row>
    <row r="45" spans="1:17" ht="16.5" customHeight="1">
      <c r="A45" s="425"/>
      <c r="B45" s="429" t="s">
        <v>185</v>
      </c>
      <c r="C45" s="428" t="s">
        <v>186</v>
      </c>
      <c r="D45" s="428"/>
      <c r="E45" s="428"/>
      <c r="F45" s="72">
        <f>F46+F56+F57+F58+F59+F60+F61</f>
        <v>30160393</v>
      </c>
      <c r="G45" s="72">
        <f t="shared" ref="G45:H45" si="64">G46+G56+G57+G58+G59+G60+G61</f>
        <v>11355000</v>
      </c>
      <c r="H45" s="72">
        <f t="shared" si="64"/>
        <v>0</v>
      </c>
      <c r="I45" s="72">
        <f t="shared" ref="I45" si="65">I46+I56+I57+I58+I59+I60+I61</f>
        <v>12783878</v>
      </c>
      <c r="J45" s="77">
        <f t="shared" ref="J45" si="66">J46+J56+J57+J58+J59+J60+J61</f>
        <v>6021515</v>
      </c>
      <c r="K45" s="270">
        <f t="shared" ref="K45" si="67">K46+K56+K57+K58+K59+K60+K61</f>
        <v>0</v>
      </c>
      <c r="M45" s="386">
        <f t="shared" si="55"/>
        <v>2944</v>
      </c>
      <c r="N45" s="386">
        <f t="shared" si="56"/>
        <v>0</v>
      </c>
      <c r="O45" s="386">
        <f t="shared" si="57"/>
        <v>817</v>
      </c>
      <c r="P45" s="386">
        <f t="shared" si="58"/>
        <v>940</v>
      </c>
      <c r="Q45" s="386">
        <f t="shared" si="59"/>
        <v>1187</v>
      </c>
    </row>
    <row r="46" spans="1:17" ht="16.5" customHeight="1">
      <c r="A46" s="425"/>
      <c r="B46" s="430"/>
      <c r="C46" s="428" t="s">
        <v>197</v>
      </c>
      <c r="D46" s="428" t="s">
        <v>183</v>
      </c>
      <c r="E46" s="428"/>
      <c r="F46" s="71">
        <f>F47+F51</f>
        <v>26033920</v>
      </c>
      <c r="G46" s="71">
        <f t="shared" ref="G46:H46" si="68">G47+G51</f>
        <v>10666000</v>
      </c>
      <c r="H46" s="71">
        <f t="shared" si="68"/>
        <v>0</v>
      </c>
      <c r="I46" s="71">
        <f t="shared" ref="I46" si="69">I47+I51</f>
        <v>9678892</v>
      </c>
      <c r="J46" s="78">
        <f t="shared" ref="J46" si="70">J47+J51</f>
        <v>5689028</v>
      </c>
      <c r="K46" s="271">
        <f t="shared" ref="K46" si="71">K47+K51</f>
        <v>0</v>
      </c>
      <c r="M46" s="386">
        <f t="shared" si="55"/>
        <v>31759</v>
      </c>
      <c r="N46" s="386">
        <f t="shared" si="56"/>
        <v>11355</v>
      </c>
      <c r="O46" s="386">
        <f t="shared" si="57"/>
        <v>0</v>
      </c>
      <c r="P46" s="386">
        <f t="shared" si="58"/>
        <v>13766</v>
      </c>
      <c r="Q46" s="386">
        <f t="shared" si="59"/>
        <v>6638</v>
      </c>
    </row>
    <row r="47" spans="1:17" ht="16.5" customHeight="1">
      <c r="A47" s="425"/>
      <c r="B47" s="430"/>
      <c r="C47" s="428"/>
      <c r="D47" s="428" t="s">
        <v>198</v>
      </c>
      <c r="E47" s="300" t="s">
        <v>187</v>
      </c>
      <c r="F47" s="70">
        <f t="shared" ref="F47" si="72">SUM(F48:F50)</f>
        <v>22303592</v>
      </c>
      <c r="G47" s="70">
        <f t="shared" ref="G47:K47" si="73">SUM(G48:G50)</f>
        <v>10666000</v>
      </c>
      <c r="H47" s="70">
        <f t="shared" si="73"/>
        <v>0</v>
      </c>
      <c r="I47" s="70">
        <f t="shared" si="73"/>
        <v>8986139</v>
      </c>
      <c r="J47" s="79">
        <f t="shared" si="73"/>
        <v>2651453</v>
      </c>
      <c r="K47" s="272">
        <f t="shared" si="73"/>
        <v>0</v>
      </c>
      <c r="M47" s="386">
        <f t="shared" si="55"/>
        <v>30160</v>
      </c>
      <c r="N47" s="386">
        <f t="shared" si="56"/>
        <v>11355</v>
      </c>
      <c r="O47" s="386">
        <f t="shared" si="57"/>
        <v>0</v>
      </c>
      <c r="P47" s="386">
        <f t="shared" si="58"/>
        <v>12784</v>
      </c>
      <c r="Q47" s="386">
        <f t="shared" si="59"/>
        <v>6022</v>
      </c>
    </row>
    <row r="48" spans="1:17" ht="16.5" customHeight="1">
      <c r="A48" s="425"/>
      <c r="B48" s="430"/>
      <c r="C48" s="428"/>
      <c r="D48" s="428"/>
      <c r="E48" s="300" t="s">
        <v>188</v>
      </c>
      <c r="F48" s="66">
        <f>SUM(G48:K48)</f>
        <v>19652139</v>
      </c>
      <c r="G48" s="66">
        <f>10001000+665000</f>
        <v>10666000</v>
      </c>
      <c r="H48" s="66">
        <v>0</v>
      </c>
      <c r="I48" s="66">
        <f>'2.하수관거 사업비_산출근거'!AH36+'2.하수관거 사업비_산출근거'!AJ36+'2.하수관거 사업비_산출근거'!AL36</f>
        <v>8986139</v>
      </c>
      <c r="J48" s="67">
        <f>'2.하수관거 사업비_산출근거'!AF36</f>
        <v>0</v>
      </c>
      <c r="K48" s="273">
        <v>0</v>
      </c>
      <c r="M48" s="386">
        <f t="shared" si="55"/>
        <v>26034</v>
      </c>
      <c r="N48" s="386">
        <f t="shared" si="56"/>
        <v>10666</v>
      </c>
      <c r="O48" s="386">
        <f t="shared" si="57"/>
        <v>0</v>
      </c>
      <c r="P48" s="386">
        <f t="shared" si="58"/>
        <v>9679</v>
      </c>
      <c r="Q48" s="386">
        <f t="shared" si="59"/>
        <v>5689</v>
      </c>
    </row>
    <row r="49" spans="1:17" ht="16.5" customHeight="1">
      <c r="A49" s="425"/>
      <c r="B49" s="430"/>
      <c r="C49" s="428"/>
      <c r="D49" s="428"/>
      <c r="E49" s="300" t="s">
        <v>189</v>
      </c>
      <c r="F49" s="66">
        <f>SUM(G49:K49)</f>
        <v>2446512</v>
      </c>
      <c r="G49" s="66">
        <v>0</v>
      </c>
      <c r="H49" s="66">
        <v>0</v>
      </c>
      <c r="I49" s="66">
        <f>'2.하수관거 사업비_산출근거'!AH9+'2.하수관거 사업비_산출근거'!AJ9+'2.하수관거 사업비_산출근거'!AL9</f>
        <v>0</v>
      </c>
      <c r="J49" s="67">
        <f>'2.하수관거 사업비_산출근거'!AF9</f>
        <v>2446512</v>
      </c>
      <c r="K49" s="273">
        <v>0</v>
      </c>
      <c r="M49" s="386">
        <f t="shared" si="55"/>
        <v>22304</v>
      </c>
      <c r="N49" s="386">
        <f t="shared" si="56"/>
        <v>10666</v>
      </c>
      <c r="O49" s="386">
        <f t="shared" si="57"/>
        <v>0</v>
      </c>
      <c r="P49" s="386">
        <f t="shared" si="58"/>
        <v>8986</v>
      </c>
      <c r="Q49" s="386">
        <f t="shared" si="59"/>
        <v>2651</v>
      </c>
    </row>
    <row r="50" spans="1:17" ht="16.5" customHeight="1">
      <c r="A50" s="425"/>
      <c r="B50" s="430"/>
      <c r="C50" s="428"/>
      <c r="D50" s="428"/>
      <c r="E50" s="300" t="s">
        <v>190</v>
      </c>
      <c r="F50" s="66">
        <f>SUM(G50:K50)</f>
        <v>204941</v>
      </c>
      <c r="G50" s="66">
        <v>0</v>
      </c>
      <c r="H50" s="66">
        <v>0</v>
      </c>
      <c r="I50" s="66">
        <f>'2.하수관거 사업비_산출근거'!AH18+'2.하수관거 사업비_산출근거'!AJ18+'2.하수관거 사업비_산출근거'!AL18+'2.하수관거 사업비_산출근거'!AH27+'2.하수관거 사업비_산출근거'!AJ27+'2.하수관거 사업비_산출근거'!AL27</f>
        <v>0</v>
      </c>
      <c r="J50" s="67">
        <f>'2.하수관거 사업비_산출근거'!AF18+'2.하수관거 사업비_산출근거'!AF27</f>
        <v>204941</v>
      </c>
      <c r="K50" s="273">
        <v>0</v>
      </c>
      <c r="M50" s="386">
        <f t="shared" si="55"/>
        <v>19652</v>
      </c>
      <c r="N50" s="386">
        <f t="shared" si="56"/>
        <v>10666</v>
      </c>
      <c r="O50" s="386">
        <f t="shared" si="57"/>
        <v>0</v>
      </c>
      <c r="P50" s="386">
        <f t="shared" si="58"/>
        <v>8986</v>
      </c>
      <c r="Q50" s="386">
        <f t="shared" si="59"/>
        <v>0</v>
      </c>
    </row>
    <row r="51" spans="1:17" ht="16.5" customHeight="1">
      <c r="A51" s="425"/>
      <c r="B51" s="430"/>
      <c r="C51" s="428"/>
      <c r="D51" s="428" t="s">
        <v>199</v>
      </c>
      <c r="E51" s="300" t="s">
        <v>187</v>
      </c>
      <c r="F51" s="70">
        <f t="shared" ref="F51" si="74">SUM(F52:F54)</f>
        <v>3730328</v>
      </c>
      <c r="G51" s="70">
        <f t="shared" ref="G51:K51" si="75">SUM(G52:G54)</f>
        <v>0</v>
      </c>
      <c r="H51" s="70">
        <f t="shared" si="75"/>
        <v>0</v>
      </c>
      <c r="I51" s="70">
        <f t="shared" si="75"/>
        <v>692753</v>
      </c>
      <c r="J51" s="79">
        <f t="shared" si="75"/>
        <v>3037575</v>
      </c>
      <c r="K51" s="272">
        <f t="shared" si="75"/>
        <v>0</v>
      </c>
      <c r="M51" s="386">
        <f t="shared" si="55"/>
        <v>2447</v>
      </c>
      <c r="N51" s="386">
        <f t="shared" si="56"/>
        <v>0</v>
      </c>
      <c r="O51" s="386">
        <f t="shared" si="57"/>
        <v>0</v>
      </c>
      <c r="P51" s="386">
        <f t="shared" si="58"/>
        <v>0</v>
      </c>
      <c r="Q51" s="386">
        <f t="shared" si="59"/>
        <v>2447</v>
      </c>
    </row>
    <row r="52" spans="1:17" ht="16.5" customHeight="1">
      <c r="A52" s="425"/>
      <c r="B52" s="430"/>
      <c r="C52" s="428"/>
      <c r="D52" s="428"/>
      <c r="E52" s="300" t="s">
        <v>188</v>
      </c>
      <c r="F52" s="66">
        <f t="shared" ref="F52:F63" si="76">SUM(G52:K52)</f>
        <v>0</v>
      </c>
      <c r="G52" s="66">
        <v>0</v>
      </c>
      <c r="H52" s="66">
        <v>0</v>
      </c>
      <c r="I52" s="66">
        <v>0</v>
      </c>
      <c r="J52" s="67">
        <v>0</v>
      </c>
      <c r="K52" s="273">
        <v>0</v>
      </c>
      <c r="M52" s="386">
        <f t="shared" si="55"/>
        <v>205</v>
      </c>
      <c r="N52" s="386">
        <f t="shared" si="56"/>
        <v>0</v>
      </c>
      <c r="O52" s="386">
        <f t="shared" si="57"/>
        <v>0</v>
      </c>
      <c r="P52" s="386">
        <f t="shared" si="58"/>
        <v>0</v>
      </c>
      <c r="Q52" s="386">
        <f t="shared" si="59"/>
        <v>205</v>
      </c>
    </row>
    <row r="53" spans="1:17" ht="16.5" customHeight="1">
      <c r="A53" s="425"/>
      <c r="B53" s="430"/>
      <c r="C53" s="428"/>
      <c r="D53" s="428"/>
      <c r="E53" s="300" t="s">
        <v>189</v>
      </c>
      <c r="F53" s="66">
        <f t="shared" si="76"/>
        <v>2976704</v>
      </c>
      <c r="G53" s="66">
        <v>0</v>
      </c>
      <c r="H53" s="66">
        <v>0</v>
      </c>
      <c r="I53" s="66">
        <f>'2.하수관거 사업비_산출근거'!AH42+'2.하수관거 사업비_산출근거'!AJ42+'2.하수관거 사업비_산출근거'!AL42</f>
        <v>529426</v>
      </c>
      <c r="J53" s="67">
        <f>'2.하수관거 사업비_산출근거'!AF42</f>
        <v>2447278</v>
      </c>
      <c r="K53" s="273">
        <v>0</v>
      </c>
      <c r="M53" s="386">
        <f t="shared" si="55"/>
        <v>3730</v>
      </c>
      <c r="N53" s="386">
        <f t="shared" si="56"/>
        <v>0</v>
      </c>
      <c r="O53" s="386">
        <f t="shared" si="57"/>
        <v>0</v>
      </c>
      <c r="P53" s="386">
        <f t="shared" si="58"/>
        <v>693</v>
      </c>
      <c r="Q53" s="386">
        <f t="shared" si="59"/>
        <v>3038</v>
      </c>
    </row>
    <row r="54" spans="1:17" ht="16.5" customHeight="1">
      <c r="A54" s="425"/>
      <c r="B54" s="430"/>
      <c r="C54" s="428"/>
      <c r="D54" s="428"/>
      <c r="E54" s="300" t="s">
        <v>190</v>
      </c>
      <c r="F54" s="66">
        <f t="shared" si="76"/>
        <v>753624</v>
      </c>
      <c r="G54" s="66">
        <v>0</v>
      </c>
      <c r="H54" s="66">
        <v>0</v>
      </c>
      <c r="I54" s="66">
        <f>'2.하수관거 사업비_산출근거'!AH55+'2.하수관거 사업비_산출근거'!AH67+'2.하수관거 사업비_산출근거'!AJ55+'2.하수관거 사업비_산출근거'!AJ67+'2.하수관거 사업비_산출근거'!AL55+'2.하수관거 사업비_산출근거'!AL67</f>
        <v>163327</v>
      </c>
      <c r="J54" s="67">
        <f>'2.하수관거 사업비_산출근거'!AF55+'2.하수관거 사업비_산출근거'!AF67</f>
        <v>590297</v>
      </c>
      <c r="K54" s="273">
        <v>0</v>
      </c>
      <c r="M54" s="386">
        <f t="shared" si="55"/>
        <v>0</v>
      </c>
      <c r="N54" s="386">
        <f t="shared" si="56"/>
        <v>0</v>
      </c>
      <c r="O54" s="386">
        <f t="shared" si="57"/>
        <v>0</v>
      </c>
      <c r="P54" s="386">
        <f t="shared" si="58"/>
        <v>0</v>
      </c>
      <c r="Q54" s="386">
        <f t="shared" si="59"/>
        <v>0</v>
      </c>
    </row>
    <row r="55" spans="1:17" ht="16.5" customHeight="1">
      <c r="A55" s="425"/>
      <c r="B55" s="430"/>
      <c r="C55" s="419" t="s">
        <v>287</v>
      </c>
      <c r="D55" s="420"/>
      <c r="E55" s="421"/>
      <c r="F55" s="66">
        <f t="shared" si="76"/>
        <v>0</v>
      </c>
      <c r="G55" s="66">
        <v>0</v>
      </c>
      <c r="H55" s="66">
        <v>0</v>
      </c>
      <c r="I55" s="66">
        <v>0</v>
      </c>
      <c r="J55" s="67">
        <v>0</v>
      </c>
      <c r="K55" s="273">
        <v>0</v>
      </c>
      <c r="M55" s="386">
        <f t="shared" si="55"/>
        <v>2977</v>
      </c>
      <c r="N55" s="386">
        <f t="shared" si="56"/>
        <v>0</v>
      </c>
      <c r="O55" s="386">
        <f t="shared" si="57"/>
        <v>0</v>
      </c>
      <c r="P55" s="386">
        <f t="shared" si="58"/>
        <v>529</v>
      </c>
      <c r="Q55" s="386">
        <f t="shared" si="59"/>
        <v>2447</v>
      </c>
    </row>
    <row r="56" spans="1:17" ht="16.5" customHeight="1">
      <c r="A56" s="425"/>
      <c r="B56" s="430"/>
      <c r="C56" s="428" t="s">
        <v>191</v>
      </c>
      <c r="D56" s="428"/>
      <c r="E56" s="428"/>
      <c r="F56" s="66">
        <f t="shared" si="76"/>
        <v>2799900</v>
      </c>
      <c r="G56" s="66">
        <f>400000</f>
        <v>400000</v>
      </c>
      <c r="H56" s="66">
        <v>0</v>
      </c>
      <c r="I56" s="66">
        <f>'2.하수관거 사업비_산출근거'!AH90+'2.하수관거 사업비_산출근거'!AJ90+'2.하수관거 사업비_산출근거'!AL90</f>
        <v>2351900</v>
      </c>
      <c r="J56" s="67">
        <f>'2.하수관거 사업비_산출근거'!AF90</f>
        <v>48000</v>
      </c>
      <c r="K56" s="273">
        <v>0</v>
      </c>
      <c r="M56" s="386">
        <f t="shared" si="55"/>
        <v>754</v>
      </c>
      <c r="N56" s="386">
        <f t="shared" si="56"/>
        <v>0</v>
      </c>
      <c r="O56" s="386">
        <f t="shared" si="57"/>
        <v>0</v>
      </c>
      <c r="P56" s="386">
        <f t="shared" si="58"/>
        <v>163</v>
      </c>
      <c r="Q56" s="386">
        <f t="shared" si="59"/>
        <v>590</v>
      </c>
    </row>
    <row r="57" spans="1:17" ht="16.5" customHeight="1">
      <c r="A57" s="425"/>
      <c r="B57" s="430"/>
      <c r="C57" s="428" t="s">
        <v>192</v>
      </c>
      <c r="D57" s="428"/>
      <c r="E57" s="428"/>
      <c r="F57" s="66">
        <f t="shared" si="76"/>
        <v>321000</v>
      </c>
      <c r="G57" s="66">
        <f>289000</f>
        <v>289000</v>
      </c>
      <c r="H57" s="66">
        <v>0</v>
      </c>
      <c r="I57" s="66">
        <f>'2.하수관거 사업비_산출근거'!AH79+'2.하수관거 사업비_산출근거'!AJ79+'2.하수관거 사업비_산출근거'!AL79</f>
        <v>32000</v>
      </c>
      <c r="J57" s="67">
        <f>'2.하수관거 사업비_산출근거'!AF79</f>
        <v>0</v>
      </c>
      <c r="K57" s="273">
        <v>0</v>
      </c>
      <c r="M57" s="386">
        <f t="shared" si="55"/>
        <v>0</v>
      </c>
      <c r="N57" s="386">
        <f t="shared" si="56"/>
        <v>0</v>
      </c>
      <c r="O57" s="386">
        <f t="shared" si="57"/>
        <v>0</v>
      </c>
      <c r="P57" s="386">
        <f t="shared" si="58"/>
        <v>0</v>
      </c>
      <c r="Q57" s="386">
        <f t="shared" si="59"/>
        <v>0</v>
      </c>
    </row>
    <row r="58" spans="1:17" ht="16.5" customHeight="1">
      <c r="A58" s="425"/>
      <c r="B58" s="430"/>
      <c r="C58" s="428" t="s">
        <v>193</v>
      </c>
      <c r="D58" s="428"/>
      <c r="E58" s="428"/>
      <c r="F58" s="66">
        <f t="shared" si="76"/>
        <v>0</v>
      </c>
      <c r="G58" s="66">
        <v>0</v>
      </c>
      <c r="H58" s="66">
        <v>0</v>
      </c>
      <c r="I58" s="66">
        <f>'2.하수관거 사업비_산출근거'!AH100+'2.하수관거 사업비_산출근거'!AJ100+'2.하수관거 사업비_산출근거'!AL100</f>
        <v>0</v>
      </c>
      <c r="J58" s="67">
        <v>0</v>
      </c>
      <c r="K58" s="273">
        <v>0</v>
      </c>
      <c r="M58" s="386">
        <f t="shared" si="55"/>
        <v>2800</v>
      </c>
      <c r="N58" s="386">
        <f t="shared" si="56"/>
        <v>400</v>
      </c>
      <c r="O58" s="386">
        <f t="shared" si="57"/>
        <v>0</v>
      </c>
      <c r="P58" s="386">
        <f t="shared" si="58"/>
        <v>2352</v>
      </c>
      <c r="Q58" s="386">
        <f t="shared" si="59"/>
        <v>48</v>
      </c>
    </row>
    <row r="59" spans="1:17" ht="16.5" customHeight="1">
      <c r="A59" s="425"/>
      <c r="B59" s="430"/>
      <c r="C59" s="428" t="s">
        <v>194</v>
      </c>
      <c r="D59" s="428"/>
      <c r="E59" s="428"/>
      <c r="F59" s="66">
        <f t="shared" si="76"/>
        <v>106000</v>
      </c>
      <c r="G59" s="66">
        <v>0</v>
      </c>
      <c r="H59" s="66">
        <v>0</v>
      </c>
      <c r="I59" s="66">
        <f>'2.하수관거 사업비_산출근거'!AH93+'2.하수관거 사업비_산출근거'!AJ93+'2.하수관거 사업비_산출근거'!AL93</f>
        <v>53000</v>
      </c>
      <c r="J59" s="67">
        <f>'2.하수관거 사업비_산출근거'!AF93</f>
        <v>53000</v>
      </c>
      <c r="K59" s="273">
        <v>0</v>
      </c>
      <c r="M59" s="386">
        <f t="shared" si="55"/>
        <v>321</v>
      </c>
      <c r="N59" s="386">
        <f t="shared" si="56"/>
        <v>289</v>
      </c>
      <c r="O59" s="386">
        <f t="shared" si="57"/>
        <v>0</v>
      </c>
      <c r="P59" s="386">
        <f t="shared" si="58"/>
        <v>32</v>
      </c>
      <c r="Q59" s="386">
        <f t="shared" si="59"/>
        <v>0</v>
      </c>
    </row>
    <row r="60" spans="1:17" ht="16.5" customHeight="1">
      <c r="A60" s="425"/>
      <c r="B60" s="430"/>
      <c r="C60" s="419" t="s">
        <v>208</v>
      </c>
      <c r="D60" s="420"/>
      <c r="E60" s="421"/>
      <c r="F60" s="66">
        <f t="shared" si="76"/>
        <v>213915</v>
      </c>
      <c r="G60" s="66">
        <v>0</v>
      </c>
      <c r="H60" s="66">
        <v>0</v>
      </c>
      <c r="I60" s="66">
        <f>'2.하수관거 사업비_산출근거'!AH96+'2.하수관거 사업비_산출근거'!AJ96+'2.하수관거 사업비_산출근거'!AL96</f>
        <v>165101</v>
      </c>
      <c r="J60" s="67">
        <f>'2.하수관거 사업비_산출근거'!AF96</f>
        <v>48814</v>
      </c>
      <c r="K60" s="273">
        <v>0</v>
      </c>
      <c r="M60" s="386">
        <f t="shared" si="55"/>
        <v>0</v>
      </c>
      <c r="N60" s="386">
        <f t="shared" si="56"/>
        <v>0</v>
      </c>
      <c r="O60" s="386">
        <f t="shared" si="57"/>
        <v>0</v>
      </c>
      <c r="P60" s="386">
        <f t="shared" si="58"/>
        <v>0</v>
      </c>
      <c r="Q60" s="386">
        <f t="shared" si="59"/>
        <v>0</v>
      </c>
    </row>
    <row r="61" spans="1:17" ht="16.5" customHeight="1">
      <c r="A61" s="425"/>
      <c r="B61" s="431"/>
      <c r="C61" s="419" t="s">
        <v>209</v>
      </c>
      <c r="D61" s="420"/>
      <c r="E61" s="421"/>
      <c r="F61" s="66">
        <f t="shared" si="76"/>
        <v>685658</v>
      </c>
      <c r="G61" s="66">
        <v>0</v>
      </c>
      <c r="H61" s="66">
        <v>0</v>
      </c>
      <c r="I61" s="66">
        <f>'2.하수관거 사업비_산출근거'!AH97+'2.하수관거 사업비_산출근거'!AJ97+'2.하수관거 사업비_산출근거'!AL97</f>
        <v>502985</v>
      </c>
      <c r="J61" s="67">
        <f>'2.하수관거 사업비_산출근거'!AF97</f>
        <v>182673</v>
      </c>
      <c r="K61" s="273">
        <v>0</v>
      </c>
      <c r="M61" s="386">
        <f t="shared" si="55"/>
        <v>106</v>
      </c>
      <c r="N61" s="386">
        <f t="shared" si="56"/>
        <v>0</v>
      </c>
      <c r="O61" s="386">
        <f t="shared" si="57"/>
        <v>0</v>
      </c>
      <c r="P61" s="386">
        <f t="shared" si="58"/>
        <v>53</v>
      </c>
      <c r="Q61" s="386">
        <f t="shared" si="59"/>
        <v>53</v>
      </c>
    </row>
    <row r="62" spans="1:17" ht="16.5" customHeight="1">
      <c r="A62" s="425"/>
      <c r="B62" s="428" t="s">
        <v>195</v>
      </c>
      <c r="C62" s="428"/>
      <c r="D62" s="428"/>
      <c r="E62" s="428"/>
      <c r="F62" s="66">
        <f t="shared" si="76"/>
        <v>0</v>
      </c>
      <c r="G62" s="66">
        <v>0</v>
      </c>
      <c r="H62" s="66">
        <v>0</v>
      </c>
      <c r="I62" s="66">
        <v>0</v>
      </c>
      <c r="J62" s="67">
        <v>0</v>
      </c>
      <c r="K62" s="273">
        <v>0</v>
      </c>
      <c r="M62" s="388">
        <f>M63+M64</f>
        <v>900</v>
      </c>
      <c r="N62" s="388">
        <f t="shared" ref="N62:Q62" si="77">N63+N64</f>
        <v>0</v>
      </c>
      <c r="O62" s="388">
        <f t="shared" si="77"/>
        <v>0</v>
      </c>
      <c r="P62" s="388">
        <f t="shared" si="77"/>
        <v>668</v>
      </c>
      <c r="Q62" s="388">
        <f t="shared" si="77"/>
        <v>232</v>
      </c>
    </row>
    <row r="63" spans="1:17" ht="16.5" customHeight="1">
      <c r="A63" s="426"/>
      <c r="B63" s="432" t="s">
        <v>196</v>
      </c>
      <c r="C63" s="432"/>
      <c r="D63" s="432"/>
      <c r="E63" s="432"/>
      <c r="F63" s="68">
        <f t="shared" si="76"/>
        <v>1598891</v>
      </c>
      <c r="G63" s="68">
        <v>0</v>
      </c>
      <c r="H63" s="68">
        <v>0</v>
      </c>
      <c r="I63" s="68">
        <f>'2.하수관거 사업비_산출근거'!AH101+'2.하수관거 사업비_산출근거'!AH102+'2.하수관거 사업비_산출근거'!AH103+'2.하수관거 사업비_산출근거'!AH104+'2.하수관거 사업비_산출근거'!AJ101+'2.하수관거 사업비_산출근거'!AJ102+'2.하수관거 사업비_산출근거'!AJ103+'2.하수관거 사업비_산출근거'!AJ104+'2.하수관거 사업비_산출근거'!AL101+'2.하수관거 사업비_산출근거'!AL102+'2.하수관거 사업비_산출근거'!AL103+'2.하수관거 사업비_산출근거'!AL104</f>
        <v>982288</v>
      </c>
      <c r="J63" s="69">
        <f>'2.하수관거 사업비_산출근거'!AF101+'2.하수관거 사업비_산출근거'!AF102+'2.하수관거 사업비_산출근거'!AF103+'2.하수관거 사업비_산출근거'!AF104</f>
        <v>616603</v>
      </c>
      <c r="K63" s="274">
        <v>0</v>
      </c>
      <c r="M63" s="387">
        <f t="shared" ref="M63:Q70" si="78">ROUND(F60/1000,0)</f>
        <v>214</v>
      </c>
      <c r="N63" s="387">
        <f t="shared" si="78"/>
        <v>0</v>
      </c>
      <c r="O63" s="387">
        <f t="shared" si="78"/>
        <v>0</v>
      </c>
      <c r="P63" s="387">
        <f t="shared" si="78"/>
        <v>165</v>
      </c>
      <c r="Q63" s="387">
        <f t="shared" si="78"/>
        <v>49</v>
      </c>
    </row>
    <row r="64" spans="1:17" ht="16.5" customHeight="1">
      <c r="A64" s="424" t="s">
        <v>202</v>
      </c>
      <c r="B64" s="427" t="s">
        <v>3</v>
      </c>
      <c r="C64" s="427"/>
      <c r="D64" s="427"/>
      <c r="E64" s="427"/>
      <c r="F64" s="75">
        <f>F65+F82+F83</f>
        <v>15732159</v>
      </c>
      <c r="G64" s="75">
        <f t="shared" ref="G64:H64" si="79">G65+G82+G83</f>
        <v>4633000</v>
      </c>
      <c r="H64" s="75">
        <f t="shared" si="79"/>
        <v>11099159</v>
      </c>
      <c r="I64" s="75">
        <f t="shared" ref="I64" si="80">I65+I82+I83</f>
        <v>0</v>
      </c>
      <c r="J64" s="76">
        <f t="shared" ref="J64" si="81">J65+J82+J83</f>
        <v>0</v>
      </c>
      <c r="K64" s="269">
        <f t="shared" ref="K64" si="82">K65+K82+K83</f>
        <v>0</v>
      </c>
      <c r="M64" s="387">
        <f t="shared" si="78"/>
        <v>686</v>
      </c>
      <c r="N64" s="387">
        <f t="shared" si="78"/>
        <v>0</v>
      </c>
      <c r="O64" s="387">
        <f t="shared" si="78"/>
        <v>0</v>
      </c>
      <c r="P64" s="387">
        <f t="shared" si="78"/>
        <v>503</v>
      </c>
      <c r="Q64" s="387">
        <f t="shared" si="78"/>
        <v>183</v>
      </c>
    </row>
    <row r="65" spans="1:17" ht="16.5" customHeight="1">
      <c r="A65" s="425"/>
      <c r="B65" s="429" t="s">
        <v>185</v>
      </c>
      <c r="C65" s="428" t="s">
        <v>186</v>
      </c>
      <c r="D65" s="428"/>
      <c r="E65" s="428"/>
      <c r="F65" s="72">
        <f>F66+F76+F77+F78+F79+F80+F81</f>
        <v>15128127</v>
      </c>
      <c r="G65" s="72">
        <f t="shared" ref="G65" si="83">G66+G76+G77+G78+G79+G80+G81</f>
        <v>4633000</v>
      </c>
      <c r="H65" s="72">
        <f t="shared" ref="H65:K65" si="84">H66+H76+H77+H78+H79+H80+H81</f>
        <v>10495127</v>
      </c>
      <c r="I65" s="72">
        <f t="shared" ref="I65" si="85">I66+I76+I77+I78+I79+I80+I81</f>
        <v>0</v>
      </c>
      <c r="J65" s="77">
        <f t="shared" si="84"/>
        <v>0</v>
      </c>
      <c r="K65" s="270">
        <f t="shared" si="84"/>
        <v>0</v>
      </c>
      <c r="M65" s="386">
        <f t="shared" si="78"/>
        <v>0</v>
      </c>
      <c r="N65" s="386">
        <f t="shared" si="78"/>
        <v>0</v>
      </c>
      <c r="O65" s="386">
        <f t="shared" si="78"/>
        <v>0</v>
      </c>
      <c r="P65" s="386">
        <f t="shared" si="78"/>
        <v>0</v>
      </c>
      <c r="Q65" s="386">
        <f t="shared" si="78"/>
        <v>0</v>
      </c>
    </row>
    <row r="66" spans="1:17" ht="16.5" customHeight="1">
      <c r="A66" s="425"/>
      <c r="B66" s="430"/>
      <c r="C66" s="428" t="s">
        <v>197</v>
      </c>
      <c r="D66" s="428" t="s">
        <v>183</v>
      </c>
      <c r="E66" s="428"/>
      <c r="F66" s="71">
        <f>F67+F71</f>
        <v>12673340</v>
      </c>
      <c r="G66" s="71">
        <f t="shared" ref="G66" si="86">G67+G71</f>
        <v>4405000</v>
      </c>
      <c r="H66" s="71">
        <f t="shared" ref="H66:K66" si="87">H67+H71</f>
        <v>8268340</v>
      </c>
      <c r="I66" s="71">
        <f t="shared" ref="I66" si="88">I67+I71</f>
        <v>0</v>
      </c>
      <c r="J66" s="78">
        <f t="shared" si="87"/>
        <v>0</v>
      </c>
      <c r="K66" s="271">
        <f t="shared" si="87"/>
        <v>0</v>
      </c>
      <c r="M66" s="386">
        <f t="shared" si="78"/>
        <v>1599</v>
      </c>
      <c r="N66" s="386">
        <f t="shared" si="78"/>
        <v>0</v>
      </c>
      <c r="O66" s="386">
        <f t="shared" si="78"/>
        <v>0</v>
      </c>
      <c r="P66" s="386">
        <f t="shared" si="78"/>
        <v>982</v>
      </c>
      <c r="Q66" s="386">
        <f t="shared" si="78"/>
        <v>617</v>
      </c>
    </row>
    <row r="67" spans="1:17" ht="16.5" customHeight="1">
      <c r="A67" s="425"/>
      <c r="B67" s="430"/>
      <c r="C67" s="428"/>
      <c r="D67" s="428" t="s">
        <v>198</v>
      </c>
      <c r="E67" s="300" t="s">
        <v>187</v>
      </c>
      <c r="F67" s="70">
        <f t="shared" ref="F67" si="89">SUM(F68:F70)</f>
        <v>11253600</v>
      </c>
      <c r="G67" s="70">
        <f t="shared" ref="G67:K67" si="90">SUM(G68:G70)</f>
        <v>4405000</v>
      </c>
      <c r="H67" s="70">
        <f t="shared" si="90"/>
        <v>6848600</v>
      </c>
      <c r="I67" s="70">
        <f t="shared" si="90"/>
        <v>0</v>
      </c>
      <c r="J67" s="79">
        <f t="shared" si="90"/>
        <v>0</v>
      </c>
      <c r="K67" s="272">
        <f t="shared" si="90"/>
        <v>0</v>
      </c>
      <c r="M67" s="386">
        <f t="shared" si="78"/>
        <v>15732</v>
      </c>
      <c r="N67" s="386">
        <f t="shared" si="78"/>
        <v>4633</v>
      </c>
      <c r="O67" s="386">
        <f t="shared" si="78"/>
        <v>11099</v>
      </c>
      <c r="P67" s="386">
        <f t="shared" si="78"/>
        <v>0</v>
      </c>
      <c r="Q67" s="386">
        <f t="shared" si="78"/>
        <v>0</v>
      </c>
    </row>
    <row r="68" spans="1:17" ht="16.5" customHeight="1">
      <c r="A68" s="425"/>
      <c r="B68" s="430"/>
      <c r="C68" s="428"/>
      <c r="D68" s="428"/>
      <c r="E68" s="300" t="s">
        <v>188</v>
      </c>
      <c r="F68" s="66">
        <f>SUM(G68:K68)</f>
        <v>5848892</v>
      </c>
      <c r="G68" s="66">
        <v>0</v>
      </c>
      <c r="H68" s="66">
        <f>'2.하수관거 사업비_산출근거'!AM36</f>
        <v>5848892</v>
      </c>
      <c r="I68" s="66">
        <v>0</v>
      </c>
      <c r="J68" s="67">
        <v>0</v>
      </c>
      <c r="K68" s="273">
        <v>0</v>
      </c>
      <c r="M68" s="386">
        <f t="shared" si="78"/>
        <v>15128</v>
      </c>
      <c r="N68" s="386">
        <f t="shared" si="78"/>
        <v>4633</v>
      </c>
      <c r="O68" s="386">
        <f t="shared" si="78"/>
        <v>10495</v>
      </c>
      <c r="P68" s="386">
        <f t="shared" si="78"/>
        <v>0</v>
      </c>
      <c r="Q68" s="386">
        <f t="shared" si="78"/>
        <v>0</v>
      </c>
    </row>
    <row r="69" spans="1:17" ht="16.5" customHeight="1">
      <c r="A69" s="425"/>
      <c r="B69" s="430"/>
      <c r="C69" s="428"/>
      <c r="D69" s="428"/>
      <c r="E69" s="300" t="s">
        <v>189</v>
      </c>
      <c r="F69" s="66">
        <f>SUM(G69:K69)</f>
        <v>926162</v>
      </c>
      <c r="G69" s="66">
        <v>0</v>
      </c>
      <c r="H69" s="66">
        <f>'2.하수관거 사업비_산출근거'!AM9</f>
        <v>926162</v>
      </c>
      <c r="I69" s="66">
        <v>0</v>
      </c>
      <c r="J69" s="67">
        <v>0</v>
      </c>
      <c r="K69" s="273">
        <v>0</v>
      </c>
      <c r="M69" s="386">
        <f t="shared" si="78"/>
        <v>12673</v>
      </c>
      <c r="N69" s="386">
        <f t="shared" si="78"/>
        <v>4405</v>
      </c>
      <c r="O69" s="386">
        <f t="shared" si="78"/>
        <v>8268</v>
      </c>
      <c r="P69" s="386">
        <f t="shared" si="78"/>
        <v>0</v>
      </c>
      <c r="Q69" s="386">
        <f t="shared" si="78"/>
        <v>0</v>
      </c>
    </row>
    <row r="70" spans="1:17" ht="16.5" customHeight="1">
      <c r="A70" s="425"/>
      <c r="B70" s="430"/>
      <c r="C70" s="428"/>
      <c r="D70" s="428"/>
      <c r="E70" s="300" t="s">
        <v>190</v>
      </c>
      <c r="F70" s="66">
        <f>SUM(G70:K70)</f>
        <v>4478546</v>
      </c>
      <c r="G70" s="66">
        <v>4405000</v>
      </c>
      <c r="H70" s="66">
        <f>'2.하수관거 사업비_산출근거'!AM18+'2.하수관거 사업비_산출근거'!AM27</f>
        <v>73546</v>
      </c>
      <c r="I70" s="66">
        <v>0</v>
      </c>
      <c r="J70" s="67">
        <v>0</v>
      </c>
      <c r="K70" s="273">
        <v>0</v>
      </c>
      <c r="M70" s="386">
        <f t="shared" si="78"/>
        <v>11254</v>
      </c>
      <c r="N70" s="386">
        <f t="shared" si="78"/>
        <v>4405</v>
      </c>
      <c r="O70" s="386">
        <f t="shared" si="78"/>
        <v>6849</v>
      </c>
      <c r="P70" s="386">
        <f t="shared" si="78"/>
        <v>0</v>
      </c>
      <c r="Q70" s="386">
        <f t="shared" si="78"/>
        <v>0</v>
      </c>
    </row>
    <row r="71" spans="1:17" ht="16.5" customHeight="1">
      <c r="A71" s="425"/>
      <c r="B71" s="430"/>
      <c r="C71" s="428"/>
      <c r="D71" s="428" t="s">
        <v>199</v>
      </c>
      <c r="E71" s="300" t="s">
        <v>187</v>
      </c>
      <c r="F71" s="70">
        <f t="shared" ref="F71" si="91">SUM(F72:F74)</f>
        <v>1419740</v>
      </c>
      <c r="G71" s="70">
        <f t="shared" ref="G71:K71" si="92">SUM(G72:G74)</f>
        <v>0</v>
      </c>
      <c r="H71" s="70">
        <f t="shared" si="92"/>
        <v>1419740</v>
      </c>
      <c r="I71" s="70">
        <f t="shared" si="92"/>
        <v>0</v>
      </c>
      <c r="J71" s="79">
        <f t="shared" si="92"/>
        <v>0</v>
      </c>
      <c r="K71" s="272">
        <f t="shared" si="92"/>
        <v>0</v>
      </c>
      <c r="M71" s="386">
        <f t="shared" ref="M71:M82" si="93">ROUND(F68/1000,0)</f>
        <v>5849</v>
      </c>
      <c r="N71" s="386">
        <f t="shared" ref="N71:N82" si="94">ROUND(G68/1000,0)</f>
        <v>0</v>
      </c>
      <c r="O71" s="386">
        <f t="shared" ref="O71:O82" si="95">ROUND(H68/1000,0)</f>
        <v>5849</v>
      </c>
      <c r="P71" s="386">
        <f t="shared" ref="P71:P82" si="96">ROUND(I68/1000,0)</f>
        <v>0</v>
      </c>
      <c r="Q71" s="386">
        <f t="shared" ref="Q71:Q82" si="97">ROUND(J68/1000,0)</f>
        <v>0</v>
      </c>
    </row>
    <row r="72" spans="1:17" ht="16.5" customHeight="1">
      <c r="A72" s="425"/>
      <c r="B72" s="430"/>
      <c r="C72" s="428"/>
      <c r="D72" s="428"/>
      <c r="E72" s="300" t="s">
        <v>188</v>
      </c>
      <c r="F72" s="66">
        <f t="shared" ref="F72:F83" si="98">SUM(G72:K72)</f>
        <v>0</v>
      </c>
      <c r="G72" s="66">
        <v>0</v>
      </c>
      <c r="H72" s="66">
        <v>0</v>
      </c>
      <c r="I72" s="66">
        <v>0</v>
      </c>
      <c r="J72" s="67">
        <v>0</v>
      </c>
      <c r="K72" s="273">
        <v>0</v>
      </c>
      <c r="M72" s="386">
        <f t="shared" si="93"/>
        <v>926</v>
      </c>
      <c r="N72" s="386">
        <f t="shared" si="94"/>
        <v>0</v>
      </c>
      <c r="O72" s="386">
        <f t="shared" si="95"/>
        <v>926</v>
      </c>
      <c r="P72" s="386">
        <f t="shared" si="96"/>
        <v>0</v>
      </c>
      <c r="Q72" s="386">
        <f t="shared" si="97"/>
        <v>0</v>
      </c>
    </row>
    <row r="73" spans="1:17" ht="16.5" customHeight="1">
      <c r="A73" s="425"/>
      <c r="B73" s="430"/>
      <c r="C73" s="428"/>
      <c r="D73" s="428"/>
      <c r="E73" s="300" t="s">
        <v>189</v>
      </c>
      <c r="F73" s="66">
        <f t="shared" si="98"/>
        <v>1141688</v>
      </c>
      <c r="G73" s="66">
        <v>0</v>
      </c>
      <c r="H73" s="66">
        <f>'2.하수관거 사업비_산출근거'!AM42</f>
        <v>1141688</v>
      </c>
      <c r="I73" s="66">
        <v>0</v>
      </c>
      <c r="J73" s="67">
        <v>0</v>
      </c>
      <c r="K73" s="273">
        <v>0</v>
      </c>
      <c r="M73" s="386">
        <f t="shared" si="93"/>
        <v>4479</v>
      </c>
      <c r="N73" s="386">
        <f t="shared" si="94"/>
        <v>4405</v>
      </c>
      <c r="O73" s="386">
        <f t="shared" si="95"/>
        <v>74</v>
      </c>
      <c r="P73" s="386">
        <f t="shared" si="96"/>
        <v>0</v>
      </c>
      <c r="Q73" s="386">
        <f t="shared" si="97"/>
        <v>0</v>
      </c>
    </row>
    <row r="74" spans="1:17" ht="16.5" customHeight="1">
      <c r="A74" s="425"/>
      <c r="B74" s="430"/>
      <c r="C74" s="428"/>
      <c r="D74" s="428"/>
      <c r="E74" s="300" t="s">
        <v>190</v>
      </c>
      <c r="F74" s="66">
        <f t="shared" si="98"/>
        <v>278052</v>
      </c>
      <c r="G74" s="66">
        <v>0</v>
      </c>
      <c r="H74" s="66">
        <f>'2.하수관거 사업비_산출근거'!AM55+'2.하수관거 사업비_산출근거'!AM67</f>
        <v>278052</v>
      </c>
      <c r="I74" s="66">
        <v>0</v>
      </c>
      <c r="J74" s="67">
        <v>0</v>
      </c>
      <c r="K74" s="273">
        <v>0</v>
      </c>
      <c r="M74" s="386">
        <f t="shared" si="93"/>
        <v>1420</v>
      </c>
      <c r="N74" s="386">
        <f t="shared" si="94"/>
        <v>0</v>
      </c>
      <c r="O74" s="386">
        <f t="shared" si="95"/>
        <v>1420</v>
      </c>
      <c r="P74" s="386">
        <f t="shared" si="96"/>
        <v>0</v>
      </c>
      <c r="Q74" s="386">
        <f t="shared" si="97"/>
        <v>0</v>
      </c>
    </row>
    <row r="75" spans="1:17" ht="16.5" customHeight="1">
      <c r="A75" s="425"/>
      <c r="B75" s="430"/>
      <c r="C75" s="419" t="s">
        <v>287</v>
      </c>
      <c r="D75" s="420"/>
      <c r="E75" s="421"/>
      <c r="F75" s="66">
        <f t="shared" si="98"/>
        <v>3490000</v>
      </c>
      <c r="G75" s="66">
        <v>3490000</v>
      </c>
      <c r="H75" s="66">
        <v>0</v>
      </c>
      <c r="I75" s="66">
        <v>0</v>
      </c>
      <c r="J75" s="67">
        <v>0</v>
      </c>
      <c r="K75" s="273">
        <v>0</v>
      </c>
      <c r="M75" s="386">
        <f t="shared" si="93"/>
        <v>0</v>
      </c>
      <c r="N75" s="386">
        <f t="shared" si="94"/>
        <v>0</v>
      </c>
      <c r="O75" s="386">
        <f t="shared" si="95"/>
        <v>0</v>
      </c>
      <c r="P75" s="386">
        <f t="shared" si="96"/>
        <v>0</v>
      </c>
      <c r="Q75" s="386">
        <f t="shared" si="97"/>
        <v>0</v>
      </c>
    </row>
    <row r="76" spans="1:17" ht="16.5" customHeight="1">
      <c r="A76" s="425"/>
      <c r="B76" s="430"/>
      <c r="C76" s="428" t="s">
        <v>191</v>
      </c>
      <c r="D76" s="428"/>
      <c r="E76" s="428"/>
      <c r="F76" s="66">
        <f t="shared" si="98"/>
        <v>1816500</v>
      </c>
      <c r="G76" s="66">
        <v>228000</v>
      </c>
      <c r="H76" s="66">
        <f>'2.하수관거 사업비_산출근거'!AM90</f>
        <v>1588500</v>
      </c>
      <c r="I76" s="66">
        <v>0</v>
      </c>
      <c r="J76" s="67">
        <v>0</v>
      </c>
      <c r="K76" s="273">
        <v>0</v>
      </c>
      <c r="M76" s="386">
        <f t="shared" si="93"/>
        <v>1142</v>
      </c>
      <c r="N76" s="386">
        <f t="shared" si="94"/>
        <v>0</v>
      </c>
      <c r="O76" s="386">
        <f t="shared" si="95"/>
        <v>1142</v>
      </c>
      <c r="P76" s="386">
        <f t="shared" si="96"/>
        <v>0</v>
      </c>
      <c r="Q76" s="386">
        <f t="shared" si="97"/>
        <v>0</v>
      </c>
    </row>
    <row r="77" spans="1:17" ht="16.5" customHeight="1">
      <c r="A77" s="425"/>
      <c r="B77" s="430"/>
      <c r="C77" s="428" t="s">
        <v>192</v>
      </c>
      <c r="D77" s="428"/>
      <c r="E77" s="428"/>
      <c r="F77" s="66">
        <f t="shared" si="98"/>
        <v>32000</v>
      </c>
      <c r="G77" s="66">
        <v>0</v>
      </c>
      <c r="H77" s="66">
        <f>'2.하수관거 사업비_산출근거'!AM79</f>
        <v>32000</v>
      </c>
      <c r="I77" s="66">
        <v>0</v>
      </c>
      <c r="J77" s="67">
        <v>0</v>
      </c>
      <c r="K77" s="273">
        <v>0</v>
      </c>
      <c r="M77" s="386">
        <f t="shared" si="93"/>
        <v>278</v>
      </c>
      <c r="N77" s="386">
        <f t="shared" si="94"/>
        <v>0</v>
      </c>
      <c r="O77" s="386">
        <f t="shared" si="95"/>
        <v>278</v>
      </c>
      <c r="P77" s="386">
        <f t="shared" si="96"/>
        <v>0</v>
      </c>
      <c r="Q77" s="386">
        <f t="shared" si="97"/>
        <v>0</v>
      </c>
    </row>
    <row r="78" spans="1:17" ht="16.5" customHeight="1">
      <c r="A78" s="425"/>
      <c r="B78" s="430"/>
      <c r="C78" s="428" t="s">
        <v>193</v>
      </c>
      <c r="D78" s="428"/>
      <c r="E78" s="428"/>
      <c r="F78" s="66">
        <f t="shared" si="98"/>
        <v>0</v>
      </c>
      <c r="G78" s="66">
        <v>0</v>
      </c>
      <c r="H78" s="66">
        <f>'2.하수관거 사업비_산출근거'!AM100</f>
        <v>0</v>
      </c>
      <c r="I78" s="66">
        <v>0</v>
      </c>
      <c r="J78" s="67">
        <v>0</v>
      </c>
      <c r="K78" s="273">
        <v>0</v>
      </c>
      <c r="M78" s="386">
        <f t="shared" si="93"/>
        <v>3490</v>
      </c>
      <c r="N78" s="386">
        <f t="shared" si="94"/>
        <v>3490</v>
      </c>
      <c r="O78" s="386">
        <f t="shared" si="95"/>
        <v>0</v>
      </c>
      <c r="P78" s="386">
        <f t="shared" si="96"/>
        <v>0</v>
      </c>
      <c r="Q78" s="386">
        <f t="shared" si="97"/>
        <v>0</v>
      </c>
    </row>
    <row r="79" spans="1:17" ht="16.5" customHeight="1">
      <c r="A79" s="425"/>
      <c r="B79" s="430"/>
      <c r="C79" s="428" t="s">
        <v>194</v>
      </c>
      <c r="D79" s="428"/>
      <c r="E79" s="428"/>
      <c r="F79" s="66">
        <f t="shared" si="98"/>
        <v>106000</v>
      </c>
      <c r="G79" s="66">
        <v>0</v>
      </c>
      <c r="H79" s="66">
        <f>'2.하수관거 사업비_산출근거'!AM93</f>
        <v>106000</v>
      </c>
      <c r="I79" s="66">
        <v>0</v>
      </c>
      <c r="J79" s="67">
        <v>0</v>
      </c>
      <c r="K79" s="273">
        <v>0</v>
      </c>
      <c r="M79" s="386">
        <f t="shared" si="93"/>
        <v>1817</v>
      </c>
      <c r="N79" s="386">
        <f t="shared" si="94"/>
        <v>228</v>
      </c>
      <c r="O79" s="386">
        <f t="shared" si="95"/>
        <v>1589</v>
      </c>
      <c r="P79" s="386">
        <f t="shared" si="96"/>
        <v>0</v>
      </c>
      <c r="Q79" s="386">
        <f t="shared" si="97"/>
        <v>0</v>
      </c>
    </row>
    <row r="80" spans="1:17" ht="16.5" customHeight="1">
      <c r="A80" s="425"/>
      <c r="B80" s="430"/>
      <c r="C80" s="419" t="s">
        <v>208</v>
      </c>
      <c r="D80" s="420"/>
      <c r="E80" s="421"/>
      <c r="F80" s="66">
        <f t="shared" si="98"/>
        <v>111653</v>
      </c>
      <c r="G80" s="66">
        <v>0</v>
      </c>
      <c r="H80" s="66">
        <f>'2.하수관거 사업비_산출근거'!AM96</f>
        <v>111653</v>
      </c>
      <c r="I80" s="66">
        <v>0</v>
      </c>
      <c r="J80" s="67">
        <v>0</v>
      </c>
      <c r="K80" s="273">
        <v>0</v>
      </c>
      <c r="M80" s="386">
        <f t="shared" si="93"/>
        <v>32</v>
      </c>
      <c r="N80" s="386">
        <f t="shared" si="94"/>
        <v>0</v>
      </c>
      <c r="O80" s="386">
        <f t="shared" si="95"/>
        <v>32</v>
      </c>
      <c r="P80" s="386">
        <f t="shared" si="96"/>
        <v>0</v>
      </c>
      <c r="Q80" s="386">
        <f t="shared" si="97"/>
        <v>0</v>
      </c>
    </row>
    <row r="81" spans="1:17" ht="16.5" customHeight="1">
      <c r="A81" s="425"/>
      <c r="B81" s="431"/>
      <c r="C81" s="419" t="s">
        <v>209</v>
      </c>
      <c r="D81" s="420"/>
      <c r="E81" s="421"/>
      <c r="F81" s="66">
        <f t="shared" si="98"/>
        <v>388634</v>
      </c>
      <c r="G81" s="66">
        <v>0</v>
      </c>
      <c r="H81" s="66">
        <f>'2.하수관거 사업비_산출근거'!AM97</f>
        <v>388634</v>
      </c>
      <c r="I81" s="66">
        <v>0</v>
      </c>
      <c r="J81" s="67">
        <v>0</v>
      </c>
      <c r="K81" s="273">
        <v>0</v>
      </c>
      <c r="M81" s="386">
        <f t="shared" si="93"/>
        <v>0</v>
      </c>
      <c r="N81" s="386">
        <f t="shared" si="94"/>
        <v>0</v>
      </c>
      <c r="O81" s="386">
        <f t="shared" si="95"/>
        <v>0</v>
      </c>
      <c r="P81" s="386">
        <f t="shared" si="96"/>
        <v>0</v>
      </c>
      <c r="Q81" s="386">
        <f t="shared" si="97"/>
        <v>0</v>
      </c>
    </row>
    <row r="82" spans="1:17" ht="16.5" customHeight="1">
      <c r="A82" s="425"/>
      <c r="B82" s="428" t="s">
        <v>195</v>
      </c>
      <c r="C82" s="428"/>
      <c r="D82" s="428"/>
      <c r="E82" s="428"/>
      <c r="F82" s="66">
        <f t="shared" si="98"/>
        <v>0</v>
      </c>
      <c r="G82" s="66">
        <v>0</v>
      </c>
      <c r="H82" s="66">
        <v>0</v>
      </c>
      <c r="I82" s="66">
        <v>0</v>
      </c>
      <c r="J82" s="67">
        <v>0</v>
      </c>
      <c r="K82" s="273">
        <v>0</v>
      </c>
      <c r="M82" s="386">
        <f t="shared" si="93"/>
        <v>106</v>
      </c>
      <c r="N82" s="386">
        <f t="shared" si="94"/>
        <v>0</v>
      </c>
      <c r="O82" s="386">
        <f t="shared" si="95"/>
        <v>106</v>
      </c>
      <c r="P82" s="386">
        <f t="shared" si="96"/>
        <v>0</v>
      </c>
      <c r="Q82" s="386">
        <f t="shared" si="97"/>
        <v>0</v>
      </c>
    </row>
    <row r="83" spans="1:17" ht="16.5" customHeight="1">
      <c r="A83" s="426"/>
      <c r="B83" s="432" t="s">
        <v>196</v>
      </c>
      <c r="C83" s="432"/>
      <c r="D83" s="432"/>
      <c r="E83" s="432"/>
      <c r="F83" s="68">
        <f t="shared" si="98"/>
        <v>604032</v>
      </c>
      <c r="G83" s="68">
        <v>0</v>
      </c>
      <c r="H83" s="68">
        <f>'2.하수관거 사업비_산출근거'!AM101+'2.하수관거 사업비_산출근거'!AM102+'2.하수관거 사업비_산출근거'!AM103+'2.하수관거 사업비_산출근거'!AM104</f>
        <v>604032</v>
      </c>
      <c r="I83" s="68">
        <v>0</v>
      </c>
      <c r="J83" s="69">
        <v>0</v>
      </c>
      <c r="K83" s="274">
        <v>0</v>
      </c>
      <c r="M83" s="386">
        <f>M84+M85</f>
        <v>501</v>
      </c>
      <c r="N83" s="386">
        <f t="shared" ref="N83:Q83" si="99">N84+N85</f>
        <v>0</v>
      </c>
      <c r="O83" s="386">
        <f t="shared" si="99"/>
        <v>501</v>
      </c>
      <c r="P83" s="386">
        <f t="shared" si="99"/>
        <v>0</v>
      </c>
      <c r="Q83" s="386">
        <f t="shared" si="99"/>
        <v>0</v>
      </c>
    </row>
    <row r="84" spans="1:17" ht="16.5" customHeight="1">
      <c r="A84" s="424" t="s">
        <v>203</v>
      </c>
      <c r="B84" s="427" t="s">
        <v>3</v>
      </c>
      <c r="C84" s="427"/>
      <c r="D84" s="427"/>
      <c r="E84" s="427"/>
      <c r="F84" s="75">
        <f>F85+F102+F103</f>
        <v>3309967</v>
      </c>
      <c r="G84" s="75">
        <f t="shared" ref="G84:H84" si="100">G85+G102+G103</f>
        <v>0</v>
      </c>
      <c r="H84" s="75">
        <f t="shared" si="100"/>
        <v>2327063</v>
      </c>
      <c r="I84" s="75">
        <f t="shared" ref="I84" si="101">I85+I102+I103</f>
        <v>0</v>
      </c>
      <c r="J84" s="76">
        <f t="shared" ref="J84" si="102">J85+J102+J103</f>
        <v>982904</v>
      </c>
      <c r="K84" s="275"/>
      <c r="L84" s="53"/>
      <c r="M84" s="387">
        <f t="shared" ref="M84:M103" si="103">ROUND(F80/1000,0)</f>
        <v>112</v>
      </c>
      <c r="N84" s="387">
        <f t="shared" ref="N84:N103" si="104">ROUND(G80/1000,0)</f>
        <v>0</v>
      </c>
      <c r="O84" s="387">
        <f t="shared" ref="O84:O103" si="105">ROUND(H80/1000,0)</f>
        <v>112</v>
      </c>
      <c r="P84" s="387">
        <f t="shared" ref="P84:P103" si="106">ROUND(I80/1000,0)</f>
        <v>0</v>
      </c>
      <c r="Q84" s="387">
        <f t="shared" ref="Q84:Q103" si="107">ROUND(J80/1000,0)</f>
        <v>0</v>
      </c>
    </row>
    <row r="85" spans="1:17" ht="16.5" customHeight="1">
      <c r="A85" s="425"/>
      <c r="B85" s="429" t="s">
        <v>185</v>
      </c>
      <c r="C85" s="428" t="s">
        <v>186</v>
      </c>
      <c r="D85" s="428"/>
      <c r="E85" s="428"/>
      <c r="F85" s="72">
        <f>F86+F96+F97+F98+F99+F100+F101</f>
        <v>3119865</v>
      </c>
      <c r="G85" s="72">
        <f t="shared" ref="G85:H85" si="108">G86+G96+G97+G98+G99+G100+G101</f>
        <v>0</v>
      </c>
      <c r="H85" s="72">
        <f t="shared" si="108"/>
        <v>2199285</v>
      </c>
      <c r="I85" s="72">
        <f t="shared" ref="I85" si="109">I86+I96+I97+I98+I99+I100+I101</f>
        <v>0</v>
      </c>
      <c r="J85" s="77">
        <f t="shared" ref="J85" si="110">J86+J96+J97+J98+J99+J100+J101</f>
        <v>920580</v>
      </c>
      <c r="K85" s="276"/>
      <c r="M85" s="387">
        <f t="shared" si="103"/>
        <v>389</v>
      </c>
      <c r="N85" s="387">
        <f t="shared" si="104"/>
        <v>0</v>
      </c>
      <c r="O85" s="387">
        <f t="shared" si="105"/>
        <v>389</v>
      </c>
      <c r="P85" s="387">
        <f t="shared" si="106"/>
        <v>0</v>
      </c>
      <c r="Q85" s="387">
        <f t="shared" si="107"/>
        <v>0</v>
      </c>
    </row>
    <row r="86" spans="1:17" ht="16.5" customHeight="1">
      <c r="A86" s="425"/>
      <c r="B86" s="430"/>
      <c r="C86" s="428" t="s">
        <v>197</v>
      </c>
      <c r="D86" s="428" t="s">
        <v>183</v>
      </c>
      <c r="E86" s="428"/>
      <c r="F86" s="71">
        <f>F87+F91</f>
        <v>2495874</v>
      </c>
      <c r="G86" s="71">
        <f t="shared" ref="G86:H86" si="111">G87+G91</f>
        <v>0</v>
      </c>
      <c r="H86" s="71">
        <f t="shared" si="111"/>
        <v>1662520</v>
      </c>
      <c r="I86" s="71">
        <f t="shared" ref="I86" si="112">I87+I91</f>
        <v>0</v>
      </c>
      <c r="J86" s="78">
        <f t="shared" ref="J86" si="113">J87+J91</f>
        <v>833354</v>
      </c>
      <c r="K86" s="276"/>
      <c r="M86" s="386">
        <f t="shared" si="103"/>
        <v>0</v>
      </c>
      <c r="N86" s="386">
        <f t="shared" si="104"/>
        <v>0</v>
      </c>
      <c r="O86" s="386">
        <f t="shared" si="105"/>
        <v>0</v>
      </c>
      <c r="P86" s="386">
        <f t="shared" si="106"/>
        <v>0</v>
      </c>
      <c r="Q86" s="386">
        <f t="shared" si="107"/>
        <v>0</v>
      </c>
    </row>
    <row r="87" spans="1:17" ht="16.5" customHeight="1">
      <c r="A87" s="425"/>
      <c r="B87" s="430"/>
      <c r="C87" s="428"/>
      <c r="D87" s="428" t="s">
        <v>198</v>
      </c>
      <c r="E87" s="300" t="s">
        <v>187</v>
      </c>
      <c r="F87" s="70">
        <f t="shared" ref="F87" si="114">SUM(F88:F90)</f>
        <v>2038162</v>
      </c>
      <c r="G87" s="70">
        <f>SUM(G88:G90)</f>
        <v>0</v>
      </c>
      <c r="H87" s="70">
        <f>SUM(H88:H90)</f>
        <v>1662520</v>
      </c>
      <c r="I87" s="70">
        <f>SUM(I88:I90)</f>
        <v>0</v>
      </c>
      <c r="J87" s="79">
        <f>SUM(J88:J90)</f>
        <v>375642</v>
      </c>
      <c r="K87" s="276"/>
      <c r="M87" s="386">
        <f t="shared" si="103"/>
        <v>604</v>
      </c>
      <c r="N87" s="386">
        <f t="shared" si="104"/>
        <v>0</v>
      </c>
      <c r="O87" s="386">
        <f t="shared" si="105"/>
        <v>604</v>
      </c>
      <c r="P87" s="386">
        <f t="shared" si="106"/>
        <v>0</v>
      </c>
      <c r="Q87" s="386">
        <f t="shared" si="107"/>
        <v>0</v>
      </c>
    </row>
    <row r="88" spans="1:17" ht="16.5" customHeight="1">
      <c r="A88" s="425"/>
      <c r="B88" s="430"/>
      <c r="C88" s="428"/>
      <c r="D88" s="428"/>
      <c r="E88" s="300" t="s">
        <v>188</v>
      </c>
      <c r="F88" s="66">
        <f>SUM(G88:K88)</f>
        <v>1662520</v>
      </c>
      <c r="G88" s="66">
        <v>0</v>
      </c>
      <c r="H88" s="66">
        <f>'2.하수관거 사업비_산출근거'!AZ36</f>
        <v>1662520</v>
      </c>
      <c r="I88" s="66">
        <v>0</v>
      </c>
      <c r="J88" s="67">
        <f>'2.하수관거 사업비_산출근거'!AX36</f>
        <v>0</v>
      </c>
      <c r="K88" s="276"/>
      <c r="M88" s="386">
        <f t="shared" si="103"/>
        <v>3310</v>
      </c>
      <c r="N88" s="386">
        <f t="shared" si="104"/>
        <v>0</v>
      </c>
      <c r="O88" s="386">
        <f t="shared" si="105"/>
        <v>2327</v>
      </c>
      <c r="P88" s="386">
        <f t="shared" si="106"/>
        <v>0</v>
      </c>
      <c r="Q88" s="386">
        <f t="shared" si="107"/>
        <v>983</v>
      </c>
    </row>
    <row r="89" spans="1:17" ht="16.5" customHeight="1">
      <c r="A89" s="425"/>
      <c r="B89" s="430"/>
      <c r="C89" s="428"/>
      <c r="D89" s="428"/>
      <c r="E89" s="300" t="s">
        <v>189</v>
      </c>
      <c r="F89" s="66">
        <f>SUM(G89:K89)</f>
        <v>335084</v>
      </c>
      <c r="G89" s="66">
        <v>0</v>
      </c>
      <c r="H89" s="66">
        <f>'2.하수관거 사업비_산출근거'!AZ9</f>
        <v>0</v>
      </c>
      <c r="I89" s="66">
        <v>0</v>
      </c>
      <c r="J89" s="67">
        <f>'2.하수관거 사업비_산출근거'!AX9</f>
        <v>335084</v>
      </c>
      <c r="K89" s="276"/>
      <c r="M89" s="386">
        <f t="shared" si="103"/>
        <v>3120</v>
      </c>
      <c r="N89" s="386">
        <f t="shared" si="104"/>
        <v>0</v>
      </c>
      <c r="O89" s="386">
        <f t="shared" si="105"/>
        <v>2199</v>
      </c>
      <c r="P89" s="386">
        <f t="shared" si="106"/>
        <v>0</v>
      </c>
      <c r="Q89" s="386">
        <f t="shared" si="107"/>
        <v>921</v>
      </c>
    </row>
    <row r="90" spans="1:17" ht="16.5" customHeight="1">
      <c r="A90" s="425"/>
      <c r="B90" s="430"/>
      <c r="C90" s="428"/>
      <c r="D90" s="428"/>
      <c r="E90" s="300" t="s">
        <v>190</v>
      </c>
      <c r="F90" s="66">
        <f>SUM(G90:K90)</f>
        <v>40558</v>
      </c>
      <c r="G90" s="66">
        <v>0</v>
      </c>
      <c r="H90" s="66">
        <f>'2.하수관거 사업비_산출근거'!AZ18+'2.하수관거 사업비_산출근거'!AZ27</f>
        <v>0</v>
      </c>
      <c r="I90" s="66">
        <v>0</v>
      </c>
      <c r="J90" s="67">
        <f>'2.하수관거 사업비_산출근거'!AX18+'2.하수관거 사업비_산출근거'!AX27</f>
        <v>40558</v>
      </c>
      <c r="K90" s="276"/>
      <c r="M90" s="386">
        <f t="shared" si="103"/>
        <v>2496</v>
      </c>
      <c r="N90" s="386">
        <f t="shared" si="104"/>
        <v>0</v>
      </c>
      <c r="O90" s="386">
        <f t="shared" si="105"/>
        <v>1663</v>
      </c>
      <c r="P90" s="386">
        <f t="shared" si="106"/>
        <v>0</v>
      </c>
      <c r="Q90" s="386">
        <f t="shared" si="107"/>
        <v>833</v>
      </c>
    </row>
    <row r="91" spans="1:17" ht="16.5" customHeight="1">
      <c r="A91" s="425"/>
      <c r="B91" s="430"/>
      <c r="C91" s="428"/>
      <c r="D91" s="428" t="s">
        <v>199</v>
      </c>
      <c r="E91" s="300" t="s">
        <v>187</v>
      </c>
      <c r="F91" s="70">
        <f t="shared" ref="F91" si="115">SUM(F92:F94)</f>
        <v>457712</v>
      </c>
      <c r="G91" s="70">
        <f>SUM(G92:G94)</f>
        <v>0</v>
      </c>
      <c r="H91" s="70">
        <f>SUM(H92:H94)</f>
        <v>0</v>
      </c>
      <c r="I91" s="70">
        <f>SUM(I92:I94)</f>
        <v>0</v>
      </c>
      <c r="J91" s="79">
        <f>SUM(J92:J94)</f>
        <v>457712</v>
      </c>
      <c r="K91" s="276"/>
      <c r="M91" s="386">
        <f t="shared" si="103"/>
        <v>2038</v>
      </c>
      <c r="N91" s="386">
        <f t="shared" si="104"/>
        <v>0</v>
      </c>
      <c r="O91" s="386">
        <f t="shared" si="105"/>
        <v>1663</v>
      </c>
      <c r="P91" s="386">
        <f t="shared" si="106"/>
        <v>0</v>
      </c>
      <c r="Q91" s="386">
        <f t="shared" si="107"/>
        <v>376</v>
      </c>
    </row>
    <row r="92" spans="1:17" ht="16.5" customHeight="1">
      <c r="A92" s="425"/>
      <c r="B92" s="430"/>
      <c r="C92" s="428"/>
      <c r="D92" s="428"/>
      <c r="E92" s="300" t="s">
        <v>188</v>
      </c>
      <c r="F92" s="66">
        <f t="shared" ref="F92:F103" si="116">SUM(G92:K92)</f>
        <v>0</v>
      </c>
      <c r="G92" s="66">
        <v>0</v>
      </c>
      <c r="H92" s="66">
        <v>0</v>
      </c>
      <c r="I92" s="66">
        <v>0</v>
      </c>
      <c r="J92" s="67">
        <v>0</v>
      </c>
      <c r="K92" s="276"/>
      <c r="M92" s="386">
        <f t="shared" si="103"/>
        <v>1663</v>
      </c>
      <c r="N92" s="386">
        <f t="shared" si="104"/>
        <v>0</v>
      </c>
      <c r="O92" s="386">
        <f t="shared" si="105"/>
        <v>1663</v>
      </c>
      <c r="P92" s="386">
        <f t="shared" si="106"/>
        <v>0</v>
      </c>
      <c r="Q92" s="386">
        <f t="shared" si="107"/>
        <v>0</v>
      </c>
    </row>
    <row r="93" spans="1:17" ht="16.5" customHeight="1">
      <c r="A93" s="425"/>
      <c r="B93" s="430"/>
      <c r="C93" s="428"/>
      <c r="D93" s="428"/>
      <c r="E93" s="300" t="s">
        <v>189</v>
      </c>
      <c r="F93" s="66">
        <f t="shared" si="116"/>
        <v>351299</v>
      </c>
      <c r="G93" s="66">
        <v>0</v>
      </c>
      <c r="H93" s="66">
        <f>'2.하수관거 사업비_산출근거'!AZ42</f>
        <v>0</v>
      </c>
      <c r="I93" s="66">
        <v>0</v>
      </c>
      <c r="J93" s="67">
        <f>'2.하수관거 사업비_산출근거'!AX42</f>
        <v>351299</v>
      </c>
      <c r="K93" s="276"/>
      <c r="M93" s="386">
        <f t="shared" si="103"/>
        <v>335</v>
      </c>
      <c r="N93" s="386">
        <f t="shared" si="104"/>
        <v>0</v>
      </c>
      <c r="O93" s="386">
        <f t="shared" si="105"/>
        <v>0</v>
      </c>
      <c r="P93" s="386">
        <f t="shared" si="106"/>
        <v>0</v>
      </c>
      <c r="Q93" s="386">
        <f t="shared" si="107"/>
        <v>335</v>
      </c>
    </row>
    <row r="94" spans="1:17" ht="16.5" customHeight="1">
      <c r="A94" s="425"/>
      <c r="B94" s="430"/>
      <c r="C94" s="428"/>
      <c r="D94" s="428"/>
      <c r="E94" s="300" t="s">
        <v>190</v>
      </c>
      <c r="F94" s="66">
        <f t="shared" si="116"/>
        <v>106413</v>
      </c>
      <c r="G94" s="66">
        <v>0</v>
      </c>
      <c r="H94" s="66">
        <f>'2.하수관거 사업비_산출근거'!AZ55+'2.하수관거 사업비_산출근거'!AZ67</f>
        <v>0</v>
      </c>
      <c r="I94" s="66">
        <v>0</v>
      </c>
      <c r="J94" s="67">
        <f>'2.하수관거 사업비_산출근거'!AX55+'2.하수관거 사업비_산출근거'!AX67</f>
        <v>106413</v>
      </c>
      <c r="K94" s="276"/>
      <c r="M94" s="386">
        <f t="shared" si="103"/>
        <v>41</v>
      </c>
      <c r="N94" s="386">
        <f t="shared" si="104"/>
        <v>0</v>
      </c>
      <c r="O94" s="386">
        <f t="shared" si="105"/>
        <v>0</v>
      </c>
      <c r="P94" s="386">
        <f t="shared" si="106"/>
        <v>0</v>
      </c>
      <c r="Q94" s="386">
        <f t="shared" si="107"/>
        <v>41</v>
      </c>
    </row>
    <row r="95" spans="1:17" ht="16.5" customHeight="1">
      <c r="A95" s="425"/>
      <c r="B95" s="430"/>
      <c r="C95" s="419" t="s">
        <v>287</v>
      </c>
      <c r="D95" s="420"/>
      <c r="E95" s="421"/>
      <c r="F95" s="66">
        <f t="shared" si="116"/>
        <v>0</v>
      </c>
      <c r="G95" s="66">
        <v>0</v>
      </c>
      <c r="H95" s="66">
        <v>0</v>
      </c>
      <c r="I95" s="66">
        <v>0</v>
      </c>
      <c r="J95" s="67">
        <v>0</v>
      </c>
      <c r="K95" s="276"/>
      <c r="M95" s="386">
        <f t="shared" si="103"/>
        <v>458</v>
      </c>
      <c r="N95" s="386">
        <f t="shared" si="104"/>
        <v>0</v>
      </c>
      <c r="O95" s="386">
        <f t="shared" si="105"/>
        <v>0</v>
      </c>
      <c r="P95" s="386">
        <f t="shared" si="106"/>
        <v>0</v>
      </c>
      <c r="Q95" s="386">
        <f t="shared" si="107"/>
        <v>458</v>
      </c>
    </row>
    <row r="96" spans="1:17" ht="16.5" customHeight="1">
      <c r="A96" s="425"/>
      <c r="B96" s="430"/>
      <c r="C96" s="428" t="s">
        <v>191</v>
      </c>
      <c r="D96" s="428"/>
      <c r="E96" s="428"/>
      <c r="F96" s="66">
        <f t="shared" si="116"/>
        <v>411800</v>
      </c>
      <c r="G96" s="66">
        <v>0</v>
      </c>
      <c r="H96" s="66">
        <f>'2.하수관거 사업비_산출근거'!AZ90</f>
        <v>411800</v>
      </c>
      <c r="I96" s="66">
        <v>0</v>
      </c>
      <c r="J96" s="67">
        <f>'2.하수관거 사업비_산출근거'!AX90</f>
        <v>0</v>
      </c>
      <c r="K96" s="276"/>
      <c r="M96" s="386">
        <f t="shared" si="103"/>
        <v>0</v>
      </c>
      <c r="N96" s="386">
        <f t="shared" si="104"/>
        <v>0</v>
      </c>
      <c r="O96" s="386">
        <f t="shared" si="105"/>
        <v>0</v>
      </c>
      <c r="P96" s="386">
        <f t="shared" si="106"/>
        <v>0</v>
      </c>
      <c r="Q96" s="386">
        <f t="shared" si="107"/>
        <v>0</v>
      </c>
    </row>
    <row r="97" spans="1:17" ht="16.5" customHeight="1">
      <c r="A97" s="425"/>
      <c r="B97" s="430"/>
      <c r="C97" s="428" t="s">
        <v>192</v>
      </c>
      <c r="D97" s="428"/>
      <c r="E97" s="428"/>
      <c r="F97" s="66">
        <f t="shared" si="116"/>
        <v>64000</v>
      </c>
      <c r="G97" s="66">
        <v>0</v>
      </c>
      <c r="H97" s="66">
        <f>'2.하수관거 사업비_산출근거'!AZ79</f>
        <v>64000</v>
      </c>
      <c r="I97" s="66">
        <v>0</v>
      </c>
      <c r="J97" s="67">
        <f>'2.하수관거 사업비_산출근거'!AX79</f>
        <v>0</v>
      </c>
      <c r="K97" s="276"/>
      <c r="M97" s="386">
        <f t="shared" si="103"/>
        <v>351</v>
      </c>
      <c r="N97" s="386">
        <f t="shared" si="104"/>
        <v>0</v>
      </c>
      <c r="O97" s="386">
        <f t="shared" si="105"/>
        <v>0</v>
      </c>
      <c r="P97" s="386">
        <f t="shared" si="106"/>
        <v>0</v>
      </c>
      <c r="Q97" s="386">
        <f t="shared" si="107"/>
        <v>351</v>
      </c>
    </row>
    <row r="98" spans="1:17" ht="16.5" customHeight="1">
      <c r="A98" s="425"/>
      <c r="B98" s="430"/>
      <c r="C98" s="428" t="s">
        <v>193</v>
      </c>
      <c r="D98" s="428"/>
      <c r="E98" s="428"/>
      <c r="F98" s="66">
        <f t="shared" si="116"/>
        <v>0</v>
      </c>
      <c r="G98" s="66">
        <v>0</v>
      </c>
      <c r="H98" s="66">
        <f>'2.하수관거 사업비_산출근거'!AZ100</f>
        <v>0</v>
      </c>
      <c r="I98" s="66">
        <v>0</v>
      </c>
      <c r="J98" s="67">
        <v>0</v>
      </c>
      <c r="K98" s="276"/>
      <c r="M98" s="386">
        <f t="shared" si="103"/>
        <v>106</v>
      </c>
      <c r="N98" s="386">
        <f t="shared" si="104"/>
        <v>0</v>
      </c>
      <c r="O98" s="386">
        <f t="shared" si="105"/>
        <v>0</v>
      </c>
      <c r="P98" s="386">
        <f t="shared" si="106"/>
        <v>0</v>
      </c>
      <c r="Q98" s="386">
        <f t="shared" si="107"/>
        <v>106</v>
      </c>
    </row>
    <row r="99" spans="1:17" ht="16.5" customHeight="1">
      <c r="A99" s="425"/>
      <c r="B99" s="430"/>
      <c r="C99" s="428" t="s">
        <v>194</v>
      </c>
      <c r="D99" s="428"/>
      <c r="E99" s="428"/>
      <c r="F99" s="66">
        <f t="shared" si="116"/>
        <v>53000</v>
      </c>
      <c r="G99" s="66">
        <v>0</v>
      </c>
      <c r="H99" s="66">
        <f>'2.하수관거 사업비_산출근거'!AZ93</f>
        <v>0</v>
      </c>
      <c r="I99" s="66">
        <v>0</v>
      </c>
      <c r="J99" s="67">
        <f>'2.하수관거 사업비_산출근거'!AX93</f>
        <v>53000</v>
      </c>
      <c r="K99" s="276"/>
      <c r="M99" s="386">
        <f t="shared" si="103"/>
        <v>0</v>
      </c>
      <c r="N99" s="386">
        <f t="shared" si="104"/>
        <v>0</v>
      </c>
      <c r="O99" s="386">
        <f t="shared" si="105"/>
        <v>0</v>
      </c>
      <c r="P99" s="386">
        <f t="shared" si="106"/>
        <v>0</v>
      </c>
      <c r="Q99" s="386">
        <f t="shared" si="107"/>
        <v>0</v>
      </c>
    </row>
    <row r="100" spans="1:17" ht="16.5" customHeight="1">
      <c r="A100" s="425"/>
      <c r="B100" s="430"/>
      <c r="C100" s="419" t="s">
        <v>208</v>
      </c>
      <c r="D100" s="420"/>
      <c r="E100" s="421"/>
      <c r="F100" s="66">
        <f t="shared" si="116"/>
        <v>45383</v>
      </c>
      <c r="G100" s="66">
        <v>0</v>
      </c>
      <c r="H100" s="66">
        <f>'2.하수관거 사업비_산출근거'!AZ96</f>
        <v>35271</v>
      </c>
      <c r="I100" s="66">
        <v>0</v>
      </c>
      <c r="J100" s="67">
        <f>'2.하수관거 사업비_산출근거'!AX96</f>
        <v>10112</v>
      </c>
      <c r="K100" s="276"/>
      <c r="M100" s="386">
        <f t="shared" si="103"/>
        <v>412</v>
      </c>
      <c r="N100" s="386">
        <f t="shared" si="104"/>
        <v>0</v>
      </c>
      <c r="O100" s="386">
        <f t="shared" si="105"/>
        <v>412</v>
      </c>
      <c r="P100" s="386">
        <f t="shared" si="106"/>
        <v>0</v>
      </c>
      <c r="Q100" s="386">
        <f t="shared" si="107"/>
        <v>0</v>
      </c>
    </row>
    <row r="101" spans="1:17" ht="16.5" customHeight="1">
      <c r="A101" s="425"/>
      <c r="B101" s="431"/>
      <c r="C101" s="419" t="s">
        <v>209</v>
      </c>
      <c r="D101" s="420"/>
      <c r="E101" s="421"/>
      <c r="F101" s="66">
        <f t="shared" si="116"/>
        <v>49808</v>
      </c>
      <c r="G101" s="66">
        <v>0</v>
      </c>
      <c r="H101" s="66">
        <f>'2.하수관거 사업비_산출근거'!AZ97</f>
        <v>25694</v>
      </c>
      <c r="I101" s="66">
        <v>0</v>
      </c>
      <c r="J101" s="67">
        <f>'2.하수관거 사업비_산출근거'!AX97</f>
        <v>24114</v>
      </c>
      <c r="K101" s="276"/>
      <c r="M101" s="386">
        <f t="shared" si="103"/>
        <v>64</v>
      </c>
      <c r="N101" s="386">
        <f t="shared" si="104"/>
        <v>0</v>
      </c>
      <c r="O101" s="386">
        <f t="shared" si="105"/>
        <v>64</v>
      </c>
      <c r="P101" s="386">
        <f t="shared" si="106"/>
        <v>0</v>
      </c>
      <c r="Q101" s="386">
        <f t="shared" si="107"/>
        <v>0</v>
      </c>
    </row>
    <row r="102" spans="1:17" ht="16.5" customHeight="1">
      <c r="A102" s="425"/>
      <c r="B102" s="428" t="s">
        <v>195</v>
      </c>
      <c r="C102" s="428"/>
      <c r="D102" s="428"/>
      <c r="E102" s="428"/>
      <c r="F102" s="66">
        <f t="shared" si="116"/>
        <v>0</v>
      </c>
      <c r="G102" s="66">
        <v>0</v>
      </c>
      <c r="H102" s="66">
        <v>0</v>
      </c>
      <c r="I102" s="66">
        <v>0</v>
      </c>
      <c r="J102" s="67">
        <v>0</v>
      </c>
      <c r="K102" s="276"/>
      <c r="M102" s="386">
        <f t="shared" si="103"/>
        <v>0</v>
      </c>
      <c r="N102" s="386">
        <f t="shared" si="104"/>
        <v>0</v>
      </c>
      <c r="O102" s="386">
        <f t="shared" si="105"/>
        <v>0</v>
      </c>
      <c r="P102" s="386">
        <f t="shared" si="106"/>
        <v>0</v>
      </c>
      <c r="Q102" s="386">
        <f t="shared" si="107"/>
        <v>0</v>
      </c>
    </row>
    <row r="103" spans="1:17" ht="16.5" customHeight="1">
      <c r="A103" s="426"/>
      <c r="B103" s="432" t="s">
        <v>196</v>
      </c>
      <c r="C103" s="432"/>
      <c r="D103" s="432"/>
      <c r="E103" s="432"/>
      <c r="F103" s="68">
        <f t="shared" si="116"/>
        <v>190102</v>
      </c>
      <c r="G103" s="68">
        <v>0</v>
      </c>
      <c r="H103" s="68">
        <f>'2.하수관거 사업비_산출근거'!AZ101+'2.하수관거 사업비_산출근거'!AZ102+'2.하수관거 사업비_산출근거'!AZ103+'2.하수관거 사업비_산출근거'!AZ104</f>
        <v>127778</v>
      </c>
      <c r="I103" s="68">
        <v>0</v>
      </c>
      <c r="J103" s="69">
        <f>'2.하수관거 사업비_산출근거'!AX101+'2.하수관거 사업비_산출근거'!AX102+'2.하수관거 사업비_산출근거'!AX103+'2.하수관거 사업비_산출근거'!AX104</f>
        <v>62324</v>
      </c>
      <c r="K103" s="277"/>
      <c r="M103" s="386">
        <f t="shared" si="103"/>
        <v>53</v>
      </c>
      <c r="N103" s="386">
        <f t="shared" si="104"/>
        <v>0</v>
      </c>
      <c r="O103" s="386">
        <f t="shared" si="105"/>
        <v>0</v>
      </c>
      <c r="P103" s="386">
        <f t="shared" si="106"/>
        <v>0</v>
      </c>
      <c r="Q103" s="386">
        <f t="shared" si="107"/>
        <v>53</v>
      </c>
    </row>
    <row r="104" spans="1:17" ht="16.5" customHeight="1">
      <c r="A104" s="424" t="s">
        <v>204</v>
      </c>
      <c r="B104" s="427" t="s">
        <v>3</v>
      </c>
      <c r="C104" s="427"/>
      <c r="D104" s="427"/>
      <c r="E104" s="427"/>
      <c r="F104" s="75">
        <f>F105+F122+F123</f>
        <v>4470577</v>
      </c>
      <c r="G104" s="75">
        <f t="shared" ref="G104:H104" si="117">G105+G122+G123</f>
        <v>0</v>
      </c>
      <c r="H104" s="75">
        <f t="shared" si="117"/>
        <v>4470577</v>
      </c>
      <c r="I104" s="75">
        <f t="shared" ref="I104" si="118">I105+I122+I123</f>
        <v>0</v>
      </c>
      <c r="J104" s="76">
        <f t="shared" ref="J104" si="119">J105+J122+J123</f>
        <v>0</v>
      </c>
      <c r="K104" s="269">
        <f t="shared" ref="K104" si="120">K105+K122+K123</f>
        <v>0</v>
      </c>
      <c r="M104" s="386">
        <f>M105+M106</f>
        <v>95</v>
      </c>
      <c r="N104" s="386">
        <f t="shared" ref="N104:Q104" si="121">N105+N106</f>
        <v>0</v>
      </c>
      <c r="O104" s="386">
        <f t="shared" si="121"/>
        <v>61</v>
      </c>
      <c r="P104" s="386">
        <f t="shared" si="121"/>
        <v>0</v>
      </c>
      <c r="Q104" s="386">
        <f t="shared" si="121"/>
        <v>34</v>
      </c>
    </row>
    <row r="105" spans="1:17" ht="16.5" customHeight="1">
      <c r="A105" s="425"/>
      <c r="B105" s="429" t="s">
        <v>185</v>
      </c>
      <c r="C105" s="428" t="s">
        <v>186</v>
      </c>
      <c r="D105" s="428"/>
      <c r="E105" s="428"/>
      <c r="F105" s="72">
        <f>F106+F116+F117+F118+F119+F120+F121</f>
        <v>4232700</v>
      </c>
      <c r="G105" s="72">
        <f t="shared" ref="G105:H105" si="122">G106+G116+G117+G118+G119+G120+G121</f>
        <v>0</v>
      </c>
      <c r="H105" s="72">
        <f t="shared" si="122"/>
        <v>4232700</v>
      </c>
      <c r="I105" s="72">
        <f t="shared" ref="I105" si="123">I106+I116+I117+I118+I119+I120+I121</f>
        <v>0</v>
      </c>
      <c r="J105" s="77">
        <f t="shared" ref="J105" si="124">J106+J116+J117+J118+J119+J120+J121</f>
        <v>0</v>
      </c>
      <c r="K105" s="270">
        <f t="shared" ref="K105" si="125">K106+K116+K117+K118+K119+K120+K121</f>
        <v>0</v>
      </c>
      <c r="M105" s="387">
        <f t="shared" ref="M105:M124" si="126">ROUND(F100/1000,0)</f>
        <v>45</v>
      </c>
      <c r="N105" s="387">
        <f t="shared" ref="N105:N124" si="127">ROUND(G100/1000,0)</f>
        <v>0</v>
      </c>
      <c r="O105" s="387">
        <f t="shared" ref="O105:O124" si="128">ROUND(H100/1000,0)</f>
        <v>35</v>
      </c>
      <c r="P105" s="387">
        <f t="shared" ref="P105:P124" si="129">ROUND(I100/1000,0)</f>
        <v>0</v>
      </c>
      <c r="Q105" s="387">
        <f t="shared" ref="Q105:Q124" si="130">ROUND(J100/1000,0)</f>
        <v>10</v>
      </c>
    </row>
    <row r="106" spans="1:17" ht="16.5" customHeight="1">
      <c r="A106" s="425"/>
      <c r="B106" s="430"/>
      <c r="C106" s="428" t="s">
        <v>197</v>
      </c>
      <c r="D106" s="428" t="s">
        <v>183</v>
      </c>
      <c r="E106" s="428"/>
      <c r="F106" s="71">
        <f>F107+F111</f>
        <v>2964883</v>
      </c>
      <c r="G106" s="71">
        <f t="shared" ref="G106:H106" si="131">G107+G111</f>
        <v>0</v>
      </c>
      <c r="H106" s="71">
        <f t="shared" si="131"/>
        <v>2964883</v>
      </c>
      <c r="I106" s="71">
        <f t="shared" ref="I106" si="132">I107+I111</f>
        <v>0</v>
      </c>
      <c r="J106" s="78">
        <f t="shared" ref="J106" si="133">J107+J111</f>
        <v>0</v>
      </c>
      <c r="K106" s="271">
        <f t="shared" ref="K106" si="134">K107+K111</f>
        <v>0</v>
      </c>
      <c r="M106" s="387">
        <f t="shared" si="126"/>
        <v>50</v>
      </c>
      <c r="N106" s="387">
        <f t="shared" si="127"/>
        <v>0</v>
      </c>
      <c r="O106" s="387">
        <f t="shared" si="128"/>
        <v>26</v>
      </c>
      <c r="P106" s="387">
        <f t="shared" si="129"/>
        <v>0</v>
      </c>
      <c r="Q106" s="387">
        <f t="shared" si="130"/>
        <v>24</v>
      </c>
    </row>
    <row r="107" spans="1:17" ht="16.5" customHeight="1">
      <c r="A107" s="425"/>
      <c r="B107" s="430"/>
      <c r="C107" s="428"/>
      <c r="D107" s="428" t="s">
        <v>198</v>
      </c>
      <c r="E107" s="300" t="s">
        <v>187</v>
      </c>
      <c r="F107" s="70">
        <f t="shared" ref="F107" si="135">SUM(F108:F110)</f>
        <v>2781383</v>
      </c>
      <c r="G107" s="70">
        <f t="shared" ref="G107:K107" si="136">SUM(G108:G110)</f>
        <v>0</v>
      </c>
      <c r="H107" s="70">
        <f t="shared" si="136"/>
        <v>2781383</v>
      </c>
      <c r="I107" s="70">
        <f t="shared" si="136"/>
        <v>0</v>
      </c>
      <c r="J107" s="79">
        <f t="shared" si="136"/>
        <v>0</v>
      </c>
      <c r="K107" s="272">
        <f t="shared" si="136"/>
        <v>0</v>
      </c>
      <c r="M107" s="386">
        <f t="shared" si="126"/>
        <v>0</v>
      </c>
      <c r="N107" s="386">
        <f t="shared" si="127"/>
        <v>0</v>
      </c>
      <c r="O107" s="386">
        <f t="shared" si="128"/>
        <v>0</v>
      </c>
      <c r="P107" s="386">
        <f t="shared" si="129"/>
        <v>0</v>
      </c>
      <c r="Q107" s="386">
        <f t="shared" si="130"/>
        <v>0</v>
      </c>
    </row>
    <row r="108" spans="1:17" ht="16.5" customHeight="1">
      <c r="A108" s="425"/>
      <c r="B108" s="430"/>
      <c r="C108" s="428"/>
      <c r="D108" s="428"/>
      <c r="E108" s="300" t="s">
        <v>188</v>
      </c>
      <c r="F108" s="66">
        <f>SUM(G108:K108)</f>
        <v>2287706</v>
      </c>
      <c r="G108" s="66">
        <v>0</v>
      </c>
      <c r="H108" s="66">
        <f>'2.하수관거 사업비_산출근거'!BB36</f>
        <v>2287706</v>
      </c>
      <c r="I108" s="66">
        <v>0</v>
      </c>
      <c r="J108" s="67">
        <v>0</v>
      </c>
      <c r="K108" s="273">
        <v>0</v>
      </c>
      <c r="M108" s="386">
        <f t="shared" si="126"/>
        <v>190</v>
      </c>
      <c r="N108" s="386">
        <f t="shared" si="127"/>
        <v>0</v>
      </c>
      <c r="O108" s="386">
        <f t="shared" si="128"/>
        <v>128</v>
      </c>
      <c r="P108" s="386">
        <f t="shared" si="129"/>
        <v>0</v>
      </c>
      <c r="Q108" s="386">
        <f t="shared" si="130"/>
        <v>62</v>
      </c>
    </row>
    <row r="109" spans="1:17" ht="16.5" customHeight="1">
      <c r="A109" s="425"/>
      <c r="B109" s="430"/>
      <c r="C109" s="428"/>
      <c r="D109" s="428"/>
      <c r="E109" s="300" t="s">
        <v>189</v>
      </c>
      <c r="F109" s="66">
        <f>SUM(G109:K109)</f>
        <v>440211</v>
      </c>
      <c r="G109" s="66">
        <v>0</v>
      </c>
      <c r="H109" s="66">
        <f>'2.하수관거 사업비_산출근거'!BB9</f>
        <v>440211</v>
      </c>
      <c r="I109" s="66">
        <v>0</v>
      </c>
      <c r="J109" s="67">
        <v>0</v>
      </c>
      <c r="K109" s="273">
        <v>0</v>
      </c>
      <c r="M109" s="386">
        <f t="shared" si="126"/>
        <v>4471</v>
      </c>
      <c r="N109" s="386">
        <f t="shared" si="127"/>
        <v>0</v>
      </c>
      <c r="O109" s="386">
        <f t="shared" si="128"/>
        <v>4471</v>
      </c>
      <c r="P109" s="386">
        <f t="shared" si="129"/>
        <v>0</v>
      </c>
      <c r="Q109" s="386">
        <f t="shared" si="130"/>
        <v>0</v>
      </c>
    </row>
    <row r="110" spans="1:17" ht="16.5" customHeight="1">
      <c r="A110" s="425"/>
      <c r="B110" s="430"/>
      <c r="C110" s="428"/>
      <c r="D110" s="428"/>
      <c r="E110" s="300" t="s">
        <v>190</v>
      </c>
      <c r="F110" s="66">
        <f>SUM(G110:K110)</f>
        <v>53466</v>
      </c>
      <c r="G110" s="66">
        <v>0</v>
      </c>
      <c r="H110" s="66">
        <f>'2.하수관거 사업비_산출근거'!BB18+'2.하수관거 사업비_산출근거'!BB27</f>
        <v>53466</v>
      </c>
      <c r="I110" s="66">
        <v>0</v>
      </c>
      <c r="J110" s="67">
        <v>0</v>
      </c>
      <c r="K110" s="273">
        <v>0</v>
      </c>
      <c r="M110" s="386">
        <f t="shared" si="126"/>
        <v>4233</v>
      </c>
      <c r="N110" s="386">
        <f t="shared" si="127"/>
        <v>0</v>
      </c>
      <c r="O110" s="386">
        <f t="shared" si="128"/>
        <v>4233</v>
      </c>
      <c r="P110" s="386">
        <f t="shared" si="129"/>
        <v>0</v>
      </c>
      <c r="Q110" s="386">
        <f t="shared" si="130"/>
        <v>0</v>
      </c>
    </row>
    <row r="111" spans="1:17" ht="16.5" customHeight="1">
      <c r="A111" s="425"/>
      <c r="B111" s="430"/>
      <c r="C111" s="428"/>
      <c r="D111" s="428" t="s">
        <v>199</v>
      </c>
      <c r="E111" s="300" t="s">
        <v>187</v>
      </c>
      <c r="F111" s="70">
        <f t="shared" ref="F111" si="137">SUM(F112:F114)</f>
        <v>183500</v>
      </c>
      <c r="G111" s="70">
        <f t="shared" ref="G111:K111" si="138">SUM(G112:G114)</f>
        <v>0</v>
      </c>
      <c r="H111" s="70">
        <f t="shared" si="138"/>
        <v>183500</v>
      </c>
      <c r="I111" s="70">
        <f t="shared" si="138"/>
        <v>0</v>
      </c>
      <c r="J111" s="79">
        <f t="shared" si="138"/>
        <v>0</v>
      </c>
      <c r="K111" s="272">
        <f t="shared" si="138"/>
        <v>0</v>
      </c>
      <c r="M111" s="386">
        <f t="shared" si="126"/>
        <v>2965</v>
      </c>
      <c r="N111" s="386">
        <f t="shared" si="127"/>
        <v>0</v>
      </c>
      <c r="O111" s="386">
        <f t="shared" si="128"/>
        <v>2965</v>
      </c>
      <c r="P111" s="386">
        <f t="shared" si="129"/>
        <v>0</v>
      </c>
      <c r="Q111" s="386">
        <f t="shared" si="130"/>
        <v>0</v>
      </c>
    </row>
    <row r="112" spans="1:17" ht="16.5" customHeight="1">
      <c r="A112" s="425"/>
      <c r="B112" s="430"/>
      <c r="C112" s="428"/>
      <c r="D112" s="428"/>
      <c r="E112" s="300" t="s">
        <v>188</v>
      </c>
      <c r="F112" s="66">
        <f t="shared" ref="F112:F123" si="139">SUM(G112:K112)</f>
        <v>0</v>
      </c>
      <c r="G112" s="66">
        <v>0</v>
      </c>
      <c r="H112" s="66">
        <v>0</v>
      </c>
      <c r="I112" s="66">
        <v>0</v>
      </c>
      <c r="J112" s="67">
        <v>0</v>
      </c>
      <c r="K112" s="273">
        <v>0</v>
      </c>
      <c r="M112" s="386">
        <f t="shared" si="126"/>
        <v>2781</v>
      </c>
      <c r="N112" s="386">
        <f t="shared" si="127"/>
        <v>0</v>
      </c>
      <c r="O112" s="386">
        <f t="shared" si="128"/>
        <v>2781</v>
      </c>
      <c r="P112" s="386">
        <f t="shared" si="129"/>
        <v>0</v>
      </c>
      <c r="Q112" s="386">
        <f t="shared" si="130"/>
        <v>0</v>
      </c>
    </row>
    <row r="113" spans="1:17" ht="16.5" customHeight="1">
      <c r="A113" s="425"/>
      <c r="B113" s="430"/>
      <c r="C113" s="428"/>
      <c r="D113" s="428"/>
      <c r="E113" s="300" t="s">
        <v>189</v>
      </c>
      <c r="F113" s="66">
        <f t="shared" si="139"/>
        <v>138298</v>
      </c>
      <c r="G113" s="66">
        <v>0</v>
      </c>
      <c r="H113" s="66">
        <f>'2.하수관거 사업비_산출근거'!BB42</f>
        <v>138298</v>
      </c>
      <c r="I113" s="66">
        <v>0</v>
      </c>
      <c r="J113" s="67">
        <v>0</v>
      </c>
      <c r="K113" s="273">
        <v>0</v>
      </c>
      <c r="M113" s="386">
        <f t="shared" si="126"/>
        <v>2288</v>
      </c>
      <c r="N113" s="386">
        <f t="shared" si="127"/>
        <v>0</v>
      </c>
      <c r="O113" s="386">
        <f t="shared" si="128"/>
        <v>2288</v>
      </c>
      <c r="P113" s="386">
        <f t="shared" si="129"/>
        <v>0</v>
      </c>
      <c r="Q113" s="386">
        <f t="shared" si="130"/>
        <v>0</v>
      </c>
    </row>
    <row r="114" spans="1:17" ht="16.5" customHeight="1">
      <c r="A114" s="425"/>
      <c r="B114" s="430"/>
      <c r="C114" s="428"/>
      <c r="D114" s="428"/>
      <c r="E114" s="300" t="s">
        <v>190</v>
      </c>
      <c r="F114" s="66">
        <f t="shared" si="139"/>
        <v>45202</v>
      </c>
      <c r="G114" s="66">
        <v>0</v>
      </c>
      <c r="H114" s="66">
        <f>'2.하수관거 사업비_산출근거'!BB55+'2.하수관거 사업비_산출근거'!BB67</f>
        <v>45202</v>
      </c>
      <c r="I114" s="66">
        <v>0</v>
      </c>
      <c r="J114" s="67">
        <v>0</v>
      </c>
      <c r="K114" s="273">
        <v>0</v>
      </c>
      <c r="M114" s="386">
        <f t="shared" si="126"/>
        <v>440</v>
      </c>
      <c r="N114" s="386">
        <f t="shared" si="127"/>
        <v>0</v>
      </c>
      <c r="O114" s="386">
        <f t="shared" si="128"/>
        <v>440</v>
      </c>
      <c r="P114" s="386">
        <f t="shared" si="129"/>
        <v>0</v>
      </c>
      <c r="Q114" s="386">
        <f t="shared" si="130"/>
        <v>0</v>
      </c>
    </row>
    <row r="115" spans="1:17" ht="16.5" customHeight="1">
      <c r="A115" s="425"/>
      <c r="B115" s="430"/>
      <c r="C115" s="419" t="s">
        <v>287</v>
      </c>
      <c r="D115" s="420"/>
      <c r="E115" s="421"/>
      <c r="F115" s="66">
        <f t="shared" si="139"/>
        <v>0</v>
      </c>
      <c r="G115" s="66">
        <v>0</v>
      </c>
      <c r="H115" s="66">
        <v>0</v>
      </c>
      <c r="I115" s="66">
        <v>0</v>
      </c>
      <c r="J115" s="67">
        <v>0</v>
      </c>
      <c r="K115" s="273">
        <v>0</v>
      </c>
      <c r="M115" s="386">
        <f t="shared" si="126"/>
        <v>53</v>
      </c>
      <c r="N115" s="386">
        <f t="shared" si="127"/>
        <v>0</v>
      </c>
      <c r="O115" s="386">
        <f t="shared" si="128"/>
        <v>53</v>
      </c>
      <c r="P115" s="386">
        <f t="shared" si="129"/>
        <v>0</v>
      </c>
      <c r="Q115" s="386">
        <f t="shared" si="130"/>
        <v>0</v>
      </c>
    </row>
    <row r="116" spans="1:17" ht="16.5" customHeight="1">
      <c r="A116" s="425"/>
      <c r="B116" s="430"/>
      <c r="C116" s="428" t="s">
        <v>191</v>
      </c>
      <c r="D116" s="428"/>
      <c r="E116" s="428"/>
      <c r="F116" s="66">
        <f t="shared" si="139"/>
        <v>1006800</v>
      </c>
      <c r="G116" s="66">
        <v>0</v>
      </c>
      <c r="H116" s="66">
        <f>'2.하수관거 사업비_산출근거'!BB90</f>
        <v>1006800</v>
      </c>
      <c r="I116" s="66">
        <v>0</v>
      </c>
      <c r="J116" s="67">
        <v>0</v>
      </c>
      <c r="K116" s="273">
        <v>0</v>
      </c>
      <c r="M116" s="386">
        <f t="shared" si="126"/>
        <v>184</v>
      </c>
      <c r="N116" s="386">
        <f t="shared" si="127"/>
        <v>0</v>
      </c>
      <c r="O116" s="386">
        <f t="shared" si="128"/>
        <v>184</v>
      </c>
      <c r="P116" s="386">
        <f t="shared" si="129"/>
        <v>0</v>
      </c>
      <c r="Q116" s="386">
        <f t="shared" si="130"/>
        <v>0</v>
      </c>
    </row>
    <row r="117" spans="1:17" ht="16.5" customHeight="1">
      <c r="A117" s="425"/>
      <c r="B117" s="430"/>
      <c r="C117" s="428" t="s">
        <v>192</v>
      </c>
      <c r="D117" s="428"/>
      <c r="E117" s="428"/>
      <c r="F117" s="66">
        <f t="shared" si="139"/>
        <v>32000</v>
      </c>
      <c r="G117" s="66">
        <v>0</v>
      </c>
      <c r="H117" s="66">
        <f>'2.하수관거 사업비_산출근거'!BB79</f>
        <v>32000</v>
      </c>
      <c r="I117" s="66">
        <v>0</v>
      </c>
      <c r="J117" s="67">
        <v>0</v>
      </c>
      <c r="K117" s="273">
        <v>0</v>
      </c>
      <c r="M117" s="386">
        <f t="shared" si="126"/>
        <v>0</v>
      </c>
      <c r="N117" s="386">
        <f t="shared" si="127"/>
        <v>0</v>
      </c>
      <c r="O117" s="386">
        <f t="shared" si="128"/>
        <v>0</v>
      </c>
      <c r="P117" s="386">
        <f t="shared" si="129"/>
        <v>0</v>
      </c>
      <c r="Q117" s="386">
        <f t="shared" si="130"/>
        <v>0</v>
      </c>
    </row>
    <row r="118" spans="1:17" ht="16.5" customHeight="1">
      <c r="A118" s="425"/>
      <c r="B118" s="430"/>
      <c r="C118" s="428" t="s">
        <v>193</v>
      </c>
      <c r="D118" s="428"/>
      <c r="E118" s="428"/>
      <c r="F118" s="66">
        <f t="shared" si="139"/>
        <v>0</v>
      </c>
      <c r="G118" s="66">
        <v>0</v>
      </c>
      <c r="H118" s="66">
        <f>'2.하수관거 사업비_산출근거'!BB100</f>
        <v>0</v>
      </c>
      <c r="I118" s="66">
        <v>0</v>
      </c>
      <c r="J118" s="67">
        <v>0</v>
      </c>
      <c r="K118" s="273">
        <v>0</v>
      </c>
      <c r="M118" s="386">
        <f t="shared" si="126"/>
        <v>138</v>
      </c>
      <c r="N118" s="386">
        <f t="shared" si="127"/>
        <v>0</v>
      </c>
      <c r="O118" s="386">
        <f t="shared" si="128"/>
        <v>138</v>
      </c>
      <c r="P118" s="386">
        <f t="shared" si="129"/>
        <v>0</v>
      </c>
      <c r="Q118" s="386">
        <f t="shared" si="130"/>
        <v>0</v>
      </c>
    </row>
    <row r="119" spans="1:17" ht="16.5" customHeight="1">
      <c r="A119" s="425"/>
      <c r="B119" s="430"/>
      <c r="C119" s="428" t="s">
        <v>194</v>
      </c>
      <c r="D119" s="428"/>
      <c r="E119" s="428"/>
      <c r="F119" s="66">
        <f t="shared" si="139"/>
        <v>53000</v>
      </c>
      <c r="G119" s="66">
        <v>0</v>
      </c>
      <c r="H119" s="66">
        <f>'2.하수관거 사업비_산출근거'!BB93</f>
        <v>53000</v>
      </c>
      <c r="I119" s="66">
        <v>0</v>
      </c>
      <c r="J119" s="67">
        <v>0</v>
      </c>
      <c r="K119" s="273">
        <v>0</v>
      </c>
      <c r="M119" s="386">
        <f t="shared" si="126"/>
        <v>45</v>
      </c>
      <c r="N119" s="386">
        <f t="shared" si="127"/>
        <v>0</v>
      </c>
      <c r="O119" s="386">
        <f t="shared" si="128"/>
        <v>45</v>
      </c>
      <c r="P119" s="386">
        <f t="shared" si="129"/>
        <v>0</v>
      </c>
      <c r="Q119" s="386">
        <f t="shared" si="130"/>
        <v>0</v>
      </c>
    </row>
    <row r="120" spans="1:17" ht="16.5" customHeight="1">
      <c r="A120" s="425"/>
      <c r="B120" s="430"/>
      <c r="C120" s="419" t="s">
        <v>208</v>
      </c>
      <c r="D120" s="420"/>
      <c r="E120" s="421"/>
      <c r="F120" s="66">
        <f t="shared" si="139"/>
        <v>53930</v>
      </c>
      <c r="G120" s="66">
        <v>0</v>
      </c>
      <c r="H120" s="66">
        <f>'2.하수관거 사업비_산출근거'!BB96</f>
        <v>53930</v>
      </c>
      <c r="I120" s="66">
        <v>0</v>
      </c>
      <c r="J120" s="67">
        <v>0</v>
      </c>
      <c r="K120" s="273">
        <v>0</v>
      </c>
      <c r="M120" s="386">
        <f t="shared" si="126"/>
        <v>0</v>
      </c>
      <c r="N120" s="386">
        <f t="shared" si="127"/>
        <v>0</v>
      </c>
      <c r="O120" s="386">
        <f t="shared" si="128"/>
        <v>0</v>
      </c>
      <c r="P120" s="386">
        <f t="shared" si="129"/>
        <v>0</v>
      </c>
      <c r="Q120" s="386">
        <f t="shared" si="130"/>
        <v>0</v>
      </c>
    </row>
    <row r="121" spans="1:17" ht="16.5" customHeight="1">
      <c r="A121" s="425"/>
      <c r="B121" s="431"/>
      <c r="C121" s="419" t="s">
        <v>209</v>
      </c>
      <c r="D121" s="420"/>
      <c r="E121" s="421"/>
      <c r="F121" s="66">
        <f t="shared" si="139"/>
        <v>122087</v>
      </c>
      <c r="G121" s="66">
        <v>0</v>
      </c>
      <c r="H121" s="66">
        <f>'2.하수관거 사업비_산출근거'!BB97</f>
        <v>122087</v>
      </c>
      <c r="I121" s="66">
        <v>0</v>
      </c>
      <c r="J121" s="67">
        <v>0</v>
      </c>
      <c r="K121" s="273">
        <v>0</v>
      </c>
      <c r="M121" s="386">
        <f t="shared" si="126"/>
        <v>1007</v>
      </c>
      <c r="N121" s="386">
        <f t="shared" si="127"/>
        <v>0</v>
      </c>
      <c r="O121" s="386">
        <f t="shared" si="128"/>
        <v>1007</v>
      </c>
      <c r="P121" s="386">
        <f t="shared" si="129"/>
        <v>0</v>
      </c>
      <c r="Q121" s="386">
        <f t="shared" si="130"/>
        <v>0</v>
      </c>
    </row>
    <row r="122" spans="1:17" ht="16.5" customHeight="1">
      <c r="A122" s="425"/>
      <c r="B122" s="428" t="s">
        <v>195</v>
      </c>
      <c r="C122" s="428"/>
      <c r="D122" s="428"/>
      <c r="E122" s="428"/>
      <c r="F122" s="66">
        <f t="shared" si="139"/>
        <v>0</v>
      </c>
      <c r="G122" s="66">
        <v>0</v>
      </c>
      <c r="H122" s="66">
        <v>0</v>
      </c>
      <c r="I122" s="66">
        <v>0</v>
      </c>
      <c r="J122" s="67">
        <v>0</v>
      </c>
      <c r="K122" s="273">
        <v>0</v>
      </c>
      <c r="M122" s="386">
        <f t="shared" si="126"/>
        <v>32</v>
      </c>
      <c r="N122" s="386">
        <f t="shared" si="127"/>
        <v>0</v>
      </c>
      <c r="O122" s="386">
        <f t="shared" si="128"/>
        <v>32</v>
      </c>
      <c r="P122" s="386">
        <f t="shared" si="129"/>
        <v>0</v>
      </c>
      <c r="Q122" s="386">
        <f t="shared" si="130"/>
        <v>0</v>
      </c>
    </row>
    <row r="123" spans="1:17" ht="16.5" customHeight="1">
      <c r="A123" s="426"/>
      <c r="B123" s="432" t="s">
        <v>196</v>
      </c>
      <c r="C123" s="432"/>
      <c r="D123" s="432"/>
      <c r="E123" s="432"/>
      <c r="F123" s="68">
        <f t="shared" si="139"/>
        <v>237877</v>
      </c>
      <c r="G123" s="68">
        <v>0</v>
      </c>
      <c r="H123" s="68">
        <f>'2.하수관거 사업비_산출근거'!BB101+'2.하수관거 사업비_산출근거'!BB102+'2.하수관거 사업비_산출근거'!BB103+'2.하수관거 사업비_산출근거'!BB104</f>
        <v>237877</v>
      </c>
      <c r="I123" s="68">
        <v>0</v>
      </c>
      <c r="J123" s="69">
        <v>0</v>
      </c>
      <c r="K123" s="274">
        <v>0</v>
      </c>
      <c r="M123" s="386">
        <f t="shared" si="126"/>
        <v>0</v>
      </c>
      <c r="N123" s="386">
        <f t="shared" si="127"/>
        <v>0</v>
      </c>
      <c r="O123" s="386">
        <f t="shared" si="128"/>
        <v>0</v>
      </c>
      <c r="P123" s="386">
        <f t="shared" si="129"/>
        <v>0</v>
      </c>
      <c r="Q123" s="386">
        <f t="shared" si="130"/>
        <v>0</v>
      </c>
    </row>
    <row r="124" spans="1:17" ht="16.5" customHeight="1">
      <c r="A124" s="422" t="s">
        <v>326</v>
      </c>
      <c r="B124" s="423"/>
      <c r="C124" s="423"/>
      <c r="D124" s="423"/>
      <c r="E124" s="423"/>
      <c r="F124" s="322">
        <f t="shared" ref="F124" si="140">SUM(G124:K124)</f>
        <v>56899700</v>
      </c>
      <c r="G124" s="323"/>
      <c r="H124" s="324">
        <f>(598000+897000*17)*1.1</f>
        <v>17431700</v>
      </c>
      <c r="I124" s="324">
        <f>(897000*20)*1.1</f>
        <v>19734000</v>
      </c>
      <c r="J124" s="325">
        <f>(897000*20)*1.1</f>
        <v>19734000</v>
      </c>
      <c r="K124" s="318"/>
      <c r="L124" s="318">
        <f>(897000*22+299000+29000)*1.1</f>
        <v>22068200</v>
      </c>
      <c r="M124" s="386">
        <f t="shared" si="126"/>
        <v>53</v>
      </c>
      <c r="N124" s="386">
        <f t="shared" si="127"/>
        <v>0</v>
      </c>
      <c r="O124" s="386">
        <f t="shared" si="128"/>
        <v>53</v>
      </c>
      <c r="P124" s="386">
        <f t="shared" si="129"/>
        <v>0</v>
      </c>
      <c r="Q124" s="386">
        <f t="shared" si="130"/>
        <v>0</v>
      </c>
    </row>
    <row r="125" spans="1:17" ht="17.100000000000001" customHeight="1">
      <c r="F125" s="53"/>
      <c r="G125" s="53"/>
      <c r="I125" s="53"/>
      <c r="M125" s="386">
        <f>M126+M127</f>
        <v>176</v>
      </c>
      <c r="N125" s="386">
        <f t="shared" ref="N125:Q125" si="141">N126+N127</f>
        <v>0</v>
      </c>
      <c r="O125" s="386">
        <f t="shared" si="141"/>
        <v>176</v>
      </c>
      <c r="P125" s="386">
        <f t="shared" si="141"/>
        <v>0</v>
      </c>
      <c r="Q125" s="386">
        <f t="shared" si="141"/>
        <v>0</v>
      </c>
    </row>
    <row r="126" spans="1:17" ht="17.100000000000001" customHeight="1">
      <c r="F126" s="53"/>
      <c r="G126" s="53"/>
      <c r="M126" s="387">
        <f t="shared" ref="M126:Q130" si="142">ROUND(F120/1000,0)</f>
        <v>54</v>
      </c>
      <c r="N126" s="387">
        <f t="shared" si="142"/>
        <v>0</v>
      </c>
      <c r="O126" s="387">
        <f t="shared" si="142"/>
        <v>54</v>
      </c>
      <c r="P126" s="387">
        <f t="shared" si="142"/>
        <v>0</v>
      </c>
      <c r="Q126" s="387">
        <f t="shared" si="142"/>
        <v>0</v>
      </c>
    </row>
    <row r="127" spans="1:17" ht="17.100000000000001" customHeight="1">
      <c r="C127" s="52">
        <f>71789*1.1</f>
        <v>78967.900000000009</v>
      </c>
      <c r="F127" s="53"/>
      <c r="G127" s="53"/>
      <c r="M127" s="387">
        <f t="shared" si="142"/>
        <v>122</v>
      </c>
      <c r="N127" s="387">
        <f t="shared" si="142"/>
        <v>0</v>
      </c>
      <c r="O127" s="387">
        <f t="shared" si="142"/>
        <v>122</v>
      </c>
      <c r="P127" s="387">
        <f t="shared" si="142"/>
        <v>0</v>
      </c>
      <c r="Q127" s="387">
        <f t="shared" si="142"/>
        <v>0</v>
      </c>
    </row>
    <row r="128" spans="1:17" ht="17.100000000000001" customHeight="1">
      <c r="C128" s="52">
        <f>78968-56900</f>
        <v>22068</v>
      </c>
      <c r="F128" s="53"/>
      <c r="G128" s="53"/>
      <c r="M128" s="386">
        <f t="shared" si="142"/>
        <v>0</v>
      </c>
      <c r="N128" s="386">
        <f t="shared" si="142"/>
        <v>0</v>
      </c>
      <c r="O128" s="386">
        <f t="shared" si="142"/>
        <v>0</v>
      </c>
      <c r="P128" s="386">
        <f t="shared" si="142"/>
        <v>0</v>
      </c>
      <c r="Q128" s="386">
        <f t="shared" si="142"/>
        <v>0</v>
      </c>
    </row>
    <row r="129" spans="13:17" ht="17.100000000000001" customHeight="1">
      <c r="M129" s="386">
        <f t="shared" si="142"/>
        <v>238</v>
      </c>
      <c r="N129" s="386">
        <f t="shared" si="142"/>
        <v>0</v>
      </c>
      <c r="O129" s="386">
        <f t="shared" si="142"/>
        <v>238</v>
      </c>
      <c r="P129" s="386">
        <f t="shared" si="142"/>
        <v>0</v>
      </c>
      <c r="Q129" s="386">
        <f t="shared" si="142"/>
        <v>0</v>
      </c>
    </row>
    <row r="130" spans="13:17" ht="17.100000000000001" customHeight="1">
      <c r="M130" s="386">
        <f t="shared" si="142"/>
        <v>56900</v>
      </c>
      <c r="N130" s="386">
        <f t="shared" si="142"/>
        <v>0</v>
      </c>
      <c r="O130" s="386">
        <f t="shared" si="142"/>
        <v>17432</v>
      </c>
      <c r="P130" s="386">
        <f t="shared" si="142"/>
        <v>19734</v>
      </c>
      <c r="Q130" s="386">
        <f t="shared" si="142"/>
        <v>19734</v>
      </c>
    </row>
  </sheetData>
  <mergeCells count="106">
    <mergeCell ref="C14:E14"/>
    <mergeCell ref="C55:E55"/>
    <mergeCell ref="C75:E75"/>
    <mergeCell ref="C95:E95"/>
    <mergeCell ref="C115:E115"/>
    <mergeCell ref="C35:E35"/>
    <mergeCell ref="A2:E2"/>
    <mergeCell ref="A3:A23"/>
    <mergeCell ref="B3:E3"/>
    <mergeCell ref="C4:E4"/>
    <mergeCell ref="D5:E5"/>
    <mergeCell ref="C15:E15"/>
    <mergeCell ref="C16:E16"/>
    <mergeCell ref="C17:E17"/>
    <mergeCell ref="D6:D9"/>
    <mergeCell ref="D10:D13"/>
    <mergeCell ref="C5:C13"/>
    <mergeCell ref="C18:E18"/>
    <mergeCell ref="B22:E22"/>
    <mergeCell ref="B23:E23"/>
    <mergeCell ref="C19:E19"/>
    <mergeCell ref="C20:E20"/>
    <mergeCell ref="B63:E63"/>
    <mergeCell ref="A24:A43"/>
    <mergeCell ref="B24:E24"/>
    <mergeCell ref="C25:E25"/>
    <mergeCell ref="D26:E26"/>
    <mergeCell ref="C36:E36"/>
    <mergeCell ref="C37:E37"/>
    <mergeCell ref="C38:E38"/>
    <mergeCell ref="C39:E39"/>
    <mergeCell ref="B42:E42"/>
    <mergeCell ref="B43:E43"/>
    <mergeCell ref="C26:C34"/>
    <mergeCell ref="D27:D30"/>
    <mergeCell ref="D31:D34"/>
    <mergeCell ref="C56:E56"/>
    <mergeCell ref="C57:E57"/>
    <mergeCell ref="C58:E58"/>
    <mergeCell ref="C59:E59"/>
    <mergeCell ref="B62:E62"/>
    <mergeCell ref="B44:E44"/>
    <mergeCell ref="C45:E45"/>
    <mergeCell ref="C46:C54"/>
    <mergeCell ref="D46:E46"/>
    <mergeCell ref="D47:D50"/>
    <mergeCell ref="D51:D54"/>
    <mergeCell ref="C101:E101"/>
    <mergeCell ref="B84:E84"/>
    <mergeCell ref="C85:E85"/>
    <mergeCell ref="C86:C94"/>
    <mergeCell ref="D86:E86"/>
    <mergeCell ref="B102:E102"/>
    <mergeCell ref="B85:B101"/>
    <mergeCell ref="C96:E96"/>
    <mergeCell ref="C97:E97"/>
    <mergeCell ref="C98:E98"/>
    <mergeCell ref="C99:E99"/>
    <mergeCell ref="A1:D1"/>
    <mergeCell ref="C41:E41"/>
    <mergeCell ref="B25:B41"/>
    <mergeCell ref="C40:E40"/>
    <mergeCell ref="C80:E80"/>
    <mergeCell ref="B4:B20"/>
    <mergeCell ref="B65:B81"/>
    <mergeCell ref="C60:E60"/>
    <mergeCell ref="C61:E61"/>
    <mergeCell ref="B45:B61"/>
    <mergeCell ref="D71:D74"/>
    <mergeCell ref="C76:E76"/>
    <mergeCell ref="C77:E77"/>
    <mergeCell ref="C78:E78"/>
    <mergeCell ref="A64:A83"/>
    <mergeCell ref="A44:A63"/>
    <mergeCell ref="C81:E81"/>
    <mergeCell ref="B82:E82"/>
    <mergeCell ref="B83:E83"/>
    <mergeCell ref="B64:E64"/>
    <mergeCell ref="C79:E79"/>
    <mergeCell ref="C65:E65"/>
    <mergeCell ref="C66:C74"/>
    <mergeCell ref="D66:E66"/>
    <mergeCell ref="B21:E21"/>
    <mergeCell ref="A124:E124"/>
    <mergeCell ref="A104:A123"/>
    <mergeCell ref="B104:E104"/>
    <mergeCell ref="C105:E105"/>
    <mergeCell ref="C106:C114"/>
    <mergeCell ref="D106:E106"/>
    <mergeCell ref="D107:D110"/>
    <mergeCell ref="D111:D114"/>
    <mergeCell ref="C116:E116"/>
    <mergeCell ref="C120:E120"/>
    <mergeCell ref="C121:E121"/>
    <mergeCell ref="B105:B121"/>
    <mergeCell ref="C118:E118"/>
    <mergeCell ref="C119:E119"/>
    <mergeCell ref="C117:E117"/>
    <mergeCell ref="B122:E122"/>
    <mergeCell ref="B123:E123"/>
    <mergeCell ref="D67:D70"/>
    <mergeCell ref="A84:A103"/>
    <mergeCell ref="D87:D90"/>
    <mergeCell ref="D91:D94"/>
    <mergeCell ref="B103:E103"/>
    <mergeCell ref="C100:E10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BB150"/>
  <sheetViews>
    <sheetView view="pageBreakPreview" zoomScale="70" zoomScaleNormal="70" zoomScaleSheetLayoutView="70" workbookViewId="0">
      <pane xSplit="5" ySplit="4" topLeftCell="AW29" activePane="bottomRight" state="frozen"/>
      <selection pane="topRight" activeCell="F1" sqref="F1"/>
      <selection pane="bottomLeft" activeCell="A5" sqref="A5"/>
      <selection pane="bottomRight" activeCell="BA33" sqref="BA33"/>
    </sheetView>
  </sheetViews>
  <sheetFormatPr defaultRowHeight="20.100000000000001" customHeight="1" outlineLevelCol="1"/>
  <cols>
    <col min="1" max="1" width="3.125" style="43" customWidth="1"/>
    <col min="2" max="3" width="3.125" style="42" customWidth="1"/>
    <col min="4" max="4" width="15.375" style="42" customWidth="1"/>
    <col min="5" max="5" width="6.25" style="44" bestFit="1" customWidth="1"/>
    <col min="6" max="7" width="10.875" style="45" customWidth="1" outlineLevel="1"/>
    <col min="8" max="8" width="17.25" style="46" customWidth="1" outlineLevel="1"/>
    <col min="9" max="9" width="16.875" style="46" customWidth="1" outlineLevel="1"/>
    <col min="10" max="20" width="15.75" style="46" customWidth="1" outlineLevel="1"/>
    <col min="21" max="21" width="15.125" style="46" bestFit="1" customWidth="1"/>
    <col min="22" max="22" width="10.125" style="46" bestFit="1" customWidth="1"/>
    <col min="23" max="23" width="15.125" style="46" bestFit="1" customWidth="1"/>
    <col min="24" max="24" width="11.5" style="46" customWidth="1"/>
    <col min="25" max="25" width="14.875" style="46" customWidth="1"/>
    <col min="26" max="26" width="11.5" style="46" customWidth="1"/>
    <col min="27" max="27" width="14.875" style="46" customWidth="1"/>
    <col min="28" max="28" width="10.125" style="46" bestFit="1" customWidth="1"/>
    <col min="29" max="30" width="14.875" style="46" customWidth="1"/>
    <col min="31" max="31" width="10.125" style="46" bestFit="1" customWidth="1"/>
    <col min="32" max="32" width="14.875" style="46" customWidth="1"/>
    <col min="33" max="33" width="10.125" style="46" bestFit="1" customWidth="1"/>
    <col min="34" max="54" width="14.875" style="46" customWidth="1"/>
    <col min="55" max="201" width="9" style="43"/>
    <col min="202" max="204" width="3.125" style="43" customWidth="1"/>
    <col min="205" max="205" width="16.375" style="43" bestFit="1" customWidth="1"/>
    <col min="206" max="206" width="5" style="43" bestFit="1" customWidth="1"/>
    <col min="207" max="208" width="9" style="43" bestFit="1" customWidth="1"/>
    <col min="209" max="209" width="12.875" style="43" bestFit="1" customWidth="1"/>
    <col min="210" max="210" width="8.125" style="43" bestFit="1" customWidth="1"/>
    <col min="211" max="211" width="12.875" style="43" bestFit="1" customWidth="1"/>
    <col min="212" max="212" width="9.5" style="43" bestFit="1" customWidth="1"/>
    <col min="213" max="214" width="12.875" style="43" bestFit="1" customWidth="1"/>
    <col min="215" max="215" width="8.125" style="43" bestFit="1" customWidth="1"/>
    <col min="216" max="216" width="12.875" style="43" bestFit="1" customWidth="1"/>
    <col min="217" max="217" width="7" style="43" bestFit="1" customWidth="1"/>
    <col min="218" max="218" width="10.125" style="43" bestFit="1" customWidth="1"/>
    <col min="219" max="219" width="10.125" style="43" customWidth="1"/>
    <col min="220" max="220" width="7" style="43" customWidth="1"/>
    <col min="221" max="221" width="10.125" style="43" customWidth="1"/>
    <col min="222" max="223" width="7" style="43" customWidth="1"/>
    <col min="224" max="224" width="11.75" style="43" customWidth="1"/>
    <col min="225" max="225" width="8.125" style="43" customWidth="1"/>
    <col min="226" max="226" width="11.75" style="43" customWidth="1"/>
    <col min="227" max="228" width="7" style="43" customWidth="1"/>
    <col min="229" max="229" width="5.25" style="43" customWidth="1"/>
    <col min="230" max="233" width="7" style="43" customWidth="1"/>
    <col min="234" max="234" width="12.875" style="43" customWidth="1"/>
    <col min="235" max="235" width="8.125" style="43" customWidth="1"/>
    <col min="236" max="236" width="12.875" style="43" customWidth="1"/>
    <col min="237" max="238" width="7" style="43" customWidth="1"/>
    <col min="239" max="239" width="12.875" style="43" customWidth="1"/>
    <col min="240" max="240" width="8.125" style="43" customWidth="1"/>
    <col min="241" max="241" width="12.875" style="43" customWidth="1"/>
    <col min="242" max="243" width="7" style="43" customWidth="1"/>
    <col min="244" max="244" width="12.875" style="43" bestFit="1" customWidth="1"/>
    <col min="245" max="246" width="7" style="43" bestFit="1" customWidth="1"/>
    <col min="247" max="247" width="9.5" style="43" bestFit="1" customWidth="1"/>
    <col min="248" max="248" width="12.875" style="43" bestFit="1" customWidth="1"/>
    <col min="249" max="249" width="11.75" style="43" customWidth="1"/>
    <col min="250" max="251" width="7" style="43" customWidth="1"/>
    <col min="252" max="252" width="7.25" style="43" customWidth="1"/>
    <col min="253" max="254" width="11.75" style="43" customWidth="1"/>
    <col min="255" max="256" width="7" style="43" customWidth="1"/>
    <col min="257" max="257" width="7.25" style="43" customWidth="1"/>
    <col min="258" max="259" width="11.75" style="43" customWidth="1"/>
    <col min="260" max="261" width="7" style="43" customWidth="1"/>
    <col min="262" max="262" width="8.125" style="43" customWidth="1"/>
    <col min="263" max="264" width="11.75" style="43" customWidth="1"/>
    <col min="265" max="266" width="7" style="43" customWidth="1"/>
    <col min="267" max="267" width="7.25" style="43" customWidth="1"/>
    <col min="268" max="268" width="11.75" style="43" customWidth="1"/>
    <col min="269" max="269" width="12.875" style="43" bestFit="1" customWidth="1"/>
    <col min="270" max="271" width="7" style="43" bestFit="1" customWidth="1"/>
    <col min="272" max="272" width="9.5" style="43" bestFit="1" customWidth="1"/>
    <col min="273" max="273" width="12.875" style="43" bestFit="1" customWidth="1"/>
    <col min="274" max="274" width="11.75" style="43" customWidth="1"/>
    <col min="275" max="276" width="7" style="43" customWidth="1"/>
    <col min="277" max="277" width="7.25" style="43" customWidth="1"/>
    <col min="278" max="279" width="11.75" style="43" customWidth="1"/>
    <col min="280" max="281" width="7" style="43" customWidth="1"/>
    <col min="282" max="282" width="7.25" style="43" customWidth="1"/>
    <col min="283" max="284" width="11.75" style="43" customWidth="1"/>
    <col min="285" max="286" width="7" style="43" customWidth="1"/>
    <col min="287" max="287" width="7.25" style="43" customWidth="1"/>
    <col min="288" max="289" width="11.75" style="43" customWidth="1"/>
    <col min="290" max="291" width="7" style="43" customWidth="1"/>
    <col min="292" max="292" width="7.25" style="43" customWidth="1"/>
    <col min="293" max="293" width="11.75" style="43" customWidth="1"/>
    <col min="294" max="294" width="11.75" style="43" bestFit="1" customWidth="1"/>
    <col min="295" max="296" width="7" style="43" bestFit="1" customWidth="1"/>
    <col min="297" max="297" width="7.25" style="43" bestFit="1" customWidth="1"/>
    <col min="298" max="299" width="11.75" style="43" bestFit="1" customWidth="1"/>
    <col min="300" max="301" width="7" style="43" bestFit="1" customWidth="1"/>
    <col min="302" max="302" width="7.25" style="43" bestFit="1" customWidth="1"/>
    <col min="303" max="303" width="11.75" style="43" bestFit="1" customWidth="1"/>
    <col min="304" max="457" width="9" style="43"/>
    <col min="458" max="460" width="3.125" style="43" customWidth="1"/>
    <col min="461" max="461" width="16.375" style="43" bestFit="1" customWidth="1"/>
    <col min="462" max="462" width="5" style="43" bestFit="1" customWidth="1"/>
    <col min="463" max="464" width="9" style="43" bestFit="1" customWidth="1"/>
    <col min="465" max="465" width="12.875" style="43" bestFit="1" customWidth="1"/>
    <col min="466" max="466" width="8.125" style="43" bestFit="1" customWidth="1"/>
    <col min="467" max="467" width="12.875" style="43" bestFit="1" customWidth="1"/>
    <col min="468" max="468" width="9.5" style="43" bestFit="1" customWidth="1"/>
    <col min="469" max="470" width="12.875" style="43" bestFit="1" customWidth="1"/>
    <col min="471" max="471" width="8.125" style="43" bestFit="1" customWidth="1"/>
    <col min="472" max="472" width="12.875" style="43" bestFit="1" customWidth="1"/>
    <col min="473" max="473" width="7" style="43" bestFit="1" customWidth="1"/>
    <col min="474" max="474" width="10.125" style="43" bestFit="1" customWidth="1"/>
    <col min="475" max="475" width="10.125" style="43" customWidth="1"/>
    <col min="476" max="476" width="7" style="43" customWidth="1"/>
    <col min="477" max="477" width="10.125" style="43" customWidth="1"/>
    <col min="478" max="479" width="7" style="43" customWidth="1"/>
    <col min="480" max="480" width="11.75" style="43" customWidth="1"/>
    <col min="481" max="481" width="8.125" style="43" customWidth="1"/>
    <col min="482" max="482" width="11.75" style="43" customWidth="1"/>
    <col min="483" max="484" width="7" style="43" customWidth="1"/>
    <col min="485" max="485" width="5.25" style="43" customWidth="1"/>
    <col min="486" max="489" width="7" style="43" customWidth="1"/>
    <col min="490" max="490" width="12.875" style="43" customWidth="1"/>
    <col min="491" max="491" width="8.125" style="43" customWidth="1"/>
    <col min="492" max="492" width="12.875" style="43" customWidth="1"/>
    <col min="493" max="494" width="7" style="43" customWidth="1"/>
    <col min="495" max="495" width="12.875" style="43" customWidth="1"/>
    <col min="496" max="496" width="8.125" style="43" customWidth="1"/>
    <col min="497" max="497" width="12.875" style="43" customWidth="1"/>
    <col min="498" max="499" width="7" style="43" customWidth="1"/>
    <col min="500" max="500" width="12.875" style="43" bestFit="1" customWidth="1"/>
    <col min="501" max="502" width="7" style="43" bestFit="1" customWidth="1"/>
    <col min="503" max="503" width="9.5" style="43" bestFit="1" customWidth="1"/>
    <col min="504" max="504" width="12.875" style="43" bestFit="1" customWidth="1"/>
    <col min="505" max="505" width="11.75" style="43" customWidth="1"/>
    <col min="506" max="507" width="7" style="43" customWidth="1"/>
    <col min="508" max="508" width="7.25" style="43" customWidth="1"/>
    <col min="509" max="510" width="11.75" style="43" customWidth="1"/>
    <col min="511" max="512" width="7" style="43" customWidth="1"/>
    <col min="513" max="513" width="7.25" style="43" customWidth="1"/>
    <col min="514" max="515" width="11.75" style="43" customWidth="1"/>
    <col min="516" max="517" width="7" style="43" customWidth="1"/>
    <col min="518" max="518" width="8.125" style="43" customWidth="1"/>
    <col min="519" max="520" width="11.75" style="43" customWidth="1"/>
    <col min="521" max="522" width="7" style="43" customWidth="1"/>
    <col min="523" max="523" width="7.25" style="43" customWidth="1"/>
    <col min="524" max="524" width="11.75" style="43" customWidth="1"/>
    <col min="525" max="525" width="12.875" style="43" bestFit="1" customWidth="1"/>
    <col min="526" max="527" width="7" style="43" bestFit="1" customWidth="1"/>
    <col min="528" max="528" width="9.5" style="43" bestFit="1" customWidth="1"/>
    <col min="529" max="529" width="12.875" style="43" bestFit="1" customWidth="1"/>
    <col min="530" max="530" width="11.75" style="43" customWidth="1"/>
    <col min="531" max="532" width="7" style="43" customWidth="1"/>
    <col min="533" max="533" width="7.25" style="43" customWidth="1"/>
    <col min="534" max="535" width="11.75" style="43" customWidth="1"/>
    <col min="536" max="537" width="7" style="43" customWidth="1"/>
    <col min="538" max="538" width="7.25" style="43" customWidth="1"/>
    <col min="539" max="540" width="11.75" style="43" customWidth="1"/>
    <col min="541" max="542" width="7" style="43" customWidth="1"/>
    <col min="543" max="543" width="7.25" style="43" customWidth="1"/>
    <col min="544" max="545" width="11.75" style="43" customWidth="1"/>
    <col min="546" max="547" width="7" style="43" customWidth="1"/>
    <col min="548" max="548" width="7.25" style="43" customWidth="1"/>
    <col min="549" max="549" width="11.75" style="43" customWidth="1"/>
    <col min="550" max="550" width="11.75" style="43" bestFit="1" customWidth="1"/>
    <col min="551" max="552" width="7" style="43" bestFit="1" customWidth="1"/>
    <col min="553" max="553" width="7.25" style="43" bestFit="1" customWidth="1"/>
    <col min="554" max="555" width="11.75" style="43" bestFit="1" customWidth="1"/>
    <col min="556" max="557" width="7" style="43" bestFit="1" customWidth="1"/>
    <col min="558" max="558" width="7.25" style="43" bestFit="1" customWidth="1"/>
    <col min="559" max="559" width="11.75" style="43" bestFit="1" customWidth="1"/>
    <col min="560" max="713" width="9" style="43"/>
    <col min="714" max="716" width="3.125" style="43" customWidth="1"/>
    <col min="717" max="717" width="16.375" style="43" bestFit="1" customWidth="1"/>
    <col min="718" max="718" width="5" style="43" bestFit="1" customWidth="1"/>
    <col min="719" max="720" width="9" style="43" bestFit="1" customWidth="1"/>
    <col min="721" max="721" width="12.875" style="43" bestFit="1" customWidth="1"/>
    <col min="722" max="722" width="8.125" style="43" bestFit="1" customWidth="1"/>
    <col min="723" max="723" width="12.875" style="43" bestFit="1" customWidth="1"/>
    <col min="724" max="724" width="9.5" style="43" bestFit="1" customWidth="1"/>
    <col min="725" max="726" width="12.875" style="43" bestFit="1" customWidth="1"/>
    <col min="727" max="727" width="8.125" style="43" bestFit="1" customWidth="1"/>
    <col min="728" max="728" width="12.875" style="43" bestFit="1" customWidth="1"/>
    <col min="729" max="729" width="7" style="43" bestFit="1" customWidth="1"/>
    <col min="730" max="730" width="10.125" style="43" bestFit="1" customWidth="1"/>
    <col min="731" max="731" width="10.125" style="43" customWidth="1"/>
    <col min="732" max="732" width="7" style="43" customWidth="1"/>
    <col min="733" max="733" width="10.125" style="43" customWidth="1"/>
    <col min="734" max="735" width="7" style="43" customWidth="1"/>
    <col min="736" max="736" width="11.75" style="43" customWidth="1"/>
    <col min="737" max="737" width="8.125" style="43" customWidth="1"/>
    <col min="738" max="738" width="11.75" style="43" customWidth="1"/>
    <col min="739" max="740" width="7" style="43" customWidth="1"/>
    <col min="741" max="741" width="5.25" style="43" customWidth="1"/>
    <col min="742" max="745" width="7" style="43" customWidth="1"/>
    <col min="746" max="746" width="12.875" style="43" customWidth="1"/>
    <col min="747" max="747" width="8.125" style="43" customWidth="1"/>
    <col min="748" max="748" width="12.875" style="43" customWidth="1"/>
    <col min="749" max="750" width="7" style="43" customWidth="1"/>
    <col min="751" max="751" width="12.875" style="43" customWidth="1"/>
    <col min="752" max="752" width="8.125" style="43" customWidth="1"/>
    <col min="753" max="753" width="12.875" style="43" customWidth="1"/>
    <col min="754" max="755" width="7" style="43" customWidth="1"/>
    <col min="756" max="756" width="12.875" style="43" bestFit="1" customWidth="1"/>
    <col min="757" max="758" width="7" style="43" bestFit="1" customWidth="1"/>
    <col min="759" max="759" width="9.5" style="43" bestFit="1" customWidth="1"/>
    <col min="760" max="760" width="12.875" style="43" bestFit="1" customWidth="1"/>
    <col min="761" max="761" width="11.75" style="43" customWidth="1"/>
    <col min="762" max="763" width="7" style="43" customWidth="1"/>
    <col min="764" max="764" width="7.25" style="43" customWidth="1"/>
    <col min="765" max="766" width="11.75" style="43" customWidth="1"/>
    <col min="767" max="768" width="7" style="43" customWidth="1"/>
    <col min="769" max="769" width="7.25" style="43" customWidth="1"/>
    <col min="770" max="771" width="11.75" style="43" customWidth="1"/>
    <col min="772" max="773" width="7" style="43" customWidth="1"/>
    <col min="774" max="774" width="8.125" style="43" customWidth="1"/>
    <col min="775" max="776" width="11.75" style="43" customWidth="1"/>
    <col min="777" max="778" width="7" style="43" customWidth="1"/>
    <col min="779" max="779" width="7.25" style="43" customWidth="1"/>
    <col min="780" max="780" width="11.75" style="43" customWidth="1"/>
    <col min="781" max="781" width="12.875" style="43" bestFit="1" customWidth="1"/>
    <col min="782" max="783" width="7" style="43" bestFit="1" customWidth="1"/>
    <col min="784" max="784" width="9.5" style="43" bestFit="1" customWidth="1"/>
    <col min="785" max="785" width="12.875" style="43" bestFit="1" customWidth="1"/>
    <col min="786" max="786" width="11.75" style="43" customWidth="1"/>
    <col min="787" max="788" width="7" style="43" customWidth="1"/>
    <col min="789" max="789" width="7.25" style="43" customWidth="1"/>
    <col min="790" max="791" width="11.75" style="43" customWidth="1"/>
    <col min="792" max="793" width="7" style="43" customWidth="1"/>
    <col min="794" max="794" width="7.25" style="43" customWidth="1"/>
    <col min="795" max="796" width="11.75" style="43" customWidth="1"/>
    <col min="797" max="798" width="7" style="43" customWidth="1"/>
    <col min="799" max="799" width="7.25" style="43" customWidth="1"/>
    <col min="800" max="801" width="11.75" style="43" customWidth="1"/>
    <col min="802" max="803" width="7" style="43" customWidth="1"/>
    <col min="804" max="804" width="7.25" style="43" customWidth="1"/>
    <col min="805" max="805" width="11.75" style="43" customWidth="1"/>
    <col min="806" max="806" width="11.75" style="43" bestFit="1" customWidth="1"/>
    <col min="807" max="808" width="7" style="43" bestFit="1" customWidth="1"/>
    <col min="809" max="809" width="7.25" style="43" bestFit="1" customWidth="1"/>
    <col min="810" max="811" width="11.75" style="43" bestFit="1" customWidth="1"/>
    <col min="812" max="813" width="7" style="43" bestFit="1" customWidth="1"/>
    <col min="814" max="814" width="7.25" style="43" bestFit="1" customWidth="1"/>
    <col min="815" max="815" width="11.75" style="43" bestFit="1" customWidth="1"/>
    <col min="816" max="969" width="9" style="43"/>
    <col min="970" max="972" width="3.125" style="43" customWidth="1"/>
    <col min="973" max="973" width="16.375" style="43" bestFit="1" customWidth="1"/>
    <col min="974" max="974" width="5" style="43" bestFit="1" customWidth="1"/>
    <col min="975" max="976" width="9" style="43" bestFit="1" customWidth="1"/>
    <col min="977" max="977" width="12.875" style="43" bestFit="1" customWidth="1"/>
    <col min="978" max="978" width="8.125" style="43" bestFit="1" customWidth="1"/>
    <col min="979" max="979" width="12.875" style="43" bestFit="1" customWidth="1"/>
    <col min="980" max="980" width="9.5" style="43" bestFit="1" customWidth="1"/>
    <col min="981" max="982" width="12.875" style="43" bestFit="1" customWidth="1"/>
    <col min="983" max="983" width="8.125" style="43" bestFit="1" customWidth="1"/>
    <col min="984" max="984" width="12.875" style="43" bestFit="1" customWidth="1"/>
    <col min="985" max="985" width="7" style="43" bestFit="1" customWidth="1"/>
    <col min="986" max="986" width="10.125" style="43" bestFit="1" customWidth="1"/>
    <col min="987" max="987" width="10.125" style="43" customWidth="1"/>
    <col min="988" max="988" width="7" style="43" customWidth="1"/>
    <col min="989" max="989" width="10.125" style="43" customWidth="1"/>
    <col min="990" max="991" width="7" style="43" customWidth="1"/>
    <col min="992" max="992" width="11.75" style="43" customWidth="1"/>
    <col min="993" max="993" width="8.125" style="43" customWidth="1"/>
    <col min="994" max="994" width="11.75" style="43" customWidth="1"/>
    <col min="995" max="996" width="7" style="43" customWidth="1"/>
    <col min="997" max="997" width="5.25" style="43" customWidth="1"/>
    <col min="998" max="1001" width="7" style="43" customWidth="1"/>
    <col min="1002" max="1002" width="12.875" style="43" customWidth="1"/>
    <col min="1003" max="1003" width="8.125" style="43" customWidth="1"/>
    <col min="1004" max="1004" width="12.875" style="43" customWidth="1"/>
    <col min="1005" max="1006" width="7" style="43" customWidth="1"/>
    <col min="1007" max="1007" width="12.875" style="43" customWidth="1"/>
    <col min="1008" max="1008" width="8.125" style="43" customWidth="1"/>
    <col min="1009" max="1009" width="12.875" style="43" customWidth="1"/>
    <col min="1010" max="1011" width="7" style="43" customWidth="1"/>
    <col min="1012" max="1012" width="12.875" style="43" bestFit="1" customWidth="1"/>
    <col min="1013" max="1014" width="7" style="43" bestFit="1" customWidth="1"/>
    <col min="1015" max="1015" width="9.5" style="43" bestFit="1" customWidth="1"/>
    <col min="1016" max="1016" width="12.875" style="43" bestFit="1" customWidth="1"/>
    <col min="1017" max="1017" width="11.75" style="43" customWidth="1"/>
    <col min="1018" max="1019" width="7" style="43" customWidth="1"/>
    <col min="1020" max="1020" width="7.25" style="43" customWidth="1"/>
    <col min="1021" max="1022" width="11.75" style="43" customWidth="1"/>
    <col min="1023" max="1024" width="7" style="43" customWidth="1"/>
    <col min="1025" max="1025" width="7.25" style="43" customWidth="1"/>
    <col min="1026" max="1027" width="11.75" style="43" customWidth="1"/>
    <col min="1028" max="1029" width="7" style="43" customWidth="1"/>
    <col min="1030" max="1030" width="8.125" style="43" customWidth="1"/>
    <col min="1031" max="1032" width="11.75" style="43" customWidth="1"/>
    <col min="1033" max="1034" width="7" style="43" customWidth="1"/>
    <col min="1035" max="1035" width="7.25" style="43" customWidth="1"/>
    <col min="1036" max="1036" width="11.75" style="43" customWidth="1"/>
    <col min="1037" max="1037" width="12.875" style="43" bestFit="1" customWidth="1"/>
    <col min="1038" max="1039" width="7" style="43" bestFit="1" customWidth="1"/>
    <col min="1040" max="1040" width="9.5" style="43" bestFit="1" customWidth="1"/>
    <col min="1041" max="1041" width="12.875" style="43" bestFit="1" customWidth="1"/>
    <col min="1042" max="1042" width="11.75" style="43" customWidth="1"/>
    <col min="1043" max="1044" width="7" style="43" customWidth="1"/>
    <col min="1045" max="1045" width="7.25" style="43" customWidth="1"/>
    <col min="1046" max="1047" width="11.75" style="43" customWidth="1"/>
    <col min="1048" max="1049" width="7" style="43" customWidth="1"/>
    <col min="1050" max="1050" width="7.25" style="43" customWidth="1"/>
    <col min="1051" max="1052" width="11.75" style="43" customWidth="1"/>
    <col min="1053" max="1054" width="7" style="43" customWidth="1"/>
    <col min="1055" max="1055" width="7.25" style="43" customWidth="1"/>
    <col min="1056" max="1057" width="11.75" style="43" customWidth="1"/>
    <col min="1058" max="1059" width="7" style="43" customWidth="1"/>
    <col min="1060" max="1060" width="7.25" style="43" customWidth="1"/>
    <col min="1061" max="1061" width="11.75" style="43" customWidth="1"/>
    <col min="1062" max="1062" width="11.75" style="43" bestFit="1" customWidth="1"/>
    <col min="1063" max="1064" width="7" style="43" bestFit="1" customWidth="1"/>
    <col min="1065" max="1065" width="7.25" style="43" bestFit="1" customWidth="1"/>
    <col min="1066" max="1067" width="11.75" style="43" bestFit="1" customWidth="1"/>
    <col min="1068" max="1069" width="7" style="43" bestFit="1" customWidth="1"/>
    <col min="1070" max="1070" width="7.25" style="43" bestFit="1" customWidth="1"/>
    <col min="1071" max="1071" width="11.75" style="43" bestFit="1" customWidth="1"/>
    <col min="1072" max="1225" width="9" style="43"/>
    <col min="1226" max="1228" width="3.125" style="43" customWidth="1"/>
    <col min="1229" max="1229" width="16.375" style="43" bestFit="1" customWidth="1"/>
    <col min="1230" max="1230" width="5" style="43" bestFit="1" customWidth="1"/>
    <col min="1231" max="1232" width="9" style="43" bestFit="1" customWidth="1"/>
    <col min="1233" max="1233" width="12.875" style="43" bestFit="1" customWidth="1"/>
    <col min="1234" max="1234" width="8.125" style="43" bestFit="1" customWidth="1"/>
    <col min="1235" max="1235" width="12.875" style="43" bestFit="1" customWidth="1"/>
    <col min="1236" max="1236" width="9.5" style="43" bestFit="1" customWidth="1"/>
    <col min="1237" max="1238" width="12.875" style="43" bestFit="1" customWidth="1"/>
    <col min="1239" max="1239" width="8.125" style="43" bestFit="1" customWidth="1"/>
    <col min="1240" max="1240" width="12.875" style="43" bestFit="1" customWidth="1"/>
    <col min="1241" max="1241" width="7" style="43" bestFit="1" customWidth="1"/>
    <col min="1242" max="1242" width="10.125" style="43" bestFit="1" customWidth="1"/>
    <col min="1243" max="1243" width="10.125" style="43" customWidth="1"/>
    <col min="1244" max="1244" width="7" style="43" customWidth="1"/>
    <col min="1245" max="1245" width="10.125" style="43" customWidth="1"/>
    <col min="1246" max="1247" width="7" style="43" customWidth="1"/>
    <col min="1248" max="1248" width="11.75" style="43" customWidth="1"/>
    <col min="1249" max="1249" width="8.125" style="43" customWidth="1"/>
    <col min="1250" max="1250" width="11.75" style="43" customWidth="1"/>
    <col min="1251" max="1252" width="7" style="43" customWidth="1"/>
    <col min="1253" max="1253" width="5.25" style="43" customWidth="1"/>
    <col min="1254" max="1257" width="7" style="43" customWidth="1"/>
    <col min="1258" max="1258" width="12.875" style="43" customWidth="1"/>
    <col min="1259" max="1259" width="8.125" style="43" customWidth="1"/>
    <col min="1260" max="1260" width="12.875" style="43" customWidth="1"/>
    <col min="1261" max="1262" width="7" style="43" customWidth="1"/>
    <col min="1263" max="1263" width="12.875" style="43" customWidth="1"/>
    <col min="1264" max="1264" width="8.125" style="43" customWidth="1"/>
    <col min="1265" max="1265" width="12.875" style="43" customWidth="1"/>
    <col min="1266" max="1267" width="7" style="43" customWidth="1"/>
    <col min="1268" max="1268" width="12.875" style="43" bestFit="1" customWidth="1"/>
    <col min="1269" max="1270" width="7" style="43" bestFit="1" customWidth="1"/>
    <col min="1271" max="1271" width="9.5" style="43" bestFit="1" customWidth="1"/>
    <col min="1272" max="1272" width="12.875" style="43" bestFit="1" customWidth="1"/>
    <col min="1273" max="1273" width="11.75" style="43" customWidth="1"/>
    <col min="1274" max="1275" width="7" style="43" customWidth="1"/>
    <col min="1276" max="1276" width="7.25" style="43" customWidth="1"/>
    <col min="1277" max="1278" width="11.75" style="43" customWidth="1"/>
    <col min="1279" max="1280" width="7" style="43" customWidth="1"/>
    <col min="1281" max="1281" width="7.25" style="43" customWidth="1"/>
    <col min="1282" max="1283" width="11.75" style="43" customWidth="1"/>
    <col min="1284" max="1285" width="7" style="43" customWidth="1"/>
    <col min="1286" max="1286" width="8.125" style="43" customWidth="1"/>
    <col min="1287" max="1288" width="11.75" style="43" customWidth="1"/>
    <col min="1289" max="1290" width="7" style="43" customWidth="1"/>
    <col min="1291" max="1291" width="7.25" style="43" customWidth="1"/>
    <col min="1292" max="1292" width="11.75" style="43" customWidth="1"/>
    <col min="1293" max="1293" width="12.875" style="43" bestFit="1" customWidth="1"/>
    <col min="1294" max="1295" width="7" style="43" bestFit="1" customWidth="1"/>
    <col min="1296" max="1296" width="9.5" style="43" bestFit="1" customWidth="1"/>
    <col min="1297" max="1297" width="12.875" style="43" bestFit="1" customWidth="1"/>
    <col min="1298" max="1298" width="11.75" style="43" customWidth="1"/>
    <col min="1299" max="1300" width="7" style="43" customWidth="1"/>
    <col min="1301" max="1301" width="7.25" style="43" customWidth="1"/>
    <col min="1302" max="1303" width="11.75" style="43" customWidth="1"/>
    <col min="1304" max="1305" width="7" style="43" customWidth="1"/>
    <col min="1306" max="1306" width="7.25" style="43" customWidth="1"/>
    <col min="1307" max="1308" width="11.75" style="43" customWidth="1"/>
    <col min="1309" max="1310" width="7" style="43" customWidth="1"/>
    <col min="1311" max="1311" width="7.25" style="43" customWidth="1"/>
    <col min="1312" max="1313" width="11.75" style="43" customWidth="1"/>
    <col min="1314" max="1315" width="7" style="43" customWidth="1"/>
    <col min="1316" max="1316" width="7.25" style="43" customWidth="1"/>
    <col min="1317" max="1317" width="11.75" style="43" customWidth="1"/>
    <col min="1318" max="1318" width="11.75" style="43" bestFit="1" customWidth="1"/>
    <col min="1319" max="1320" width="7" style="43" bestFit="1" customWidth="1"/>
    <col min="1321" max="1321" width="7.25" style="43" bestFit="1" customWidth="1"/>
    <col min="1322" max="1323" width="11.75" style="43" bestFit="1" customWidth="1"/>
    <col min="1324" max="1325" width="7" style="43" bestFit="1" customWidth="1"/>
    <col min="1326" max="1326" width="7.25" style="43" bestFit="1" customWidth="1"/>
    <col min="1327" max="1327" width="11.75" style="43" bestFit="1" customWidth="1"/>
    <col min="1328" max="1481" width="9" style="43"/>
    <col min="1482" max="1484" width="3.125" style="43" customWidth="1"/>
    <col min="1485" max="1485" width="16.375" style="43" bestFit="1" customWidth="1"/>
    <col min="1486" max="1486" width="5" style="43" bestFit="1" customWidth="1"/>
    <col min="1487" max="1488" width="9" style="43" bestFit="1" customWidth="1"/>
    <col min="1489" max="1489" width="12.875" style="43" bestFit="1" customWidth="1"/>
    <col min="1490" max="1490" width="8.125" style="43" bestFit="1" customWidth="1"/>
    <col min="1491" max="1491" width="12.875" style="43" bestFit="1" customWidth="1"/>
    <col min="1492" max="1492" width="9.5" style="43" bestFit="1" customWidth="1"/>
    <col min="1493" max="1494" width="12.875" style="43" bestFit="1" customWidth="1"/>
    <col min="1495" max="1495" width="8.125" style="43" bestFit="1" customWidth="1"/>
    <col min="1496" max="1496" width="12.875" style="43" bestFit="1" customWidth="1"/>
    <col min="1497" max="1497" width="7" style="43" bestFit="1" customWidth="1"/>
    <col min="1498" max="1498" width="10.125" style="43" bestFit="1" customWidth="1"/>
    <col min="1499" max="1499" width="10.125" style="43" customWidth="1"/>
    <col min="1500" max="1500" width="7" style="43" customWidth="1"/>
    <col min="1501" max="1501" width="10.125" style="43" customWidth="1"/>
    <col min="1502" max="1503" width="7" style="43" customWidth="1"/>
    <col min="1504" max="1504" width="11.75" style="43" customWidth="1"/>
    <col min="1505" max="1505" width="8.125" style="43" customWidth="1"/>
    <col min="1506" max="1506" width="11.75" style="43" customWidth="1"/>
    <col min="1507" max="1508" width="7" style="43" customWidth="1"/>
    <col min="1509" max="1509" width="5.25" style="43" customWidth="1"/>
    <col min="1510" max="1513" width="7" style="43" customWidth="1"/>
    <col min="1514" max="1514" width="12.875" style="43" customWidth="1"/>
    <col min="1515" max="1515" width="8.125" style="43" customWidth="1"/>
    <col min="1516" max="1516" width="12.875" style="43" customWidth="1"/>
    <col min="1517" max="1518" width="7" style="43" customWidth="1"/>
    <col min="1519" max="1519" width="12.875" style="43" customWidth="1"/>
    <col min="1520" max="1520" width="8.125" style="43" customWidth="1"/>
    <col min="1521" max="1521" width="12.875" style="43" customWidth="1"/>
    <col min="1522" max="1523" width="7" style="43" customWidth="1"/>
    <col min="1524" max="1524" width="12.875" style="43" bestFit="1" customWidth="1"/>
    <col min="1525" max="1526" width="7" style="43" bestFit="1" customWidth="1"/>
    <col min="1527" max="1527" width="9.5" style="43" bestFit="1" customWidth="1"/>
    <col min="1528" max="1528" width="12.875" style="43" bestFit="1" customWidth="1"/>
    <col min="1529" max="1529" width="11.75" style="43" customWidth="1"/>
    <col min="1530" max="1531" width="7" style="43" customWidth="1"/>
    <col min="1532" max="1532" width="7.25" style="43" customWidth="1"/>
    <col min="1533" max="1534" width="11.75" style="43" customWidth="1"/>
    <col min="1535" max="1536" width="7" style="43" customWidth="1"/>
    <col min="1537" max="1537" width="7.25" style="43" customWidth="1"/>
    <col min="1538" max="1539" width="11.75" style="43" customWidth="1"/>
    <col min="1540" max="1541" width="7" style="43" customWidth="1"/>
    <col min="1542" max="1542" width="8.125" style="43" customWidth="1"/>
    <col min="1543" max="1544" width="11.75" style="43" customWidth="1"/>
    <col min="1545" max="1546" width="7" style="43" customWidth="1"/>
    <col min="1547" max="1547" width="7.25" style="43" customWidth="1"/>
    <col min="1548" max="1548" width="11.75" style="43" customWidth="1"/>
    <col min="1549" max="1549" width="12.875" style="43" bestFit="1" customWidth="1"/>
    <col min="1550" max="1551" width="7" style="43" bestFit="1" customWidth="1"/>
    <col min="1552" max="1552" width="9.5" style="43" bestFit="1" customWidth="1"/>
    <col min="1553" max="1553" width="12.875" style="43" bestFit="1" customWidth="1"/>
    <col min="1554" max="1554" width="11.75" style="43" customWidth="1"/>
    <col min="1555" max="1556" width="7" style="43" customWidth="1"/>
    <col min="1557" max="1557" width="7.25" style="43" customWidth="1"/>
    <col min="1558" max="1559" width="11.75" style="43" customWidth="1"/>
    <col min="1560" max="1561" width="7" style="43" customWidth="1"/>
    <col min="1562" max="1562" width="7.25" style="43" customWidth="1"/>
    <col min="1563" max="1564" width="11.75" style="43" customWidth="1"/>
    <col min="1565" max="1566" width="7" style="43" customWidth="1"/>
    <col min="1567" max="1567" width="7.25" style="43" customWidth="1"/>
    <col min="1568" max="1569" width="11.75" style="43" customWidth="1"/>
    <col min="1570" max="1571" width="7" style="43" customWidth="1"/>
    <col min="1572" max="1572" width="7.25" style="43" customWidth="1"/>
    <col min="1573" max="1573" width="11.75" style="43" customWidth="1"/>
    <col min="1574" max="1574" width="11.75" style="43" bestFit="1" customWidth="1"/>
    <col min="1575" max="1576" width="7" style="43" bestFit="1" customWidth="1"/>
    <col min="1577" max="1577" width="7.25" style="43" bestFit="1" customWidth="1"/>
    <col min="1578" max="1579" width="11.75" style="43" bestFit="1" customWidth="1"/>
    <col min="1580" max="1581" width="7" style="43" bestFit="1" customWidth="1"/>
    <col min="1582" max="1582" width="7.25" style="43" bestFit="1" customWidth="1"/>
    <col min="1583" max="1583" width="11.75" style="43" bestFit="1" customWidth="1"/>
    <col min="1584" max="1737" width="9" style="43"/>
    <col min="1738" max="1740" width="3.125" style="43" customWidth="1"/>
    <col min="1741" max="1741" width="16.375" style="43" bestFit="1" customWidth="1"/>
    <col min="1742" max="1742" width="5" style="43" bestFit="1" customWidth="1"/>
    <col min="1743" max="1744" width="9" style="43" bestFit="1" customWidth="1"/>
    <col min="1745" max="1745" width="12.875" style="43" bestFit="1" customWidth="1"/>
    <col min="1746" max="1746" width="8.125" style="43" bestFit="1" customWidth="1"/>
    <col min="1747" max="1747" width="12.875" style="43" bestFit="1" customWidth="1"/>
    <col min="1748" max="1748" width="9.5" style="43" bestFit="1" customWidth="1"/>
    <col min="1749" max="1750" width="12.875" style="43" bestFit="1" customWidth="1"/>
    <col min="1751" max="1751" width="8.125" style="43" bestFit="1" customWidth="1"/>
    <col min="1752" max="1752" width="12.875" style="43" bestFit="1" customWidth="1"/>
    <col min="1753" max="1753" width="7" style="43" bestFit="1" customWidth="1"/>
    <col min="1754" max="1754" width="10.125" style="43" bestFit="1" customWidth="1"/>
    <col min="1755" max="1755" width="10.125" style="43" customWidth="1"/>
    <col min="1756" max="1756" width="7" style="43" customWidth="1"/>
    <col min="1757" max="1757" width="10.125" style="43" customWidth="1"/>
    <col min="1758" max="1759" width="7" style="43" customWidth="1"/>
    <col min="1760" max="1760" width="11.75" style="43" customWidth="1"/>
    <col min="1761" max="1761" width="8.125" style="43" customWidth="1"/>
    <col min="1762" max="1762" width="11.75" style="43" customWidth="1"/>
    <col min="1763" max="1764" width="7" style="43" customWidth="1"/>
    <col min="1765" max="1765" width="5.25" style="43" customWidth="1"/>
    <col min="1766" max="1769" width="7" style="43" customWidth="1"/>
    <col min="1770" max="1770" width="12.875" style="43" customWidth="1"/>
    <col min="1771" max="1771" width="8.125" style="43" customWidth="1"/>
    <col min="1772" max="1772" width="12.875" style="43" customWidth="1"/>
    <col min="1773" max="1774" width="7" style="43" customWidth="1"/>
    <col min="1775" max="1775" width="12.875" style="43" customWidth="1"/>
    <col min="1776" max="1776" width="8.125" style="43" customWidth="1"/>
    <col min="1777" max="1777" width="12.875" style="43" customWidth="1"/>
    <col min="1778" max="1779" width="7" style="43" customWidth="1"/>
    <col min="1780" max="1780" width="12.875" style="43" bestFit="1" customWidth="1"/>
    <col min="1781" max="1782" width="7" style="43" bestFit="1" customWidth="1"/>
    <col min="1783" max="1783" width="9.5" style="43" bestFit="1" customWidth="1"/>
    <col min="1784" max="1784" width="12.875" style="43" bestFit="1" customWidth="1"/>
    <col min="1785" max="1785" width="11.75" style="43" customWidth="1"/>
    <col min="1786" max="1787" width="7" style="43" customWidth="1"/>
    <col min="1788" max="1788" width="7.25" style="43" customWidth="1"/>
    <col min="1789" max="1790" width="11.75" style="43" customWidth="1"/>
    <col min="1791" max="1792" width="7" style="43" customWidth="1"/>
    <col min="1793" max="1793" width="7.25" style="43" customWidth="1"/>
    <col min="1794" max="1795" width="11.75" style="43" customWidth="1"/>
    <col min="1796" max="1797" width="7" style="43" customWidth="1"/>
    <col min="1798" max="1798" width="8.125" style="43" customWidth="1"/>
    <col min="1799" max="1800" width="11.75" style="43" customWidth="1"/>
    <col min="1801" max="1802" width="7" style="43" customWidth="1"/>
    <col min="1803" max="1803" width="7.25" style="43" customWidth="1"/>
    <col min="1804" max="1804" width="11.75" style="43" customWidth="1"/>
    <col min="1805" max="1805" width="12.875" style="43" bestFit="1" customWidth="1"/>
    <col min="1806" max="1807" width="7" style="43" bestFit="1" customWidth="1"/>
    <col min="1808" max="1808" width="9.5" style="43" bestFit="1" customWidth="1"/>
    <col min="1809" max="1809" width="12.875" style="43" bestFit="1" customWidth="1"/>
    <col min="1810" max="1810" width="11.75" style="43" customWidth="1"/>
    <col min="1811" max="1812" width="7" style="43" customWidth="1"/>
    <col min="1813" max="1813" width="7.25" style="43" customWidth="1"/>
    <col min="1814" max="1815" width="11.75" style="43" customWidth="1"/>
    <col min="1816" max="1817" width="7" style="43" customWidth="1"/>
    <col min="1818" max="1818" width="7.25" style="43" customWidth="1"/>
    <col min="1819" max="1820" width="11.75" style="43" customWidth="1"/>
    <col min="1821" max="1822" width="7" style="43" customWidth="1"/>
    <col min="1823" max="1823" width="7.25" style="43" customWidth="1"/>
    <col min="1824" max="1825" width="11.75" style="43" customWidth="1"/>
    <col min="1826" max="1827" width="7" style="43" customWidth="1"/>
    <col min="1828" max="1828" width="7.25" style="43" customWidth="1"/>
    <col min="1829" max="1829" width="11.75" style="43" customWidth="1"/>
    <col min="1830" max="1830" width="11.75" style="43" bestFit="1" customWidth="1"/>
    <col min="1831" max="1832" width="7" style="43" bestFit="1" customWidth="1"/>
    <col min="1833" max="1833" width="7.25" style="43" bestFit="1" customWidth="1"/>
    <col min="1834" max="1835" width="11.75" style="43" bestFit="1" customWidth="1"/>
    <col min="1836" max="1837" width="7" style="43" bestFit="1" customWidth="1"/>
    <col min="1838" max="1838" width="7.25" style="43" bestFit="1" customWidth="1"/>
    <col min="1839" max="1839" width="11.75" style="43" bestFit="1" customWidth="1"/>
    <col min="1840" max="1993" width="9" style="43"/>
    <col min="1994" max="1996" width="3.125" style="43" customWidth="1"/>
    <col min="1997" max="1997" width="16.375" style="43" bestFit="1" customWidth="1"/>
    <col min="1998" max="1998" width="5" style="43" bestFit="1" customWidth="1"/>
    <col min="1999" max="2000" width="9" style="43" bestFit="1" customWidth="1"/>
    <col min="2001" max="2001" width="12.875" style="43" bestFit="1" customWidth="1"/>
    <col min="2002" max="2002" width="8.125" style="43" bestFit="1" customWidth="1"/>
    <col min="2003" max="2003" width="12.875" style="43" bestFit="1" customWidth="1"/>
    <col min="2004" max="2004" width="9.5" style="43" bestFit="1" customWidth="1"/>
    <col min="2005" max="2006" width="12.875" style="43" bestFit="1" customWidth="1"/>
    <col min="2007" max="2007" width="8.125" style="43" bestFit="1" customWidth="1"/>
    <col min="2008" max="2008" width="12.875" style="43" bestFit="1" customWidth="1"/>
    <col min="2009" max="2009" width="7" style="43" bestFit="1" customWidth="1"/>
    <col min="2010" max="2010" width="10.125" style="43" bestFit="1" customWidth="1"/>
    <col min="2011" max="2011" width="10.125" style="43" customWidth="1"/>
    <col min="2012" max="2012" width="7" style="43" customWidth="1"/>
    <col min="2013" max="2013" width="10.125" style="43" customWidth="1"/>
    <col min="2014" max="2015" width="7" style="43" customWidth="1"/>
    <col min="2016" max="2016" width="11.75" style="43" customWidth="1"/>
    <col min="2017" max="2017" width="8.125" style="43" customWidth="1"/>
    <col min="2018" max="2018" width="11.75" style="43" customWidth="1"/>
    <col min="2019" max="2020" width="7" style="43" customWidth="1"/>
    <col min="2021" max="2021" width="5.25" style="43" customWidth="1"/>
    <col min="2022" max="2025" width="7" style="43" customWidth="1"/>
    <col min="2026" max="2026" width="12.875" style="43" customWidth="1"/>
    <col min="2027" max="2027" width="8.125" style="43" customWidth="1"/>
    <col min="2028" max="2028" width="12.875" style="43" customWidth="1"/>
    <col min="2029" max="2030" width="7" style="43" customWidth="1"/>
    <col min="2031" max="2031" width="12.875" style="43" customWidth="1"/>
    <col min="2032" max="2032" width="8.125" style="43" customWidth="1"/>
    <col min="2033" max="2033" width="12.875" style="43" customWidth="1"/>
    <col min="2034" max="2035" width="7" style="43" customWidth="1"/>
    <col min="2036" max="2036" width="12.875" style="43" bestFit="1" customWidth="1"/>
    <col min="2037" max="2038" width="7" style="43" bestFit="1" customWidth="1"/>
    <col min="2039" max="2039" width="9.5" style="43" bestFit="1" customWidth="1"/>
    <col min="2040" max="2040" width="12.875" style="43" bestFit="1" customWidth="1"/>
    <col min="2041" max="2041" width="11.75" style="43" customWidth="1"/>
    <col min="2042" max="2043" width="7" style="43" customWidth="1"/>
    <col min="2044" max="2044" width="7.25" style="43" customWidth="1"/>
    <col min="2045" max="2046" width="11.75" style="43" customWidth="1"/>
    <col min="2047" max="2048" width="7" style="43" customWidth="1"/>
    <col min="2049" max="2049" width="7.25" style="43" customWidth="1"/>
    <col min="2050" max="2051" width="11.75" style="43" customWidth="1"/>
    <col min="2052" max="2053" width="7" style="43" customWidth="1"/>
    <col min="2054" max="2054" width="8.125" style="43" customWidth="1"/>
    <col min="2055" max="2056" width="11.75" style="43" customWidth="1"/>
    <col min="2057" max="2058" width="7" style="43" customWidth="1"/>
    <col min="2059" max="2059" width="7.25" style="43" customWidth="1"/>
    <col min="2060" max="2060" width="11.75" style="43" customWidth="1"/>
    <col min="2061" max="2061" width="12.875" style="43" bestFit="1" customWidth="1"/>
    <col min="2062" max="2063" width="7" style="43" bestFit="1" customWidth="1"/>
    <col min="2064" max="2064" width="9.5" style="43" bestFit="1" customWidth="1"/>
    <col min="2065" max="2065" width="12.875" style="43" bestFit="1" customWidth="1"/>
    <col min="2066" max="2066" width="11.75" style="43" customWidth="1"/>
    <col min="2067" max="2068" width="7" style="43" customWidth="1"/>
    <col min="2069" max="2069" width="7.25" style="43" customWidth="1"/>
    <col min="2070" max="2071" width="11.75" style="43" customWidth="1"/>
    <col min="2072" max="2073" width="7" style="43" customWidth="1"/>
    <col min="2074" max="2074" width="7.25" style="43" customWidth="1"/>
    <col min="2075" max="2076" width="11.75" style="43" customWidth="1"/>
    <col min="2077" max="2078" width="7" style="43" customWidth="1"/>
    <col min="2079" max="2079" width="7.25" style="43" customWidth="1"/>
    <col min="2080" max="2081" width="11.75" style="43" customWidth="1"/>
    <col min="2082" max="2083" width="7" style="43" customWidth="1"/>
    <col min="2084" max="2084" width="7.25" style="43" customWidth="1"/>
    <col min="2085" max="2085" width="11.75" style="43" customWidth="1"/>
    <col min="2086" max="2086" width="11.75" style="43" bestFit="1" customWidth="1"/>
    <col min="2087" max="2088" width="7" style="43" bestFit="1" customWidth="1"/>
    <col min="2089" max="2089" width="7.25" style="43" bestFit="1" customWidth="1"/>
    <col min="2090" max="2091" width="11.75" style="43" bestFit="1" customWidth="1"/>
    <col min="2092" max="2093" width="7" style="43" bestFit="1" customWidth="1"/>
    <col min="2094" max="2094" width="7.25" style="43" bestFit="1" customWidth="1"/>
    <col min="2095" max="2095" width="11.75" style="43" bestFit="1" customWidth="1"/>
    <col min="2096" max="2249" width="9" style="43"/>
    <col min="2250" max="2252" width="3.125" style="43" customWidth="1"/>
    <col min="2253" max="2253" width="16.375" style="43" bestFit="1" customWidth="1"/>
    <col min="2254" max="2254" width="5" style="43" bestFit="1" customWidth="1"/>
    <col min="2255" max="2256" width="9" style="43" bestFit="1" customWidth="1"/>
    <col min="2257" max="2257" width="12.875" style="43" bestFit="1" customWidth="1"/>
    <col min="2258" max="2258" width="8.125" style="43" bestFit="1" customWidth="1"/>
    <col min="2259" max="2259" width="12.875" style="43" bestFit="1" customWidth="1"/>
    <col min="2260" max="2260" width="9.5" style="43" bestFit="1" customWidth="1"/>
    <col min="2261" max="2262" width="12.875" style="43" bestFit="1" customWidth="1"/>
    <col min="2263" max="2263" width="8.125" style="43" bestFit="1" customWidth="1"/>
    <col min="2264" max="2264" width="12.875" style="43" bestFit="1" customWidth="1"/>
    <col min="2265" max="2265" width="7" style="43" bestFit="1" customWidth="1"/>
    <col min="2266" max="2266" width="10.125" style="43" bestFit="1" customWidth="1"/>
    <col min="2267" max="2267" width="10.125" style="43" customWidth="1"/>
    <col min="2268" max="2268" width="7" style="43" customWidth="1"/>
    <col min="2269" max="2269" width="10.125" style="43" customWidth="1"/>
    <col min="2270" max="2271" width="7" style="43" customWidth="1"/>
    <col min="2272" max="2272" width="11.75" style="43" customWidth="1"/>
    <col min="2273" max="2273" width="8.125" style="43" customWidth="1"/>
    <col min="2274" max="2274" width="11.75" style="43" customWidth="1"/>
    <col min="2275" max="2276" width="7" style="43" customWidth="1"/>
    <col min="2277" max="2277" width="5.25" style="43" customWidth="1"/>
    <col min="2278" max="2281" width="7" style="43" customWidth="1"/>
    <col min="2282" max="2282" width="12.875" style="43" customWidth="1"/>
    <col min="2283" max="2283" width="8.125" style="43" customWidth="1"/>
    <col min="2284" max="2284" width="12.875" style="43" customWidth="1"/>
    <col min="2285" max="2286" width="7" style="43" customWidth="1"/>
    <col min="2287" max="2287" width="12.875" style="43" customWidth="1"/>
    <col min="2288" max="2288" width="8.125" style="43" customWidth="1"/>
    <col min="2289" max="2289" width="12.875" style="43" customWidth="1"/>
    <col min="2290" max="2291" width="7" style="43" customWidth="1"/>
    <col min="2292" max="2292" width="12.875" style="43" bestFit="1" customWidth="1"/>
    <col min="2293" max="2294" width="7" style="43" bestFit="1" customWidth="1"/>
    <col min="2295" max="2295" width="9.5" style="43" bestFit="1" customWidth="1"/>
    <col min="2296" max="2296" width="12.875" style="43" bestFit="1" customWidth="1"/>
    <col min="2297" max="2297" width="11.75" style="43" customWidth="1"/>
    <col min="2298" max="2299" width="7" style="43" customWidth="1"/>
    <col min="2300" max="2300" width="7.25" style="43" customWidth="1"/>
    <col min="2301" max="2302" width="11.75" style="43" customWidth="1"/>
    <col min="2303" max="2304" width="7" style="43" customWidth="1"/>
    <col min="2305" max="2305" width="7.25" style="43" customWidth="1"/>
    <col min="2306" max="2307" width="11.75" style="43" customWidth="1"/>
    <col min="2308" max="2309" width="7" style="43" customWidth="1"/>
    <col min="2310" max="2310" width="8.125" style="43" customWidth="1"/>
    <col min="2311" max="2312" width="11.75" style="43" customWidth="1"/>
    <col min="2313" max="2314" width="7" style="43" customWidth="1"/>
    <col min="2315" max="2315" width="7.25" style="43" customWidth="1"/>
    <col min="2316" max="2316" width="11.75" style="43" customWidth="1"/>
    <col min="2317" max="2317" width="12.875" style="43" bestFit="1" customWidth="1"/>
    <col min="2318" max="2319" width="7" style="43" bestFit="1" customWidth="1"/>
    <col min="2320" max="2320" width="9.5" style="43" bestFit="1" customWidth="1"/>
    <col min="2321" max="2321" width="12.875" style="43" bestFit="1" customWidth="1"/>
    <col min="2322" max="2322" width="11.75" style="43" customWidth="1"/>
    <col min="2323" max="2324" width="7" style="43" customWidth="1"/>
    <col min="2325" max="2325" width="7.25" style="43" customWidth="1"/>
    <col min="2326" max="2327" width="11.75" style="43" customWidth="1"/>
    <col min="2328" max="2329" width="7" style="43" customWidth="1"/>
    <col min="2330" max="2330" width="7.25" style="43" customWidth="1"/>
    <col min="2331" max="2332" width="11.75" style="43" customWidth="1"/>
    <col min="2333" max="2334" width="7" style="43" customWidth="1"/>
    <col min="2335" max="2335" width="7.25" style="43" customWidth="1"/>
    <col min="2336" max="2337" width="11.75" style="43" customWidth="1"/>
    <col min="2338" max="2339" width="7" style="43" customWidth="1"/>
    <col min="2340" max="2340" width="7.25" style="43" customWidth="1"/>
    <col min="2341" max="2341" width="11.75" style="43" customWidth="1"/>
    <col min="2342" max="2342" width="11.75" style="43" bestFit="1" customWidth="1"/>
    <col min="2343" max="2344" width="7" style="43" bestFit="1" customWidth="1"/>
    <col min="2345" max="2345" width="7.25" style="43" bestFit="1" customWidth="1"/>
    <col min="2346" max="2347" width="11.75" style="43" bestFit="1" customWidth="1"/>
    <col min="2348" max="2349" width="7" style="43" bestFit="1" customWidth="1"/>
    <col min="2350" max="2350" width="7.25" style="43" bestFit="1" customWidth="1"/>
    <col min="2351" max="2351" width="11.75" style="43" bestFit="1" customWidth="1"/>
    <col min="2352" max="2505" width="9" style="43"/>
    <col min="2506" max="2508" width="3.125" style="43" customWidth="1"/>
    <col min="2509" max="2509" width="16.375" style="43" bestFit="1" customWidth="1"/>
    <col min="2510" max="2510" width="5" style="43" bestFit="1" customWidth="1"/>
    <col min="2511" max="2512" width="9" style="43" bestFit="1" customWidth="1"/>
    <col min="2513" max="2513" width="12.875" style="43" bestFit="1" customWidth="1"/>
    <col min="2514" max="2514" width="8.125" style="43" bestFit="1" customWidth="1"/>
    <col min="2515" max="2515" width="12.875" style="43" bestFit="1" customWidth="1"/>
    <col min="2516" max="2516" width="9.5" style="43" bestFit="1" customWidth="1"/>
    <col min="2517" max="2518" width="12.875" style="43" bestFit="1" customWidth="1"/>
    <col min="2519" max="2519" width="8.125" style="43" bestFit="1" customWidth="1"/>
    <col min="2520" max="2520" width="12.875" style="43" bestFit="1" customWidth="1"/>
    <col min="2521" max="2521" width="7" style="43" bestFit="1" customWidth="1"/>
    <col min="2522" max="2522" width="10.125" style="43" bestFit="1" customWidth="1"/>
    <col min="2523" max="2523" width="10.125" style="43" customWidth="1"/>
    <col min="2524" max="2524" width="7" style="43" customWidth="1"/>
    <col min="2525" max="2525" width="10.125" style="43" customWidth="1"/>
    <col min="2526" max="2527" width="7" style="43" customWidth="1"/>
    <col min="2528" max="2528" width="11.75" style="43" customWidth="1"/>
    <col min="2529" max="2529" width="8.125" style="43" customWidth="1"/>
    <col min="2530" max="2530" width="11.75" style="43" customWidth="1"/>
    <col min="2531" max="2532" width="7" style="43" customWidth="1"/>
    <col min="2533" max="2533" width="5.25" style="43" customWidth="1"/>
    <col min="2534" max="2537" width="7" style="43" customWidth="1"/>
    <col min="2538" max="2538" width="12.875" style="43" customWidth="1"/>
    <col min="2539" max="2539" width="8.125" style="43" customWidth="1"/>
    <col min="2540" max="2540" width="12.875" style="43" customWidth="1"/>
    <col min="2541" max="2542" width="7" style="43" customWidth="1"/>
    <col min="2543" max="2543" width="12.875" style="43" customWidth="1"/>
    <col min="2544" max="2544" width="8.125" style="43" customWidth="1"/>
    <col min="2545" max="2545" width="12.875" style="43" customWidth="1"/>
    <col min="2546" max="2547" width="7" style="43" customWidth="1"/>
    <col min="2548" max="2548" width="12.875" style="43" bestFit="1" customWidth="1"/>
    <col min="2549" max="2550" width="7" style="43" bestFit="1" customWidth="1"/>
    <col min="2551" max="2551" width="9.5" style="43" bestFit="1" customWidth="1"/>
    <col min="2552" max="2552" width="12.875" style="43" bestFit="1" customWidth="1"/>
    <col min="2553" max="2553" width="11.75" style="43" customWidth="1"/>
    <col min="2554" max="2555" width="7" style="43" customWidth="1"/>
    <col min="2556" max="2556" width="7.25" style="43" customWidth="1"/>
    <col min="2557" max="2558" width="11.75" style="43" customWidth="1"/>
    <col min="2559" max="2560" width="7" style="43" customWidth="1"/>
    <col min="2561" max="2561" width="7.25" style="43" customWidth="1"/>
    <col min="2562" max="2563" width="11.75" style="43" customWidth="1"/>
    <col min="2564" max="2565" width="7" style="43" customWidth="1"/>
    <col min="2566" max="2566" width="8.125" style="43" customWidth="1"/>
    <col min="2567" max="2568" width="11.75" style="43" customWidth="1"/>
    <col min="2569" max="2570" width="7" style="43" customWidth="1"/>
    <col min="2571" max="2571" width="7.25" style="43" customWidth="1"/>
    <col min="2572" max="2572" width="11.75" style="43" customWidth="1"/>
    <col min="2573" max="2573" width="12.875" style="43" bestFit="1" customWidth="1"/>
    <col min="2574" max="2575" width="7" style="43" bestFit="1" customWidth="1"/>
    <col min="2576" max="2576" width="9.5" style="43" bestFit="1" customWidth="1"/>
    <col min="2577" max="2577" width="12.875" style="43" bestFit="1" customWidth="1"/>
    <col min="2578" max="2578" width="11.75" style="43" customWidth="1"/>
    <col min="2579" max="2580" width="7" style="43" customWidth="1"/>
    <col min="2581" max="2581" width="7.25" style="43" customWidth="1"/>
    <col min="2582" max="2583" width="11.75" style="43" customWidth="1"/>
    <col min="2584" max="2585" width="7" style="43" customWidth="1"/>
    <col min="2586" max="2586" width="7.25" style="43" customWidth="1"/>
    <col min="2587" max="2588" width="11.75" style="43" customWidth="1"/>
    <col min="2589" max="2590" width="7" style="43" customWidth="1"/>
    <col min="2591" max="2591" width="7.25" style="43" customWidth="1"/>
    <col min="2592" max="2593" width="11.75" style="43" customWidth="1"/>
    <col min="2594" max="2595" width="7" style="43" customWidth="1"/>
    <col min="2596" max="2596" width="7.25" style="43" customWidth="1"/>
    <col min="2597" max="2597" width="11.75" style="43" customWidth="1"/>
    <col min="2598" max="2598" width="11.75" style="43" bestFit="1" customWidth="1"/>
    <col min="2599" max="2600" width="7" style="43" bestFit="1" customWidth="1"/>
    <col min="2601" max="2601" width="7.25" style="43" bestFit="1" customWidth="1"/>
    <col min="2602" max="2603" width="11.75" style="43" bestFit="1" customWidth="1"/>
    <col min="2604" max="2605" width="7" style="43" bestFit="1" customWidth="1"/>
    <col min="2606" max="2606" width="7.25" style="43" bestFit="1" customWidth="1"/>
    <col min="2607" max="2607" width="11.75" style="43" bestFit="1" customWidth="1"/>
    <col min="2608" max="2761" width="9" style="43"/>
    <col min="2762" max="2764" width="3.125" style="43" customWidth="1"/>
    <col min="2765" max="2765" width="16.375" style="43" bestFit="1" customWidth="1"/>
    <col min="2766" max="2766" width="5" style="43" bestFit="1" customWidth="1"/>
    <col min="2767" max="2768" width="9" style="43" bestFit="1" customWidth="1"/>
    <col min="2769" max="2769" width="12.875" style="43" bestFit="1" customWidth="1"/>
    <col min="2770" max="2770" width="8.125" style="43" bestFit="1" customWidth="1"/>
    <col min="2771" max="2771" width="12.875" style="43" bestFit="1" customWidth="1"/>
    <col min="2772" max="2772" width="9.5" style="43" bestFit="1" customWidth="1"/>
    <col min="2773" max="2774" width="12.875" style="43" bestFit="1" customWidth="1"/>
    <col min="2775" max="2775" width="8.125" style="43" bestFit="1" customWidth="1"/>
    <col min="2776" max="2776" width="12.875" style="43" bestFit="1" customWidth="1"/>
    <col min="2777" max="2777" width="7" style="43" bestFit="1" customWidth="1"/>
    <col min="2778" max="2778" width="10.125" style="43" bestFit="1" customWidth="1"/>
    <col min="2779" max="2779" width="10.125" style="43" customWidth="1"/>
    <col min="2780" max="2780" width="7" style="43" customWidth="1"/>
    <col min="2781" max="2781" width="10.125" style="43" customWidth="1"/>
    <col min="2782" max="2783" width="7" style="43" customWidth="1"/>
    <col min="2784" max="2784" width="11.75" style="43" customWidth="1"/>
    <col min="2785" max="2785" width="8.125" style="43" customWidth="1"/>
    <col min="2786" max="2786" width="11.75" style="43" customWidth="1"/>
    <col min="2787" max="2788" width="7" style="43" customWidth="1"/>
    <col min="2789" max="2789" width="5.25" style="43" customWidth="1"/>
    <col min="2790" max="2793" width="7" style="43" customWidth="1"/>
    <col min="2794" max="2794" width="12.875" style="43" customWidth="1"/>
    <col min="2795" max="2795" width="8.125" style="43" customWidth="1"/>
    <col min="2796" max="2796" width="12.875" style="43" customWidth="1"/>
    <col min="2797" max="2798" width="7" style="43" customWidth="1"/>
    <col min="2799" max="2799" width="12.875" style="43" customWidth="1"/>
    <col min="2800" max="2800" width="8.125" style="43" customWidth="1"/>
    <col min="2801" max="2801" width="12.875" style="43" customWidth="1"/>
    <col min="2802" max="2803" width="7" style="43" customWidth="1"/>
    <col min="2804" max="2804" width="12.875" style="43" bestFit="1" customWidth="1"/>
    <col min="2805" max="2806" width="7" style="43" bestFit="1" customWidth="1"/>
    <col min="2807" max="2807" width="9.5" style="43" bestFit="1" customWidth="1"/>
    <col min="2808" max="2808" width="12.875" style="43" bestFit="1" customWidth="1"/>
    <col min="2809" max="2809" width="11.75" style="43" customWidth="1"/>
    <col min="2810" max="2811" width="7" style="43" customWidth="1"/>
    <col min="2812" max="2812" width="7.25" style="43" customWidth="1"/>
    <col min="2813" max="2814" width="11.75" style="43" customWidth="1"/>
    <col min="2815" max="2816" width="7" style="43" customWidth="1"/>
    <col min="2817" max="2817" width="7.25" style="43" customWidth="1"/>
    <col min="2818" max="2819" width="11.75" style="43" customWidth="1"/>
    <col min="2820" max="2821" width="7" style="43" customWidth="1"/>
    <col min="2822" max="2822" width="8.125" style="43" customWidth="1"/>
    <col min="2823" max="2824" width="11.75" style="43" customWidth="1"/>
    <col min="2825" max="2826" width="7" style="43" customWidth="1"/>
    <col min="2827" max="2827" width="7.25" style="43" customWidth="1"/>
    <col min="2828" max="2828" width="11.75" style="43" customWidth="1"/>
    <col min="2829" max="2829" width="12.875" style="43" bestFit="1" customWidth="1"/>
    <col min="2830" max="2831" width="7" style="43" bestFit="1" customWidth="1"/>
    <col min="2832" max="2832" width="9.5" style="43" bestFit="1" customWidth="1"/>
    <col min="2833" max="2833" width="12.875" style="43" bestFit="1" customWidth="1"/>
    <col min="2834" max="2834" width="11.75" style="43" customWidth="1"/>
    <col min="2835" max="2836" width="7" style="43" customWidth="1"/>
    <col min="2837" max="2837" width="7.25" style="43" customWidth="1"/>
    <col min="2838" max="2839" width="11.75" style="43" customWidth="1"/>
    <col min="2840" max="2841" width="7" style="43" customWidth="1"/>
    <col min="2842" max="2842" width="7.25" style="43" customWidth="1"/>
    <col min="2843" max="2844" width="11.75" style="43" customWidth="1"/>
    <col min="2845" max="2846" width="7" style="43" customWidth="1"/>
    <col min="2847" max="2847" width="7.25" style="43" customWidth="1"/>
    <col min="2848" max="2849" width="11.75" style="43" customWidth="1"/>
    <col min="2850" max="2851" width="7" style="43" customWidth="1"/>
    <col min="2852" max="2852" width="7.25" style="43" customWidth="1"/>
    <col min="2853" max="2853" width="11.75" style="43" customWidth="1"/>
    <col min="2854" max="2854" width="11.75" style="43" bestFit="1" customWidth="1"/>
    <col min="2855" max="2856" width="7" style="43" bestFit="1" customWidth="1"/>
    <col min="2857" max="2857" width="7.25" style="43" bestFit="1" customWidth="1"/>
    <col min="2858" max="2859" width="11.75" style="43" bestFit="1" customWidth="1"/>
    <col min="2860" max="2861" width="7" style="43" bestFit="1" customWidth="1"/>
    <col min="2862" max="2862" width="7.25" style="43" bestFit="1" customWidth="1"/>
    <col min="2863" max="2863" width="11.75" style="43" bestFit="1" customWidth="1"/>
    <col min="2864" max="3017" width="9" style="43"/>
    <col min="3018" max="3020" width="3.125" style="43" customWidth="1"/>
    <col min="3021" max="3021" width="16.375" style="43" bestFit="1" customWidth="1"/>
    <col min="3022" max="3022" width="5" style="43" bestFit="1" customWidth="1"/>
    <col min="3023" max="3024" width="9" style="43" bestFit="1" customWidth="1"/>
    <col min="3025" max="3025" width="12.875" style="43" bestFit="1" customWidth="1"/>
    <col min="3026" max="3026" width="8.125" style="43" bestFit="1" customWidth="1"/>
    <col min="3027" max="3027" width="12.875" style="43" bestFit="1" customWidth="1"/>
    <col min="3028" max="3028" width="9.5" style="43" bestFit="1" customWidth="1"/>
    <col min="3029" max="3030" width="12.875" style="43" bestFit="1" customWidth="1"/>
    <col min="3031" max="3031" width="8.125" style="43" bestFit="1" customWidth="1"/>
    <col min="3032" max="3032" width="12.875" style="43" bestFit="1" customWidth="1"/>
    <col min="3033" max="3033" width="7" style="43" bestFit="1" customWidth="1"/>
    <col min="3034" max="3034" width="10.125" style="43" bestFit="1" customWidth="1"/>
    <col min="3035" max="3035" width="10.125" style="43" customWidth="1"/>
    <col min="3036" max="3036" width="7" style="43" customWidth="1"/>
    <col min="3037" max="3037" width="10.125" style="43" customWidth="1"/>
    <col min="3038" max="3039" width="7" style="43" customWidth="1"/>
    <col min="3040" max="3040" width="11.75" style="43" customWidth="1"/>
    <col min="3041" max="3041" width="8.125" style="43" customWidth="1"/>
    <col min="3042" max="3042" width="11.75" style="43" customWidth="1"/>
    <col min="3043" max="3044" width="7" style="43" customWidth="1"/>
    <col min="3045" max="3045" width="5.25" style="43" customWidth="1"/>
    <col min="3046" max="3049" width="7" style="43" customWidth="1"/>
    <col min="3050" max="3050" width="12.875" style="43" customWidth="1"/>
    <col min="3051" max="3051" width="8.125" style="43" customWidth="1"/>
    <col min="3052" max="3052" width="12.875" style="43" customWidth="1"/>
    <col min="3053" max="3054" width="7" style="43" customWidth="1"/>
    <col min="3055" max="3055" width="12.875" style="43" customWidth="1"/>
    <col min="3056" max="3056" width="8.125" style="43" customWidth="1"/>
    <col min="3057" max="3057" width="12.875" style="43" customWidth="1"/>
    <col min="3058" max="3059" width="7" style="43" customWidth="1"/>
    <col min="3060" max="3060" width="12.875" style="43" bestFit="1" customWidth="1"/>
    <col min="3061" max="3062" width="7" style="43" bestFit="1" customWidth="1"/>
    <col min="3063" max="3063" width="9.5" style="43" bestFit="1" customWidth="1"/>
    <col min="3064" max="3064" width="12.875" style="43" bestFit="1" customWidth="1"/>
    <col min="3065" max="3065" width="11.75" style="43" customWidth="1"/>
    <col min="3066" max="3067" width="7" style="43" customWidth="1"/>
    <col min="3068" max="3068" width="7.25" style="43" customWidth="1"/>
    <col min="3069" max="3070" width="11.75" style="43" customWidth="1"/>
    <col min="3071" max="3072" width="7" style="43" customWidth="1"/>
    <col min="3073" max="3073" width="7.25" style="43" customWidth="1"/>
    <col min="3074" max="3075" width="11.75" style="43" customWidth="1"/>
    <col min="3076" max="3077" width="7" style="43" customWidth="1"/>
    <col min="3078" max="3078" width="8.125" style="43" customWidth="1"/>
    <col min="3079" max="3080" width="11.75" style="43" customWidth="1"/>
    <col min="3081" max="3082" width="7" style="43" customWidth="1"/>
    <col min="3083" max="3083" width="7.25" style="43" customWidth="1"/>
    <col min="3084" max="3084" width="11.75" style="43" customWidth="1"/>
    <col min="3085" max="3085" width="12.875" style="43" bestFit="1" customWidth="1"/>
    <col min="3086" max="3087" width="7" style="43" bestFit="1" customWidth="1"/>
    <col min="3088" max="3088" width="9.5" style="43" bestFit="1" customWidth="1"/>
    <col min="3089" max="3089" width="12.875" style="43" bestFit="1" customWidth="1"/>
    <col min="3090" max="3090" width="11.75" style="43" customWidth="1"/>
    <col min="3091" max="3092" width="7" style="43" customWidth="1"/>
    <col min="3093" max="3093" width="7.25" style="43" customWidth="1"/>
    <col min="3094" max="3095" width="11.75" style="43" customWidth="1"/>
    <col min="3096" max="3097" width="7" style="43" customWidth="1"/>
    <col min="3098" max="3098" width="7.25" style="43" customWidth="1"/>
    <col min="3099" max="3100" width="11.75" style="43" customWidth="1"/>
    <col min="3101" max="3102" width="7" style="43" customWidth="1"/>
    <col min="3103" max="3103" width="7.25" style="43" customWidth="1"/>
    <col min="3104" max="3105" width="11.75" style="43" customWidth="1"/>
    <col min="3106" max="3107" width="7" style="43" customWidth="1"/>
    <col min="3108" max="3108" width="7.25" style="43" customWidth="1"/>
    <col min="3109" max="3109" width="11.75" style="43" customWidth="1"/>
    <col min="3110" max="3110" width="11.75" style="43" bestFit="1" customWidth="1"/>
    <col min="3111" max="3112" width="7" style="43" bestFit="1" customWidth="1"/>
    <col min="3113" max="3113" width="7.25" style="43" bestFit="1" customWidth="1"/>
    <col min="3114" max="3115" width="11.75" style="43" bestFit="1" customWidth="1"/>
    <col min="3116" max="3117" width="7" style="43" bestFit="1" customWidth="1"/>
    <col min="3118" max="3118" width="7.25" style="43" bestFit="1" customWidth="1"/>
    <col min="3119" max="3119" width="11.75" style="43" bestFit="1" customWidth="1"/>
    <col min="3120" max="3273" width="9" style="43"/>
    <col min="3274" max="3276" width="3.125" style="43" customWidth="1"/>
    <col min="3277" max="3277" width="16.375" style="43" bestFit="1" customWidth="1"/>
    <col min="3278" max="3278" width="5" style="43" bestFit="1" customWidth="1"/>
    <col min="3279" max="3280" width="9" style="43" bestFit="1" customWidth="1"/>
    <col min="3281" max="3281" width="12.875" style="43" bestFit="1" customWidth="1"/>
    <col min="3282" max="3282" width="8.125" style="43" bestFit="1" customWidth="1"/>
    <col min="3283" max="3283" width="12.875" style="43" bestFit="1" customWidth="1"/>
    <col min="3284" max="3284" width="9.5" style="43" bestFit="1" customWidth="1"/>
    <col min="3285" max="3286" width="12.875" style="43" bestFit="1" customWidth="1"/>
    <col min="3287" max="3287" width="8.125" style="43" bestFit="1" customWidth="1"/>
    <col min="3288" max="3288" width="12.875" style="43" bestFit="1" customWidth="1"/>
    <col min="3289" max="3289" width="7" style="43" bestFit="1" customWidth="1"/>
    <col min="3290" max="3290" width="10.125" style="43" bestFit="1" customWidth="1"/>
    <col min="3291" max="3291" width="10.125" style="43" customWidth="1"/>
    <col min="3292" max="3292" width="7" style="43" customWidth="1"/>
    <col min="3293" max="3293" width="10.125" style="43" customWidth="1"/>
    <col min="3294" max="3295" width="7" style="43" customWidth="1"/>
    <col min="3296" max="3296" width="11.75" style="43" customWidth="1"/>
    <col min="3297" max="3297" width="8.125" style="43" customWidth="1"/>
    <col min="3298" max="3298" width="11.75" style="43" customWidth="1"/>
    <col min="3299" max="3300" width="7" style="43" customWidth="1"/>
    <col min="3301" max="3301" width="5.25" style="43" customWidth="1"/>
    <col min="3302" max="3305" width="7" style="43" customWidth="1"/>
    <col min="3306" max="3306" width="12.875" style="43" customWidth="1"/>
    <col min="3307" max="3307" width="8.125" style="43" customWidth="1"/>
    <col min="3308" max="3308" width="12.875" style="43" customWidth="1"/>
    <col min="3309" max="3310" width="7" style="43" customWidth="1"/>
    <col min="3311" max="3311" width="12.875" style="43" customWidth="1"/>
    <col min="3312" max="3312" width="8.125" style="43" customWidth="1"/>
    <col min="3313" max="3313" width="12.875" style="43" customWidth="1"/>
    <col min="3314" max="3315" width="7" style="43" customWidth="1"/>
    <col min="3316" max="3316" width="12.875" style="43" bestFit="1" customWidth="1"/>
    <col min="3317" max="3318" width="7" style="43" bestFit="1" customWidth="1"/>
    <col min="3319" max="3319" width="9.5" style="43" bestFit="1" customWidth="1"/>
    <col min="3320" max="3320" width="12.875" style="43" bestFit="1" customWidth="1"/>
    <col min="3321" max="3321" width="11.75" style="43" customWidth="1"/>
    <col min="3322" max="3323" width="7" style="43" customWidth="1"/>
    <col min="3324" max="3324" width="7.25" style="43" customWidth="1"/>
    <col min="3325" max="3326" width="11.75" style="43" customWidth="1"/>
    <col min="3327" max="3328" width="7" style="43" customWidth="1"/>
    <col min="3329" max="3329" width="7.25" style="43" customWidth="1"/>
    <col min="3330" max="3331" width="11.75" style="43" customWidth="1"/>
    <col min="3332" max="3333" width="7" style="43" customWidth="1"/>
    <col min="3334" max="3334" width="8.125" style="43" customWidth="1"/>
    <col min="3335" max="3336" width="11.75" style="43" customWidth="1"/>
    <col min="3337" max="3338" width="7" style="43" customWidth="1"/>
    <col min="3339" max="3339" width="7.25" style="43" customWidth="1"/>
    <col min="3340" max="3340" width="11.75" style="43" customWidth="1"/>
    <col min="3341" max="3341" width="12.875" style="43" bestFit="1" customWidth="1"/>
    <col min="3342" max="3343" width="7" style="43" bestFit="1" customWidth="1"/>
    <col min="3344" max="3344" width="9.5" style="43" bestFit="1" customWidth="1"/>
    <col min="3345" max="3345" width="12.875" style="43" bestFit="1" customWidth="1"/>
    <col min="3346" max="3346" width="11.75" style="43" customWidth="1"/>
    <col min="3347" max="3348" width="7" style="43" customWidth="1"/>
    <col min="3349" max="3349" width="7.25" style="43" customWidth="1"/>
    <col min="3350" max="3351" width="11.75" style="43" customWidth="1"/>
    <col min="3352" max="3353" width="7" style="43" customWidth="1"/>
    <col min="3354" max="3354" width="7.25" style="43" customWidth="1"/>
    <col min="3355" max="3356" width="11.75" style="43" customWidth="1"/>
    <col min="3357" max="3358" width="7" style="43" customWidth="1"/>
    <col min="3359" max="3359" width="7.25" style="43" customWidth="1"/>
    <col min="3360" max="3361" width="11.75" style="43" customWidth="1"/>
    <col min="3362" max="3363" width="7" style="43" customWidth="1"/>
    <col min="3364" max="3364" width="7.25" style="43" customWidth="1"/>
    <col min="3365" max="3365" width="11.75" style="43" customWidth="1"/>
    <col min="3366" max="3366" width="11.75" style="43" bestFit="1" customWidth="1"/>
    <col min="3367" max="3368" width="7" style="43" bestFit="1" customWidth="1"/>
    <col min="3369" max="3369" width="7.25" style="43" bestFit="1" customWidth="1"/>
    <col min="3370" max="3371" width="11.75" style="43" bestFit="1" customWidth="1"/>
    <col min="3372" max="3373" width="7" style="43" bestFit="1" customWidth="1"/>
    <col min="3374" max="3374" width="7.25" style="43" bestFit="1" customWidth="1"/>
    <col min="3375" max="3375" width="11.75" style="43" bestFit="1" customWidth="1"/>
    <col min="3376" max="3529" width="9" style="43"/>
    <col min="3530" max="3532" width="3.125" style="43" customWidth="1"/>
    <col min="3533" max="3533" width="16.375" style="43" bestFit="1" customWidth="1"/>
    <col min="3534" max="3534" width="5" style="43" bestFit="1" customWidth="1"/>
    <col min="3535" max="3536" width="9" style="43" bestFit="1" customWidth="1"/>
    <col min="3537" max="3537" width="12.875" style="43" bestFit="1" customWidth="1"/>
    <col min="3538" max="3538" width="8.125" style="43" bestFit="1" customWidth="1"/>
    <col min="3539" max="3539" width="12.875" style="43" bestFit="1" customWidth="1"/>
    <col min="3540" max="3540" width="9.5" style="43" bestFit="1" customWidth="1"/>
    <col min="3541" max="3542" width="12.875" style="43" bestFit="1" customWidth="1"/>
    <col min="3543" max="3543" width="8.125" style="43" bestFit="1" customWidth="1"/>
    <col min="3544" max="3544" width="12.875" style="43" bestFit="1" customWidth="1"/>
    <col min="3545" max="3545" width="7" style="43" bestFit="1" customWidth="1"/>
    <col min="3546" max="3546" width="10.125" style="43" bestFit="1" customWidth="1"/>
    <col min="3547" max="3547" width="10.125" style="43" customWidth="1"/>
    <col min="3548" max="3548" width="7" style="43" customWidth="1"/>
    <col min="3549" max="3549" width="10.125" style="43" customWidth="1"/>
    <col min="3550" max="3551" width="7" style="43" customWidth="1"/>
    <col min="3552" max="3552" width="11.75" style="43" customWidth="1"/>
    <col min="3553" max="3553" width="8.125" style="43" customWidth="1"/>
    <col min="3554" max="3554" width="11.75" style="43" customWidth="1"/>
    <col min="3555" max="3556" width="7" style="43" customWidth="1"/>
    <col min="3557" max="3557" width="5.25" style="43" customWidth="1"/>
    <col min="3558" max="3561" width="7" style="43" customWidth="1"/>
    <col min="3562" max="3562" width="12.875" style="43" customWidth="1"/>
    <col min="3563" max="3563" width="8.125" style="43" customWidth="1"/>
    <col min="3564" max="3564" width="12.875" style="43" customWidth="1"/>
    <col min="3565" max="3566" width="7" style="43" customWidth="1"/>
    <col min="3567" max="3567" width="12.875" style="43" customWidth="1"/>
    <col min="3568" max="3568" width="8.125" style="43" customWidth="1"/>
    <col min="3569" max="3569" width="12.875" style="43" customWidth="1"/>
    <col min="3570" max="3571" width="7" style="43" customWidth="1"/>
    <col min="3572" max="3572" width="12.875" style="43" bestFit="1" customWidth="1"/>
    <col min="3573" max="3574" width="7" style="43" bestFit="1" customWidth="1"/>
    <col min="3575" max="3575" width="9.5" style="43" bestFit="1" customWidth="1"/>
    <col min="3576" max="3576" width="12.875" style="43" bestFit="1" customWidth="1"/>
    <col min="3577" max="3577" width="11.75" style="43" customWidth="1"/>
    <col min="3578" max="3579" width="7" style="43" customWidth="1"/>
    <col min="3580" max="3580" width="7.25" style="43" customWidth="1"/>
    <col min="3581" max="3582" width="11.75" style="43" customWidth="1"/>
    <col min="3583" max="3584" width="7" style="43" customWidth="1"/>
    <col min="3585" max="3585" width="7.25" style="43" customWidth="1"/>
    <col min="3586" max="3587" width="11.75" style="43" customWidth="1"/>
    <col min="3588" max="3589" width="7" style="43" customWidth="1"/>
    <col min="3590" max="3590" width="8.125" style="43" customWidth="1"/>
    <col min="3591" max="3592" width="11.75" style="43" customWidth="1"/>
    <col min="3593" max="3594" width="7" style="43" customWidth="1"/>
    <col min="3595" max="3595" width="7.25" style="43" customWidth="1"/>
    <col min="3596" max="3596" width="11.75" style="43" customWidth="1"/>
    <col min="3597" max="3597" width="12.875" style="43" bestFit="1" customWidth="1"/>
    <col min="3598" max="3599" width="7" style="43" bestFit="1" customWidth="1"/>
    <col min="3600" max="3600" width="9.5" style="43" bestFit="1" customWidth="1"/>
    <col min="3601" max="3601" width="12.875" style="43" bestFit="1" customWidth="1"/>
    <col min="3602" max="3602" width="11.75" style="43" customWidth="1"/>
    <col min="3603" max="3604" width="7" style="43" customWidth="1"/>
    <col min="3605" max="3605" width="7.25" style="43" customWidth="1"/>
    <col min="3606" max="3607" width="11.75" style="43" customWidth="1"/>
    <col min="3608" max="3609" width="7" style="43" customWidth="1"/>
    <col min="3610" max="3610" width="7.25" style="43" customWidth="1"/>
    <col min="3611" max="3612" width="11.75" style="43" customWidth="1"/>
    <col min="3613" max="3614" width="7" style="43" customWidth="1"/>
    <col min="3615" max="3615" width="7.25" style="43" customWidth="1"/>
    <col min="3616" max="3617" width="11.75" style="43" customWidth="1"/>
    <col min="3618" max="3619" width="7" style="43" customWidth="1"/>
    <col min="3620" max="3620" width="7.25" style="43" customWidth="1"/>
    <col min="3621" max="3621" width="11.75" style="43" customWidth="1"/>
    <col min="3622" max="3622" width="11.75" style="43" bestFit="1" customWidth="1"/>
    <col min="3623" max="3624" width="7" style="43" bestFit="1" customWidth="1"/>
    <col min="3625" max="3625" width="7.25" style="43" bestFit="1" customWidth="1"/>
    <col min="3626" max="3627" width="11.75" style="43" bestFit="1" customWidth="1"/>
    <col min="3628" max="3629" width="7" style="43" bestFit="1" customWidth="1"/>
    <col min="3630" max="3630" width="7.25" style="43" bestFit="1" customWidth="1"/>
    <col min="3631" max="3631" width="11.75" style="43" bestFit="1" customWidth="1"/>
    <col min="3632" max="3785" width="9" style="43"/>
    <col min="3786" max="3788" width="3.125" style="43" customWidth="1"/>
    <col min="3789" max="3789" width="16.375" style="43" bestFit="1" customWidth="1"/>
    <col min="3790" max="3790" width="5" style="43" bestFit="1" customWidth="1"/>
    <col min="3791" max="3792" width="9" style="43" bestFit="1" customWidth="1"/>
    <col min="3793" max="3793" width="12.875" style="43" bestFit="1" customWidth="1"/>
    <col min="3794" max="3794" width="8.125" style="43" bestFit="1" customWidth="1"/>
    <col min="3795" max="3795" width="12.875" style="43" bestFit="1" customWidth="1"/>
    <col min="3796" max="3796" width="9.5" style="43" bestFit="1" customWidth="1"/>
    <col min="3797" max="3798" width="12.875" style="43" bestFit="1" customWidth="1"/>
    <col min="3799" max="3799" width="8.125" style="43" bestFit="1" customWidth="1"/>
    <col min="3800" max="3800" width="12.875" style="43" bestFit="1" customWidth="1"/>
    <col min="3801" max="3801" width="7" style="43" bestFit="1" customWidth="1"/>
    <col min="3802" max="3802" width="10.125" style="43" bestFit="1" customWidth="1"/>
    <col min="3803" max="3803" width="10.125" style="43" customWidth="1"/>
    <col min="3804" max="3804" width="7" style="43" customWidth="1"/>
    <col min="3805" max="3805" width="10.125" style="43" customWidth="1"/>
    <col min="3806" max="3807" width="7" style="43" customWidth="1"/>
    <col min="3808" max="3808" width="11.75" style="43" customWidth="1"/>
    <col min="3809" max="3809" width="8.125" style="43" customWidth="1"/>
    <col min="3810" max="3810" width="11.75" style="43" customWidth="1"/>
    <col min="3811" max="3812" width="7" style="43" customWidth="1"/>
    <col min="3813" max="3813" width="5.25" style="43" customWidth="1"/>
    <col min="3814" max="3817" width="7" style="43" customWidth="1"/>
    <col min="3818" max="3818" width="12.875" style="43" customWidth="1"/>
    <col min="3819" max="3819" width="8.125" style="43" customWidth="1"/>
    <col min="3820" max="3820" width="12.875" style="43" customWidth="1"/>
    <col min="3821" max="3822" width="7" style="43" customWidth="1"/>
    <col min="3823" max="3823" width="12.875" style="43" customWidth="1"/>
    <col min="3824" max="3824" width="8.125" style="43" customWidth="1"/>
    <col min="3825" max="3825" width="12.875" style="43" customWidth="1"/>
    <col min="3826" max="3827" width="7" style="43" customWidth="1"/>
    <col min="3828" max="3828" width="12.875" style="43" bestFit="1" customWidth="1"/>
    <col min="3829" max="3830" width="7" style="43" bestFit="1" customWidth="1"/>
    <col min="3831" max="3831" width="9.5" style="43" bestFit="1" customWidth="1"/>
    <col min="3832" max="3832" width="12.875" style="43" bestFit="1" customWidth="1"/>
    <col min="3833" max="3833" width="11.75" style="43" customWidth="1"/>
    <col min="3834" max="3835" width="7" style="43" customWidth="1"/>
    <col min="3836" max="3836" width="7.25" style="43" customWidth="1"/>
    <col min="3837" max="3838" width="11.75" style="43" customWidth="1"/>
    <col min="3839" max="3840" width="7" style="43" customWidth="1"/>
    <col min="3841" max="3841" width="7.25" style="43" customWidth="1"/>
    <col min="3842" max="3843" width="11.75" style="43" customWidth="1"/>
    <col min="3844" max="3845" width="7" style="43" customWidth="1"/>
    <col min="3846" max="3846" width="8.125" style="43" customWidth="1"/>
    <col min="3847" max="3848" width="11.75" style="43" customWidth="1"/>
    <col min="3849" max="3850" width="7" style="43" customWidth="1"/>
    <col min="3851" max="3851" width="7.25" style="43" customWidth="1"/>
    <col min="3852" max="3852" width="11.75" style="43" customWidth="1"/>
    <col min="3853" max="3853" width="12.875" style="43" bestFit="1" customWidth="1"/>
    <col min="3854" max="3855" width="7" style="43" bestFit="1" customWidth="1"/>
    <col min="3856" max="3856" width="9.5" style="43" bestFit="1" customWidth="1"/>
    <col min="3857" max="3857" width="12.875" style="43" bestFit="1" customWidth="1"/>
    <col min="3858" max="3858" width="11.75" style="43" customWidth="1"/>
    <col min="3859" max="3860" width="7" style="43" customWidth="1"/>
    <col min="3861" max="3861" width="7.25" style="43" customWidth="1"/>
    <col min="3862" max="3863" width="11.75" style="43" customWidth="1"/>
    <col min="3864" max="3865" width="7" style="43" customWidth="1"/>
    <col min="3866" max="3866" width="7.25" style="43" customWidth="1"/>
    <col min="3867" max="3868" width="11.75" style="43" customWidth="1"/>
    <col min="3869" max="3870" width="7" style="43" customWidth="1"/>
    <col min="3871" max="3871" width="7.25" style="43" customWidth="1"/>
    <col min="3872" max="3873" width="11.75" style="43" customWidth="1"/>
    <col min="3874" max="3875" width="7" style="43" customWidth="1"/>
    <col min="3876" max="3876" width="7.25" style="43" customWidth="1"/>
    <col min="3877" max="3877" width="11.75" style="43" customWidth="1"/>
    <col min="3878" max="3878" width="11.75" style="43" bestFit="1" customWidth="1"/>
    <col min="3879" max="3880" width="7" style="43" bestFit="1" customWidth="1"/>
    <col min="3881" max="3881" width="7.25" style="43" bestFit="1" customWidth="1"/>
    <col min="3882" max="3883" width="11.75" style="43" bestFit="1" customWidth="1"/>
    <col min="3884" max="3885" width="7" style="43" bestFit="1" customWidth="1"/>
    <col min="3886" max="3886" width="7.25" style="43" bestFit="1" customWidth="1"/>
    <col min="3887" max="3887" width="11.75" style="43" bestFit="1" customWidth="1"/>
    <col min="3888" max="4041" width="9" style="43"/>
    <col min="4042" max="4044" width="3.125" style="43" customWidth="1"/>
    <col min="4045" max="4045" width="16.375" style="43" bestFit="1" customWidth="1"/>
    <col min="4046" max="4046" width="5" style="43" bestFit="1" customWidth="1"/>
    <col min="4047" max="4048" width="9" style="43" bestFit="1" customWidth="1"/>
    <col min="4049" max="4049" width="12.875" style="43" bestFit="1" customWidth="1"/>
    <col min="4050" max="4050" width="8.125" style="43" bestFit="1" customWidth="1"/>
    <col min="4051" max="4051" width="12.875" style="43" bestFit="1" customWidth="1"/>
    <col min="4052" max="4052" width="9.5" style="43" bestFit="1" customWidth="1"/>
    <col min="4053" max="4054" width="12.875" style="43" bestFit="1" customWidth="1"/>
    <col min="4055" max="4055" width="8.125" style="43" bestFit="1" customWidth="1"/>
    <col min="4056" max="4056" width="12.875" style="43" bestFit="1" customWidth="1"/>
    <col min="4057" max="4057" width="7" style="43" bestFit="1" customWidth="1"/>
    <col min="4058" max="4058" width="10.125" style="43" bestFit="1" customWidth="1"/>
    <col min="4059" max="4059" width="10.125" style="43" customWidth="1"/>
    <col min="4060" max="4060" width="7" style="43" customWidth="1"/>
    <col min="4061" max="4061" width="10.125" style="43" customWidth="1"/>
    <col min="4062" max="4063" width="7" style="43" customWidth="1"/>
    <col min="4064" max="4064" width="11.75" style="43" customWidth="1"/>
    <col min="4065" max="4065" width="8.125" style="43" customWidth="1"/>
    <col min="4066" max="4066" width="11.75" style="43" customWidth="1"/>
    <col min="4067" max="4068" width="7" style="43" customWidth="1"/>
    <col min="4069" max="4069" width="5.25" style="43" customWidth="1"/>
    <col min="4070" max="4073" width="7" style="43" customWidth="1"/>
    <col min="4074" max="4074" width="12.875" style="43" customWidth="1"/>
    <col min="4075" max="4075" width="8.125" style="43" customWidth="1"/>
    <col min="4076" max="4076" width="12.875" style="43" customWidth="1"/>
    <col min="4077" max="4078" width="7" style="43" customWidth="1"/>
    <col min="4079" max="4079" width="12.875" style="43" customWidth="1"/>
    <col min="4080" max="4080" width="8.125" style="43" customWidth="1"/>
    <col min="4081" max="4081" width="12.875" style="43" customWidth="1"/>
    <col min="4082" max="4083" width="7" style="43" customWidth="1"/>
    <col min="4084" max="4084" width="12.875" style="43" bestFit="1" customWidth="1"/>
    <col min="4085" max="4086" width="7" style="43" bestFit="1" customWidth="1"/>
    <col min="4087" max="4087" width="9.5" style="43" bestFit="1" customWidth="1"/>
    <col min="4088" max="4088" width="12.875" style="43" bestFit="1" customWidth="1"/>
    <col min="4089" max="4089" width="11.75" style="43" customWidth="1"/>
    <col min="4090" max="4091" width="7" style="43" customWidth="1"/>
    <col min="4092" max="4092" width="7.25" style="43" customWidth="1"/>
    <col min="4093" max="4094" width="11.75" style="43" customWidth="1"/>
    <col min="4095" max="4096" width="7" style="43" customWidth="1"/>
    <col min="4097" max="4097" width="7.25" style="43" customWidth="1"/>
    <col min="4098" max="4099" width="11.75" style="43" customWidth="1"/>
    <col min="4100" max="4101" width="7" style="43" customWidth="1"/>
    <col min="4102" max="4102" width="8.125" style="43" customWidth="1"/>
    <col min="4103" max="4104" width="11.75" style="43" customWidth="1"/>
    <col min="4105" max="4106" width="7" style="43" customWidth="1"/>
    <col min="4107" max="4107" width="7.25" style="43" customWidth="1"/>
    <col min="4108" max="4108" width="11.75" style="43" customWidth="1"/>
    <col min="4109" max="4109" width="12.875" style="43" bestFit="1" customWidth="1"/>
    <col min="4110" max="4111" width="7" style="43" bestFit="1" customWidth="1"/>
    <col min="4112" max="4112" width="9.5" style="43" bestFit="1" customWidth="1"/>
    <col min="4113" max="4113" width="12.875" style="43" bestFit="1" customWidth="1"/>
    <col min="4114" max="4114" width="11.75" style="43" customWidth="1"/>
    <col min="4115" max="4116" width="7" style="43" customWidth="1"/>
    <col min="4117" max="4117" width="7.25" style="43" customWidth="1"/>
    <col min="4118" max="4119" width="11.75" style="43" customWidth="1"/>
    <col min="4120" max="4121" width="7" style="43" customWidth="1"/>
    <col min="4122" max="4122" width="7.25" style="43" customWidth="1"/>
    <col min="4123" max="4124" width="11.75" style="43" customWidth="1"/>
    <col min="4125" max="4126" width="7" style="43" customWidth="1"/>
    <col min="4127" max="4127" width="7.25" style="43" customWidth="1"/>
    <col min="4128" max="4129" width="11.75" style="43" customWidth="1"/>
    <col min="4130" max="4131" width="7" style="43" customWidth="1"/>
    <col min="4132" max="4132" width="7.25" style="43" customWidth="1"/>
    <col min="4133" max="4133" width="11.75" style="43" customWidth="1"/>
    <col min="4134" max="4134" width="11.75" style="43" bestFit="1" customWidth="1"/>
    <col min="4135" max="4136" width="7" style="43" bestFit="1" customWidth="1"/>
    <col min="4137" max="4137" width="7.25" style="43" bestFit="1" customWidth="1"/>
    <col min="4138" max="4139" width="11.75" style="43" bestFit="1" customWidth="1"/>
    <col min="4140" max="4141" width="7" style="43" bestFit="1" customWidth="1"/>
    <col min="4142" max="4142" width="7.25" style="43" bestFit="1" customWidth="1"/>
    <col min="4143" max="4143" width="11.75" style="43" bestFit="1" customWidth="1"/>
    <col min="4144" max="4297" width="9" style="43"/>
    <col min="4298" max="4300" width="3.125" style="43" customWidth="1"/>
    <col min="4301" max="4301" width="16.375" style="43" bestFit="1" customWidth="1"/>
    <col min="4302" max="4302" width="5" style="43" bestFit="1" customWidth="1"/>
    <col min="4303" max="4304" width="9" style="43" bestFit="1" customWidth="1"/>
    <col min="4305" max="4305" width="12.875" style="43" bestFit="1" customWidth="1"/>
    <col min="4306" max="4306" width="8.125" style="43" bestFit="1" customWidth="1"/>
    <col min="4307" max="4307" width="12.875" style="43" bestFit="1" customWidth="1"/>
    <col min="4308" max="4308" width="9.5" style="43" bestFit="1" customWidth="1"/>
    <col min="4309" max="4310" width="12.875" style="43" bestFit="1" customWidth="1"/>
    <col min="4311" max="4311" width="8.125" style="43" bestFit="1" customWidth="1"/>
    <col min="4312" max="4312" width="12.875" style="43" bestFit="1" customWidth="1"/>
    <col min="4313" max="4313" width="7" style="43" bestFit="1" customWidth="1"/>
    <col min="4314" max="4314" width="10.125" style="43" bestFit="1" customWidth="1"/>
    <col min="4315" max="4315" width="10.125" style="43" customWidth="1"/>
    <col min="4316" max="4316" width="7" style="43" customWidth="1"/>
    <col min="4317" max="4317" width="10.125" style="43" customWidth="1"/>
    <col min="4318" max="4319" width="7" style="43" customWidth="1"/>
    <col min="4320" max="4320" width="11.75" style="43" customWidth="1"/>
    <col min="4321" max="4321" width="8.125" style="43" customWidth="1"/>
    <col min="4322" max="4322" width="11.75" style="43" customWidth="1"/>
    <col min="4323" max="4324" width="7" style="43" customWidth="1"/>
    <col min="4325" max="4325" width="5.25" style="43" customWidth="1"/>
    <col min="4326" max="4329" width="7" style="43" customWidth="1"/>
    <col min="4330" max="4330" width="12.875" style="43" customWidth="1"/>
    <col min="4331" max="4331" width="8.125" style="43" customWidth="1"/>
    <col min="4332" max="4332" width="12.875" style="43" customWidth="1"/>
    <col min="4333" max="4334" width="7" style="43" customWidth="1"/>
    <col min="4335" max="4335" width="12.875" style="43" customWidth="1"/>
    <col min="4336" max="4336" width="8.125" style="43" customWidth="1"/>
    <col min="4337" max="4337" width="12.875" style="43" customWidth="1"/>
    <col min="4338" max="4339" width="7" style="43" customWidth="1"/>
    <col min="4340" max="4340" width="12.875" style="43" bestFit="1" customWidth="1"/>
    <col min="4341" max="4342" width="7" style="43" bestFit="1" customWidth="1"/>
    <col min="4343" max="4343" width="9.5" style="43" bestFit="1" customWidth="1"/>
    <col min="4344" max="4344" width="12.875" style="43" bestFit="1" customWidth="1"/>
    <col min="4345" max="4345" width="11.75" style="43" customWidth="1"/>
    <col min="4346" max="4347" width="7" style="43" customWidth="1"/>
    <col min="4348" max="4348" width="7.25" style="43" customWidth="1"/>
    <col min="4349" max="4350" width="11.75" style="43" customWidth="1"/>
    <col min="4351" max="4352" width="7" style="43" customWidth="1"/>
    <col min="4353" max="4353" width="7.25" style="43" customWidth="1"/>
    <col min="4354" max="4355" width="11.75" style="43" customWidth="1"/>
    <col min="4356" max="4357" width="7" style="43" customWidth="1"/>
    <col min="4358" max="4358" width="8.125" style="43" customWidth="1"/>
    <col min="4359" max="4360" width="11.75" style="43" customWidth="1"/>
    <col min="4361" max="4362" width="7" style="43" customWidth="1"/>
    <col min="4363" max="4363" width="7.25" style="43" customWidth="1"/>
    <col min="4364" max="4364" width="11.75" style="43" customWidth="1"/>
    <col min="4365" max="4365" width="12.875" style="43" bestFit="1" customWidth="1"/>
    <col min="4366" max="4367" width="7" style="43" bestFit="1" customWidth="1"/>
    <col min="4368" max="4368" width="9.5" style="43" bestFit="1" customWidth="1"/>
    <col min="4369" max="4369" width="12.875" style="43" bestFit="1" customWidth="1"/>
    <col min="4370" max="4370" width="11.75" style="43" customWidth="1"/>
    <col min="4371" max="4372" width="7" style="43" customWidth="1"/>
    <col min="4373" max="4373" width="7.25" style="43" customWidth="1"/>
    <col min="4374" max="4375" width="11.75" style="43" customWidth="1"/>
    <col min="4376" max="4377" width="7" style="43" customWidth="1"/>
    <col min="4378" max="4378" width="7.25" style="43" customWidth="1"/>
    <col min="4379" max="4380" width="11.75" style="43" customWidth="1"/>
    <col min="4381" max="4382" width="7" style="43" customWidth="1"/>
    <col min="4383" max="4383" width="7.25" style="43" customWidth="1"/>
    <col min="4384" max="4385" width="11.75" style="43" customWidth="1"/>
    <col min="4386" max="4387" width="7" style="43" customWidth="1"/>
    <col min="4388" max="4388" width="7.25" style="43" customWidth="1"/>
    <col min="4389" max="4389" width="11.75" style="43" customWidth="1"/>
    <col min="4390" max="4390" width="11.75" style="43" bestFit="1" customWidth="1"/>
    <col min="4391" max="4392" width="7" style="43" bestFit="1" customWidth="1"/>
    <col min="4393" max="4393" width="7.25" style="43" bestFit="1" customWidth="1"/>
    <col min="4394" max="4395" width="11.75" style="43" bestFit="1" customWidth="1"/>
    <col min="4396" max="4397" width="7" style="43" bestFit="1" customWidth="1"/>
    <col min="4398" max="4398" width="7.25" style="43" bestFit="1" customWidth="1"/>
    <col min="4399" max="4399" width="11.75" style="43" bestFit="1" customWidth="1"/>
    <col min="4400" max="4553" width="9" style="43"/>
    <col min="4554" max="4556" width="3.125" style="43" customWidth="1"/>
    <col min="4557" max="4557" width="16.375" style="43" bestFit="1" customWidth="1"/>
    <col min="4558" max="4558" width="5" style="43" bestFit="1" customWidth="1"/>
    <col min="4559" max="4560" width="9" style="43" bestFit="1" customWidth="1"/>
    <col min="4561" max="4561" width="12.875" style="43" bestFit="1" customWidth="1"/>
    <col min="4562" max="4562" width="8.125" style="43" bestFit="1" customWidth="1"/>
    <col min="4563" max="4563" width="12.875" style="43" bestFit="1" customWidth="1"/>
    <col min="4564" max="4564" width="9.5" style="43" bestFit="1" customWidth="1"/>
    <col min="4565" max="4566" width="12.875" style="43" bestFit="1" customWidth="1"/>
    <col min="4567" max="4567" width="8.125" style="43" bestFit="1" customWidth="1"/>
    <col min="4568" max="4568" width="12.875" style="43" bestFit="1" customWidth="1"/>
    <col min="4569" max="4569" width="7" style="43" bestFit="1" customWidth="1"/>
    <col min="4570" max="4570" width="10.125" style="43" bestFit="1" customWidth="1"/>
    <col min="4571" max="4571" width="10.125" style="43" customWidth="1"/>
    <col min="4572" max="4572" width="7" style="43" customWidth="1"/>
    <col min="4573" max="4573" width="10.125" style="43" customWidth="1"/>
    <col min="4574" max="4575" width="7" style="43" customWidth="1"/>
    <col min="4576" max="4576" width="11.75" style="43" customWidth="1"/>
    <col min="4577" max="4577" width="8.125" style="43" customWidth="1"/>
    <col min="4578" max="4578" width="11.75" style="43" customWidth="1"/>
    <col min="4579" max="4580" width="7" style="43" customWidth="1"/>
    <col min="4581" max="4581" width="5.25" style="43" customWidth="1"/>
    <col min="4582" max="4585" width="7" style="43" customWidth="1"/>
    <col min="4586" max="4586" width="12.875" style="43" customWidth="1"/>
    <col min="4587" max="4587" width="8.125" style="43" customWidth="1"/>
    <col min="4588" max="4588" width="12.875" style="43" customWidth="1"/>
    <col min="4589" max="4590" width="7" style="43" customWidth="1"/>
    <col min="4591" max="4591" width="12.875" style="43" customWidth="1"/>
    <col min="4592" max="4592" width="8.125" style="43" customWidth="1"/>
    <col min="4593" max="4593" width="12.875" style="43" customWidth="1"/>
    <col min="4594" max="4595" width="7" style="43" customWidth="1"/>
    <col min="4596" max="4596" width="12.875" style="43" bestFit="1" customWidth="1"/>
    <col min="4597" max="4598" width="7" style="43" bestFit="1" customWidth="1"/>
    <col min="4599" max="4599" width="9.5" style="43" bestFit="1" customWidth="1"/>
    <col min="4600" max="4600" width="12.875" style="43" bestFit="1" customWidth="1"/>
    <col min="4601" max="4601" width="11.75" style="43" customWidth="1"/>
    <col min="4602" max="4603" width="7" style="43" customWidth="1"/>
    <col min="4604" max="4604" width="7.25" style="43" customWidth="1"/>
    <col min="4605" max="4606" width="11.75" style="43" customWidth="1"/>
    <col min="4607" max="4608" width="7" style="43" customWidth="1"/>
    <col min="4609" max="4609" width="7.25" style="43" customWidth="1"/>
    <col min="4610" max="4611" width="11.75" style="43" customWidth="1"/>
    <col min="4612" max="4613" width="7" style="43" customWidth="1"/>
    <col min="4614" max="4614" width="8.125" style="43" customWidth="1"/>
    <col min="4615" max="4616" width="11.75" style="43" customWidth="1"/>
    <col min="4617" max="4618" width="7" style="43" customWidth="1"/>
    <col min="4619" max="4619" width="7.25" style="43" customWidth="1"/>
    <col min="4620" max="4620" width="11.75" style="43" customWidth="1"/>
    <col min="4621" max="4621" width="12.875" style="43" bestFit="1" customWidth="1"/>
    <col min="4622" max="4623" width="7" style="43" bestFit="1" customWidth="1"/>
    <col min="4624" max="4624" width="9.5" style="43" bestFit="1" customWidth="1"/>
    <col min="4625" max="4625" width="12.875" style="43" bestFit="1" customWidth="1"/>
    <col min="4626" max="4626" width="11.75" style="43" customWidth="1"/>
    <col min="4627" max="4628" width="7" style="43" customWidth="1"/>
    <col min="4629" max="4629" width="7.25" style="43" customWidth="1"/>
    <col min="4630" max="4631" width="11.75" style="43" customWidth="1"/>
    <col min="4632" max="4633" width="7" style="43" customWidth="1"/>
    <col min="4634" max="4634" width="7.25" style="43" customWidth="1"/>
    <col min="4635" max="4636" width="11.75" style="43" customWidth="1"/>
    <col min="4637" max="4638" width="7" style="43" customWidth="1"/>
    <col min="4639" max="4639" width="7.25" style="43" customWidth="1"/>
    <col min="4640" max="4641" width="11.75" style="43" customWidth="1"/>
    <col min="4642" max="4643" width="7" style="43" customWidth="1"/>
    <col min="4644" max="4644" width="7.25" style="43" customWidth="1"/>
    <col min="4645" max="4645" width="11.75" style="43" customWidth="1"/>
    <col min="4646" max="4646" width="11.75" style="43" bestFit="1" customWidth="1"/>
    <col min="4647" max="4648" width="7" style="43" bestFit="1" customWidth="1"/>
    <col min="4649" max="4649" width="7.25" style="43" bestFit="1" customWidth="1"/>
    <col min="4650" max="4651" width="11.75" style="43" bestFit="1" customWidth="1"/>
    <col min="4652" max="4653" width="7" style="43" bestFit="1" customWidth="1"/>
    <col min="4654" max="4654" width="7.25" style="43" bestFit="1" customWidth="1"/>
    <col min="4655" max="4655" width="11.75" style="43" bestFit="1" customWidth="1"/>
    <col min="4656" max="4809" width="9" style="43"/>
    <col min="4810" max="4812" width="3.125" style="43" customWidth="1"/>
    <col min="4813" max="4813" width="16.375" style="43" bestFit="1" customWidth="1"/>
    <col min="4814" max="4814" width="5" style="43" bestFit="1" customWidth="1"/>
    <col min="4815" max="4816" width="9" style="43" bestFit="1" customWidth="1"/>
    <col min="4817" max="4817" width="12.875" style="43" bestFit="1" customWidth="1"/>
    <col min="4818" max="4818" width="8.125" style="43" bestFit="1" customWidth="1"/>
    <col min="4819" max="4819" width="12.875" style="43" bestFit="1" customWidth="1"/>
    <col min="4820" max="4820" width="9.5" style="43" bestFit="1" customWidth="1"/>
    <col min="4821" max="4822" width="12.875" style="43" bestFit="1" customWidth="1"/>
    <col min="4823" max="4823" width="8.125" style="43" bestFit="1" customWidth="1"/>
    <col min="4824" max="4824" width="12.875" style="43" bestFit="1" customWidth="1"/>
    <col min="4825" max="4825" width="7" style="43" bestFit="1" customWidth="1"/>
    <col min="4826" max="4826" width="10.125" style="43" bestFit="1" customWidth="1"/>
    <col min="4827" max="4827" width="10.125" style="43" customWidth="1"/>
    <col min="4828" max="4828" width="7" style="43" customWidth="1"/>
    <col min="4829" max="4829" width="10.125" style="43" customWidth="1"/>
    <col min="4830" max="4831" width="7" style="43" customWidth="1"/>
    <col min="4832" max="4832" width="11.75" style="43" customWidth="1"/>
    <col min="4833" max="4833" width="8.125" style="43" customWidth="1"/>
    <col min="4834" max="4834" width="11.75" style="43" customWidth="1"/>
    <col min="4835" max="4836" width="7" style="43" customWidth="1"/>
    <col min="4837" max="4837" width="5.25" style="43" customWidth="1"/>
    <col min="4838" max="4841" width="7" style="43" customWidth="1"/>
    <col min="4842" max="4842" width="12.875" style="43" customWidth="1"/>
    <col min="4843" max="4843" width="8.125" style="43" customWidth="1"/>
    <col min="4844" max="4844" width="12.875" style="43" customWidth="1"/>
    <col min="4845" max="4846" width="7" style="43" customWidth="1"/>
    <col min="4847" max="4847" width="12.875" style="43" customWidth="1"/>
    <col min="4848" max="4848" width="8.125" style="43" customWidth="1"/>
    <col min="4849" max="4849" width="12.875" style="43" customWidth="1"/>
    <col min="4850" max="4851" width="7" style="43" customWidth="1"/>
    <col min="4852" max="4852" width="12.875" style="43" bestFit="1" customWidth="1"/>
    <col min="4853" max="4854" width="7" style="43" bestFit="1" customWidth="1"/>
    <col min="4855" max="4855" width="9.5" style="43" bestFit="1" customWidth="1"/>
    <col min="4856" max="4856" width="12.875" style="43" bestFit="1" customWidth="1"/>
    <col min="4857" max="4857" width="11.75" style="43" customWidth="1"/>
    <col min="4858" max="4859" width="7" style="43" customWidth="1"/>
    <col min="4860" max="4860" width="7.25" style="43" customWidth="1"/>
    <col min="4861" max="4862" width="11.75" style="43" customWidth="1"/>
    <col min="4863" max="4864" width="7" style="43" customWidth="1"/>
    <col min="4865" max="4865" width="7.25" style="43" customWidth="1"/>
    <col min="4866" max="4867" width="11.75" style="43" customWidth="1"/>
    <col min="4868" max="4869" width="7" style="43" customWidth="1"/>
    <col min="4870" max="4870" width="8.125" style="43" customWidth="1"/>
    <col min="4871" max="4872" width="11.75" style="43" customWidth="1"/>
    <col min="4873" max="4874" width="7" style="43" customWidth="1"/>
    <col min="4875" max="4875" width="7.25" style="43" customWidth="1"/>
    <col min="4876" max="4876" width="11.75" style="43" customWidth="1"/>
    <col min="4877" max="4877" width="12.875" style="43" bestFit="1" customWidth="1"/>
    <col min="4878" max="4879" width="7" style="43" bestFit="1" customWidth="1"/>
    <col min="4880" max="4880" width="9.5" style="43" bestFit="1" customWidth="1"/>
    <col min="4881" max="4881" width="12.875" style="43" bestFit="1" customWidth="1"/>
    <col min="4882" max="4882" width="11.75" style="43" customWidth="1"/>
    <col min="4883" max="4884" width="7" style="43" customWidth="1"/>
    <col min="4885" max="4885" width="7.25" style="43" customWidth="1"/>
    <col min="4886" max="4887" width="11.75" style="43" customWidth="1"/>
    <col min="4888" max="4889" width="7" style="43" customWidth="1"/>
    <col min="4890" max="4890" width="7.25" style="43" customWidth="1"/>
    <col min="4891" max="4892" width="11.75" style="43" customWidth="1"/>
    <col min="4893" max="4894" width="7" style="43" customWidth="1"/>
    <col min="4895" max="4895" width="7.25" style="43" customWidth="1"/>
    <col min="4896" max="4897" width="11.75" style="43" customWidth="1"/>
    <col min="4898" max="4899" width="7" style="43" customWidth="1"/>
    <col min="4900" max="4900" width="7.25" style="43" customWidth="1"/>
    <col min="4901" max="4901" width="11.75" style="43" customWidth="1"/>
    <col min="4902" max="4902" width="11.75" style="43" bestFit="1" customWidth="1"/>
    <col min="4903" max="4904" width="7" style="43" bestFit="1" customWidth="1"/>
    <col min="4905" max="4905" width="7.25" style="43" bestFit="1" customWidth="1"/>
    <col min="4906" max="4907" width="11.75" style="43" bestFit="1" customWidth="1"/>
    <col min="4908" max="4909" width="7" style="43" bestFit="1" customWidth="1"/>
    <col min="4910" max="4910" width="7.25" style="43" bestFit="1" customWidth="1"/>
    <col min="4911" max="4911" width="11.75" style="43" bestFit="1" customWidth="1"/>
    <col min="4912" max="5065" width="9" style="43"/>
    <col min="5066" max="5068" width="3.125" style="43" customWidth="1"/>
    <col min="5069" max="5069" width="16.375" style="43" bestFit="1" customWidth="1"/>
    <col min="5070" max="5070" width="5" style="43" bestFit="1" customWidth="1"/>
    <col min="5071" max="5072" width="9" style="43" bestFit="1" customWidth="1"/>
    <col min="5073" max="5073" width="12.875" style="43" bestFit="1" customWidth="1"/>
    <col min="5074" max="5074" width="8.125" style="43" bestFit="1" customWidth="1"/>
    <col min="5075" max="5075" width="12.875" style="43" bestFit="1" customWidth="1"/>
    <col min="5076" max="5076" width="9.5" style="43" bestFit="1" customWidth="1"/>
    <col min="5077" max="5078" width="12.875" style="43" bestFit="1" customWidth="1"/>
    <col min="5079" max="5079" width="8.125" style="43" bestFit="1" customWidth="1"/>
    <col min="5080" max="5080" width="12.875" style="43" bestFit="1" customWidth="1"/>
    <col min="5081" max="5081" width="7" style="43" bestFit="1" customWidth="1"/>
    <col min="5082" max="5082" width="10.125" style="43" bestFit="1" customWidth="1"/>
    <col min="5083" max="5083" width="10.125" style="43" customWidth="1"/>
    <col min="5084" max="5084" width="7" style="43" customWidth="1"/>
    <col min="5085" max="5085" width="10.125" style="43" customWidth="1"/>
    <col min="5086" max="5087" width="7" style="43" customWidth="1"/>
    <col min="5088" max="5088" width="11.75" style="43" customWidth="1"/>
    <col min="5089" max="5089" width="8.125" style="43" customWidth="1"/>
    <col min="5090" max="5090" width="11.75" style="43" customWidth="1"/>
    <col min="5091" max="5092" width="7" style="43" customWidth="1"/>
    <col min="5093" max="5093" width="5.25" style="43" customWidth="1"/>
    <col min="5094" max="5097" width="7" style="43" customWidth="1"/>
    <col min="5098" max="5098" width="12.875" style="43" customWidth="1"/>
    <col min="5099" max="5099" width="8.125" style="43" customWidth="1"/>
    <col min="5100" max="5100" width="12.875" style="43" customWidth="1"/>
    <col min="5101" max="5102" width="7" style="43" customWidth="1"/>
    <col min="5103" max="5103" width="12.875" style="43" customWidth="1"/>
    <col min="5104" max="5104" width="8.125" style="43" customWidth="1"/>
    <col min="5105" max="5105" width="12.875" style="43" customWidth="1"/>
    <col min="5106" max="5107" width="7" style="43" customWidth="1"/>
    <col min="5108" max="5108" width="12.875" style="43" bestFit="1" customWidth="1"/>
    <col min="5109" max="5110" width="7" style="43" bestFit="1" customWidth="1"/>
    <col min="5111" max="5111" width="9.5" style="43" bestFit="1" customWidth="1"/>
    <col min="5112" max="5112" width="12.875" style="43" bestFit="1" customWidth="1"/>
    <col min="5113" max="5113" width="11.75" style="43" customWidth="1"/>
    <col min="5114" max="5115" width="7" style="43" customWidth="1"/>
    <col min="5116" max="5116" width="7.25" style="43" customWidth="1"/>
    <col min="5117" max="5118" width="11.75" style="43" customWidth="1"/>
    <col min="5119" max="5120" width="7" style="43" customWidth="1"/>
    <col min="5121" max="5121" width="7.25" style="43" customWidth="1"/>
    <col min="5122" max="5123" width="11.75" style="43" customWidth="1"/>
    <col min="5124" max="5125" width="7" style="43" customWidth="1"/>
    <col min="5126" max="5126" width="8.125" style="43" customWidth="1"/>
    <col min="5127" max="5128" width="11.75" style="43" customWidth="1"/>
    <col min="5129" max="5130" width="7" style="43" customWidth="1"/>
    <col min="5131" max="5131" width="7.25" style="43" customWidth="1"/>
    <col min="5132" max="5132" width="11.75" style="43" customWidth="1"/>
    <col min="5133" max="5133" width="12.875" style="43" bestFit="1" customWidth="1"/>
    <col min="5134" max="5135" width="7" style="43" bestFit="1" customWidth="1"/>
    <col min="5136" max="5136" width="9.5" style="43" bestFit="1" customWidth="1"/>
    <col min="5137" max="5137" width="12.875" style="43" bestFit="1" customWidth="1"/>
    <col min="5138" max="5138" width="11.75" style="43" customWidth="1"/>
    <col min="5139" max="5140" width="7" style="43" customWidth="1"/>
    <col min="5141" max="5141" width="7.25" style="43" customWidth="1"/>
    <col min="5142" max="5143" width="11.75" style="43" customWidth="1"/>
    <col min="5144" max="5145" width="7" style="43" customWidth="1"/>
    <col min="5146" max="5146" width="7.25" style="43" customWidth="1"/>
    <col min="5147" max="5148" width="11.75" style="43" customWidth="1"/>
    <col min="5149" max="5150" width="7" style="43" customWidth="1"/>
    <col min="5151" max="5151" width="7.25" style="43" customWidth="1"/>
    <col min="5152" max="5153" width="11.75" style="43" customWidth="1"/>
    <col min="5154" max="5155" width="7" style="43" customWidth="1"/>
    <col min="5156" max="5156" width="7.25" style="43" customWidth="1"/>
    <col min="5157" max="5157" width="11.75" style="43" customWidth="1"/>
    <col min="5158" max="5158" width="11.75" style="43" bestFit="1" customWidth="1"/>
    <col min="5159" max="5160" width="7" style="43" bestFit="1" customWidth="1"/>
    <col min="5161" max="5161" width="7.25" style="43" bestFit="1" customWidth="1"/>
    <col min="5162" max="5163" width="11.75" style="43" bestFit="1" customWidth="1"/>
    <col min="5164" max="5165" width="7" style="43" bestFit="1" customWidth="1"/>
    <col min="5166" max="5166" width="7.25" style="43" bestFit="1" customWidth="1"/>
    <col min="5167" max="5167" width="11.75" style="43" bestFit="1" customWidth="1"/>
    <col min="5168" max="5321" width="9" style="43"/>
    <col min="5322" max="5324" width="3.125" style="43" customWidth="1"/>
    <col min="5325" max="5325" width="16.375" style="43" bestFit="1" customWidth="1"/>
    <col min="5326" max="5326" width="5" style="43" bestFit="1" customWidth="1"/>
    <col min="5327" max="5328" width="9" style="43" bestFit="1" customWidth="1"/>
    <col min="5329" max="5329" width="12.875" style="43" bestFit="1" customWidth="1"/>
    <col min="5330" max="5330" width="8.125" style="43" bestFit="1" customWidth="1"/>
    <col min="5331" max="5331" width="12.875" style="43" bestFit="1" customWidth="1"/>
    <col min="5332" max="5332" width="9.5" style="43" bestFit="1" customWidth="1"/>
    <col min="5333" max="5334" width="12.875" style="43" bestFit="1" customWidth="1"/>
    <col min="5335" max="5335" width="8.125" style="43" bestFit="1" customWidth="1"/>
    <col min="5336" max="5336" width="12.875" style="43" bestFit="1" customWidth="1"/>
    <col min="5337" max="5337" width="7" style="43" bestFit="1" customWidth="1"/>
    <col min="5338" max="5338" width="10.125" style="43" bestFit="1" customWidth="1"/>
    <col min="5339" max="5339" width="10.125" style="43" customWidth="1"/>
    <col min="5340" max="5340" width="7" style="43" customWidth="1"/>
    <col min="5341" max="5341" width="10.125" style="43" customWidth="1"/>
    <col min="5342" max="5343" width="7" style="43" customWidth="1"/>
    <col min="5344" max="5344" width="11.75" style="43" customWidth="1"/>
    <col min="5345" max="5345" width="8.125" style="43" customWidth="1"/>
    <col min="5346" max="5346" width="11.75" style="43" customWidth="1"/>
    <col min="5347" max="5348" width="7" style="43" customWidth="1"/>
    <col min="5349" max="5349" width="5.25" style="43" customWidth="1"/>
    <col min="5350" max="5353" width="7" style="43" customWidth="1"/>
    <col min="5354" max="5354" width="12.875" style="43" customWidth="1"/>
    <col min="5355" max="5355" width="8.125" style="43" customWidth="1"/>
    <col min="5356" max="5356" width="12.875" style="43" customWidth="1"/>
    <col min="5357" max="5358" width="7" style="43" customWidth="1"/>
    <col min="5359" max="5359" width="12.875" style="43" customWidth="1"/>
    <col min="5360" max="5360" width="8.125" style="43" customWidth="1"/>
    <col min="5361" max="5361" width="12.875" style="43" customWidth="1"/>
    <col min="5362" max="5363" width="7" style="43" customWidth="1"/>
    <col min="5364" max="5364" width="12.875" style="43" bestFit="1" customWidth="1"/>
    <col min="5365" max="5366" width="7" style="43" bestFit="1" customWidth="1"/>
    <col min="5367" max="5367" width="9.5" style="43" bestFit="1" customWidth="1"/>
    <col min="5368" max="5368" width="12.875" style="43" bestFit="1" customWidth="1"/>
    <col min="5369" max="5369" width="11.75" style="43" customWidth="1"/>
    <col min="5370" max="5371" width="7" style="43" customWidth="1"/>
    <col min="5372" max="5372" width="7.25" style="43" customWidth="1"/>
    <col min="5373" max="5374" width="11.75" style="43" customWidth="1"/>
    <col min="5375" max="5376" width="7" style="43" customWidth="1"/>
    <col min="5377" max="5377" width="7.25" style="43" customWidth="1"/>
    <col min="5378" max="5379" width="11.75" style="43" customWidth="1"/>
    <col min="5380" max="5381" width="7" style="43" customWidth="1"/>
    <col min="5382" max="5382" width="8.125" style="43" customWidth="1"/>
    <col min="5383" max="5384" width="11.75" style="43" customWidth="1"/>
    <col min="5385" max="5386" width="7" style="43" customWidth="1"/>
    <col min="5387" max="5387" width="7.25" style="43" customWidth="1"/>
    <col min="5388" max="5388" width="11.75" style="43" customWidth="1"/>
    <col min="5389" max="5389" width="12.875" style="43" bestFit="1" customWidth="1"/>
    <col min="5390" max="5391" width="7" style="43" bestFit="1" customWidth="1"/>
    <col min="5392" max="5392" width="9.5" style="43" bestFit="1" customWidth="1"/>
    <col min="5393" max="5393" width="12.875" style="43" bestFit="1" customWidth="1"/>
    <col min="5394" max="5394" width="11.75" style="43" customWidth="1"/>
    <col min="5395" max="5396" width="7" style="43" customWidth="1"/>
    <col min="5397" max="5397" width="7.25" style="43" customWidth="1"/>
    <col min="5398" max="5399" width="11.75" style="43" customWidth="1"/>
    <col min="5400" max="5401" width="7" style="43" customWidth="1"/>
    <col min="5402" max="5402" width="7.25" style="43" customWidth="1"/>
    <col min="5403" max="5404" width="11.75" style="43" customWidth="1"/>
    <col min="5405" max="5406" width="7" style="43" customWidth="1"/>
    <col min="5407" max="5407" width="7.25" style="43" customWidth="1"/>
    <col min="5408" max="5409" width="11.75" style="43" customWidth="1"/>
    <col min="5410" max="5411" width="7" style="43" customWidth="1"/>
    <col min="5412" max="5412" width="7.25" style="43" customWidth="1"/>
    <col min="5413" max="5413" width="11.75" style="43" customWidth="1"/>
    <col min="5414" max="5414" width="11.75" style="43" bestFit="1" customWidth="1"/>
    <col min="5415" max="5416" width="7" style="43" bestFit="1" customWidth="1"/>
    <col min="5417" max="5417" width="7.25" style="43" bestFit="1" customWidth="1"/>
    <col min="5418" max="5419" width="11.75" style="43" bestFit="1" customWidth="1"/>
    <col min="5420" max="5421" width="7" style="43" bestFit="1" customWidth="1"/>
    <col min="5422" max="5422" width="7.25" style="43" bestFit="1" customWidth="1"/>
    <col min="5423" max="5423" width="11.75" style="43" bestFit="1" customWidth="1"/>
    <col min="5424" max="5577" width="9" style="43"/>
    <col min="5578" max="5580" width="3.125" style="43" customWidth="1"/>
    <col min="5581" max="5581" width="16.375" style="43" bestFit="1" customWidth="1"/>
    <col min="5582" max="5582" width="5" style="43" bestFit="1" customWidth="1"/>
    <col min="5583" max="5584" width="9" style="43" bestFit="1" customWidth="1"/>
    <col min="5585" max="5585" width="12.875" style="43" bestFit="1" customWidth="1"/>
    <col min="5586" max="5586" width="8.125" style="43" bestFit="1" customWidth="1"/>
    <col min="5587" max="5587" width="12.875" style="43" bestFit="1" customWidth="1"/>
    <col min="5588" max="5588" width="9.5" style="43" bestFit="1" customWidth="1"/>
    <col min="5589" max="5590" width="12.875" style="43" bestFit="1" customWidth="1"/>
    <col min="5591" max="5591" width="8.125" style="43" bestFit="1" customWidth="1"/>
    <col min="5592" max="5592" width="12.875" style="43" bestFit="1" customWidth="1"/>
    <col min="5593" max="5593" width="7" style="43" bestFit="1" customWidth="1"/>
    <col min="5594" max="5594" width="10.125" style="43" bestFit="1" customWidth="1"/>
    <col min="5595" max="5595" width="10.125" style="43" customWidth="1"/>
    <col min="5596" max="5596" width="7" style="43" customWidth="1"/>
    <col min="5597" max="5597" width="10.125" style="43" customWidth="1"/>
    <col min="5598" max="5599" width="7" style="43" customWidth="1"/>
    <col min="5600" max="5600" width="11.75" style="43" customWidth="1"/>
    <col min="5601" max="5601" width="8.125" style="43" customWidth="1"/>
    <col min="5602" max="5602" width="11.75" style="43" customWidth="1"/>
    <col min="5603" max="5604" width="7" style="43" customWidth="1"/>
    <col min="5605" max="5605" width="5.25" style="43" customWidth="1"/>
    <col min="5606" max="5609" width="7" style="43" customWidth="1"/>
    <col min="5610" max="5610" width="12.875" style="43" customWidth="1"/>
    <col min="5611" max="5611" width="8.125" style="43" customWidth="1"/>
    <col min="5612" max="5612" width="12.875" style="43" customWidth="1"/>
    <col min="5613" max="5614" width="7" style="43" customWidth="1"/>
    <col min="5615" max="5615" width="12.875" style="43" customWidth="1"/>
    <col min="5616" max="5616" width="8.125" style="43" customWidth="1"/>
    <col min="5617" max="5617" width="12.875" style="43" customWidth="1"/>
    <col min="5618" max="5619" width="7" style="43" customWidth="1"/>
    <col min="5620" max="5620" width="12.875" style="43" bestFit="1" customWidth="1"/>
    <col min="5621" max="5622" width="7" style="43" bestFit="1" customWidth="1"/>
    <col min="5623" max="5623" width="9.5" style="43" bestFit="1" customWidth="1"/>
    <col min="5624" max="5624" width="12.875" style="43" bestFit="1" customWidth="1"/>
    <col min="5625" max="5625" width="11.75" style="43" customWidth="1"/>
    <col min="5626" max="5627" width="7" style="43" customWidth="1"/>
    <col min="5628" max="5628" width="7.25" style="43" customWidth="1"/>
    <col min="5629" max="5630" width="11.75" style="43" customWidth="1"/>
    <col min="5631" max="5632" width="7" style="43" customWidth="1"/>
    <col min="5633" max="5633" width="7.25" style="43" customWidth="1"/>
    <col min="5634" max="5635" width="11.75" style="43" customWidth="1"/>
    <col min="5636" max="5637" width="7" style="43" customWidth="1"/>
    <col min="5638" max="5638" width="8.125" style="43" customWidth="1"/>
    <col min="5639" max="5640" width="11.75" style="43" customWidth="1"/>
    <col min="5641" max="5642" width="7" style="43" customWidth="1"/>
    <col min="5643" max="5643" width="7.25" style="43" customWidth="1"/>
    <col min="5644" max="5644" width="11.75" style="43" customWidth="1"/>
    <col min="5645" max="5645" width="12.875" style="43" bestFit="1" customWidth="1"/>
    <col min="5646" max="5647" width="7" style="43" bestFit="1" customWidth="1"/>
    <col min="5648" max="5648" width="9.5" style="43" bestFit="1" customWidth="1"/>
    <col min="5649" max="5649" width="12.875" style="43" bestFit="1" customWidth="1"/>
    <col min="5650" max="5650" width="11.75" style="43" customWidth="1"/>
    <col min="5651" max="5652" width="7" style="43" customWidth="1"/>
    <col min="5653" max="5653" width="7.25" style="43" customWidth="1"/>
    <col min="5654" max="5655" width="11.75" style="43" customWidth="1"/>
    <col min="5656" max="5657" width="7" style="43" customWidth="1"/>
    <col min="5658" max="5658" width="7.25" style="43" customWidth="1"/>
    <col min="5659" max="5660" width="11.75" style="43" customWidth="1"/>
    <col min="5661" max="5662" width="7" style="43" customWidth="1"/>
    <col min="5663" max="5663" width="7.25" style="43" customWidth="1"/>
    <col min="5664" max="5665" width="11.75" style="43" customWidth="1"/>
    <col min="5666" max="5667" width="7" style="43" customWidth="1"/>
    <col min="5668" max="5668" width="7.25" style="43" customWidth="1"/>
    <col min="5669" max="5669" width="11.75" style="43" customWidth="1"/>
    <col min="5670" max="5670" width="11.75" style="43" bestFit="1" customWidth="1"/>
    <col min="5671" max="5672" width="7" style="43" bestFit="1" customWidth="1"/>
    <col min="5673" max="5673" width="7.25" style="43" bestFit="1" customWidth="1"/>
    <col min="5674" max="5675" width="11.75" style="43" bestFit="1" customWidth="1"/>
    <col min="5676" max="5677" width="7" style="43" bestFit="1" customWidth="1"/>
    <col min="5678" max="5678" width="7.25" style="43" bestFit="1" customWidth="1"/>
    <col min="5679" max="5679" width="11.75" style="43" bestFit="1" customWidth="1"/>
    <col min="5680" max="5833" width="9" style="43"/>
    <col min="5834" max="5836" width="3.125" style="43" customWidth="1"/>
    <col min="5837" max="5837" width="16.375" style="43" bestFit="1" customWidth="1"/>
    <col min="5838" max="5838" width="5" style="43" bestFit="1" customWidth="1"/>
    <col min="5839" max="5840" width="9" style="43" bestFit="1" customWidth="1"/>
    <col min="5841" max="5841" width="12.875" style="43" bestFit="1" customWidth="1"/>
    <col min="5842" max="5842" width="8.125" style="43" bestFit="1" customWidth="1"/>
    <col min="5843" max="5843" width="12.875" style="43" bestFit="1" customWidth="1"/>
    <col min="5844" max="5844" width="9.5" style="43" bestFit="1" customWidth="1"/>
    <col min="5845" max="5846" width="12.875" style="43" bestFit="1" customWidth="1"/>
    <col min="5847" max="5847" width="8.125" style="43" bestFit="1" customWidth="1"/>
    <col min="5848" max="5848" width="12.875" style="43" bestFit="1" customWidth="1"/>
    <col min="5849" max="5849" width="7" style="43" bestFit="1" customWidth="1"/>
    <col min="5850" max="5850" width="10.125" style="43" bestFit="1" customWidth="1"/>
    <col min="5851" max="5851" width="10.125" style="43" customWidth="1"/>
    <col min="5852" max="5852" width="7" style="43" customWidth="1"/>
    <col min="5853" max="5853" width="10.125" style="43" customWidth="1"/>
    <col min="5854" max="5855" width="7" style="43" customWidth="1"/>
    <col min="5856" max="5856" width="11.75" style="43" customWidth="1"/>
    <col min="5857" max="5857" width="8.125" style="43" customWidth="1"/>
    <col min="5858" max="5858" width="11.75" style="43" customWidth="1"/>
    <col min="5859" max="5860" width="7" style="43" customWidth="1"/>
    <col min="5861" max="5861" width="5.25" style="43" customWidth="1"/>
    <col min="5862" max="5865" width="7" style="43" customWidth="1"/>
    <col min="5866" max="5866" width="12.875" style="43" customWidth="1"/>
    <col min="5867" max="5867" width="8.125" style="43" customWidth="1"/>
    <col min="5868" max="5868" width="12.875" style="43" customWidth="1"/>
    <col min="5869" max="5870" width="7" style="43" customWidth="1"/>
    <col min="5871" max="5871" width="12.875" style="43" customWidth="1"/>
    <col min="5872" max="5872" width="8.125" style="43" customWidth="1"/>
    <col min="5873" max="5873" width="12.875" style="43" customWidth="1"/>
    <col min="5874" max="5875" width="7" style="43" customWidth="1"/>
    <col min="5876" max="5876" width="12.875" style="43" bestFit="1" customWidth="1"/>
    <col min="5877" max="5878" width="7" style="43" bestFit="1" customWidth="1"/>
    <col min="5879" max="5879" width="9.5" style="43" bestFit="1" customWidth="1"/>
    <col min="5880" max="5880" width="12.875" style="43" bestFit="1" customWidth="1"/>
    <col min="5881" max="5881" width="11.75" style="43" customWidth="1"/>
    <col min="5882" max="5883" width="7" style="43" customWidth="1"/>
    <col min="5884" max="5884" width="7.25" style="43" customWidth="1"/>
    <col min="5885" max="5886" width="11.75" style="43" customWidth="1"/>
    <col min="5887" max="5888" width="7" style="43" customWidth="1"/>
    <col min="5889" max="5889" width="7.25" style="43" customWidth="1"/>
    <col min="5890" max="5891" width="11.75" style="43" customWidth="1"/>
    <col min="5892" max="5893" width="7" style="43" customWidth="1"/>
    <col min="5894" max="5894" width="8.125" style="43" customWidth="1"/>
    <col min="5895" max="5896" width="11.75" style="43" customWidth="1"/>
    <col min="5897" max="5898" width="7" style="43" customWidth="1"/>
    <col min="5899" max="5899" width="7.25" style="43" customWidth="1"/>
    <col min="5900" max="5900" width="11.75" style="43" customWidth="1"/>
    <col min="5901" max="5901" width="12.875" style="43" bestFit="1" customWidth="1"/>
    <col min="5902" max="5903" width="7" style="43" bestFit="1" customWidth="1"/>
    <col min="5904" max="5904" width="9.5" style="43" bestFit="1" customWidth="1"/>
    <col min="5905" max="5905" width="12.875" style="43" bestFit="1" customWidth="1"/>
    <col min="5906" max="5906" width="11.75" style="43" customWidth="1"/>
    <col min="5907" max="5908" width="7" style="43" customWidth="1"/>
    <col min="5909" max="5909" width="7.25" style="43" customWidth="1"/>
    <col min="5910" max="5911" width="11.75" style="43" customWidth="1"/>
    <col min="5912" max="5913" width="7" style="43" customWidth="1"/>
    <col min="5914" max="5914" width="7.25" style="43" customWidth="1"/>
    <col min="5915" max="5916" width="11.75" style="43" customWidth="1"/>
    <col min="5917" max="5918" width="7" style="43" customWidth="1"/>
    <col min="5919" max="5919" width="7.25" style="43" customWidth="1"/>
    <col min="5920" max="5921" width="11.75" style="43" customWidth="1"/>
    <col min="5922" max="5923" width="7" style="43" customWidth="1"/>
    <col min="5924" max="5924" width="7.25" style="43" customWidth="1"/>
    <col min="5925" max="5925" width="11.75" style="43" customWidth="1"/>
    <col min="5926" max="5926" width="11.75" style="43" bestFit="1" customWidth="1"/>
    <col min="5927" max="5928" width="7" style="43" bestFit="1" customWidth="1"/>
    <col min="5929" max="5929" width="7.25" style="43" bestFit="1" customWidth="1"/>
    <col min="5930" max="5931" width="11.75" style="43" bestFit="1" customWidth="1"/>
    <col min="5932" max="5933" width="7" style="43" bestFit="1" customWidth="1"/>
    <col min="5934" max="5934" width="7.25" style="43" bestFit="1" customWidth="1"/>
    <col min="5935" max="5935" width="11.75" style="43" bestFit="1" customWidth="1"/>
    <col min="5936" max="6089" width="9" style="43"/>
    <col min="6090" max="6092" width="3.125" style="43" customWidth="1"/>
    <col min="6093" max="6093" width="16.375" style="43" bestFit="1" customWidth="1"/>
    <col min="6094" max="6094" width="5" style="43" bestFit="1" customWidth="1"/>
    <col min="6095" max="6096" width="9" style="43" bestFit="1" customWidth="1"/>
    <col min="6097" max="6097" width="12.875" style="43" bestFit="1" customWidth="1"/>
    <col min="6098" max="6098" width="8.125" style="43" bestFit="1" customWidth="1"/>
    <col min="6099" max="6099" width="12.875" style="43" bestFit="1" customWidth="1"/>
    <col min="6100" max="6100" width="9.5" style="43" bestFit="1" customWidth="1"/>
    <col min="6101" max="6102" width="12.875" style="43" bestFit="1" customWidth="1"/>
    <col min="6103" max="6103" width="8.125" style="43" bestFit="1" customWidth="1"/>
    <col min="6104" max="6104" width="12.875" style="43" bestFit="1" customWidth="1"/>
    <col min="6105" max="6105" width="7" style="43" bestFit="1" customWidth="1"/>
    <col min="6106" max="6106" width="10.125" style="43" bestFit="1" customWidth="1"/>
    <col min="6107" max="6107" width="10.125" style="43" customWidth="1"/>
    <col min="6108" max="6108" width="7" style="43" customWidth="1"/>
    <col min="6109" max="6109" width="10.125" style="43" customWidth="1"/>
    <col min="6110" max="6111" width="7" style="43" customWidth="1"/>
    <col min="6112" max="6112" width="11.75" style="43" customWidth="1"/>
    <col min="6113" max="6113" width="8.125" style="43" customWidth="1"/>
    <col min="6114" max="6114" width="11.75" style="43" customWidth="1"/>
    <col min="6115" max="6116" width="7" style="43" customWidth="1"/>
    <col min="6117" max="6117" width="5.25" style="43" customWidth="1"/>
    <col min="6118" max="6121" width="7" style="43" customWidth="1"/>
    <col min="6122" max="6122" width="12.875" style="43" customWidth="1"/>
    <col min="6123" max="6123" width="8.125" style="43" customWidth="1"/>
    <col min="6124" max="6124" width="12.875" style="43" customWidth="1"/>
    <col min="6125" max="6126" width="7" style="43" customWidth="1"/>
    <col min="6127" max="6127" width="12.875" style="43" customWidth="1"/>
    <col min="6128" max="6128" width="8.125" style="43" customWidth="1"/>
    <col min="6129" max="6129" width="12.875" style="43" customWidth="1"/>
    <col min="6130" max="6131" width="7" style="43" customWidth="1"/>
    <col min="6132" max="6132" width="12.875" style="43" bestFit="1" customWidth="1"/>
    <col min="6133" max="6134" width="7" style="43" bestFit="1" customWidth="1"/>
    <col min="6135" max="6135" width="9.5" style="43" bestFit="1" customWidth="1"/>
    <col min="6136" max="6136" width="12.875" style="43" bestFit="1" customWidth="1"/>
    <col min="6137" max="6137" width="11.75" style="43" customWidth="1"/>
    <col min="6138" max="6139" width="7" style="43" customWidth="1"/>
    <col min="6140" max="6140" width="7.25" style="43" customWidth="1"/>
    <col min="6141" max="6142" width="11.75" style="43" customWidth="1"/>
    <col min="6143" max="6144" width="7" style="43" customWidth="1"/>
    <col min="6145" max="6145" width="7.25" style="43" customWidth="1"/>
    <col min="6146" max="6147" width="11.75" style="43" customWidth="1"/>
    <col min="6148" max="6149" width="7" style="43" customWidth="1"/>
    <col min="6150" max="6150" width="8.125" style="43" customWidth="1"/>
    <col min="6151" max="6152" width="11.75" style="43" customWidth="1"/>
    <col min="6153" max="6154" width="7" style="43" customWidth="1"/>
    <col min="6155" max="6155" width="7.25" style="43" customWidth="1"/>
    <col min="6156" max="6156" width="11.75" style="43" customWidth="1"/>
    <col min="6157" max="6157" width="12.875" style="43" bestFit="1" customWidth="1"/>
    <col min="6158" max="6159" width="7" style="43" bestFit="1" customWidth="1"/>
    <col min="6160" max="6160" width="9.5" style="43" bestFit="1" customWidth="1"/>
    <col min="6161" max="6161" width="12.875" style="43" bestFit="1" customWidth="1"/>
    <col min="6162" max="6162" width="11.75" style="43" customWidth="1"/>
    <col min="6163" max="6164" width="7" style="43" customWidth="1"/>
    <col min="6165" max="6165" width="7.25" style="43" customWidth="1"/>
    <col min="6166" max="6167" width="11.75" style="43" customWidth="1"/>
    <col min="6168" max="6169" width="7" style="43" customWidth="1"/>
    <col min="6170" max="6170" width="7.25" style="43" customWidth="1"/>
    <col min="6171" max="6172" width="11.75" style="43" customWidth="1"/>
    <col min="6173" max="6174" width="7" style="43" customWidth="1"/>
    <col min="6175" max="6175" width="7.25" style="43" customWidth="1"/>
    <col min="6176" max="6177" width="11.75" style="43" customWidth="1"/>
    <col min="6178" max="6179" width="7" style="43" customWidth="1"/>
    <col min="6180" max="6180" width="7.25" style="43" customWidth="1"/>
    <col min="6181" max="6181" width="11.75" style="43" customWidth="1"/>
    <col min="6182" max="6182" width="11.75" style="43" bestFit="1" customWidth="1"/>
    <col min="6183" max="6184" width="7" style="43" bestFit="1" customWidth="1"/>
    <col min="6185" max="6185" width="7.25" style="43" bestFit="1" customWidth="1"/>
    <col min="6186" max="6187" width="11.75" style="43" bestFit="1" customWidth="1"/>
    <col min="6188" max="6189" width="7" style="43" bestFit="1" customWidth="1"/>
    <col min="6190" max="6190" width="7.25" style="43" bestFit="1" customWidth="1"/>
    <col min="6191" max="6191" width="11.75" style="43" bestFit="1" customWidth="1"/>
    <col min="6192" max="6345" width="9" style="43"/>
    <col min="6346" max="6348" width="3.125" style="43" customWidth="1"/>
    <col min="6349" max="6349" width="16.375" style="43" bestFit="1" customWidth="1"/>
    <col min="6350" max="6350" width="5" style="43" bestFit="1" customWidth="1"/>
    <col min="6351" max="6352" width="9" style="43" bestFit="1" customWidth="1"/>
    <col min="6353" max="6353" width="12.875" style="43" bestFit="1" customWidth="1"/>
    <col min="6354" max="6354" width="8.125" style="43" bestFit="1" customWidth="1"/>
    <col min="6355" max="6355" width="12.875" style="43" bestFit="1" customWidth="1"/>
    <col min="6356" max="6356" width="9.5" style="43" bestFit="1" customWidth="1"/>
    <col min="6357" max="6358" width="12.875" style="43" bestFit="1" customWidth="1"/>
    <col min="6359" max="6359" width="8.125" style="43" bestFit="1" customWidth="1"/>
    <col min="6360" max="6360" width="12.875" style="43" bestFit="1" customWidth="1"/>
    <col min="6361" max="6361" width="7" style="43" bestFit="1" customWidth="1"/>
    <col min="6362" max="6362" width="10.125" style="43" bestFit="1" customWidth="1"/>
    <col min="6363" max="6363" width="10.125" style="43" customWidth="1"/>
    <col min="6364" max="6364" width="7" style="43" customWidth="1"/>
    <col min="6365" max="6365" width="10.125" style="43" customWidth="1"/>
    <col min="6366" max="6367" width="7" style="43" customWidth="1"/>
    <col min="6368" max="6368" width="11.75" style="43" customWidth="1"/>
    <col min="6369" max="6369" width="8.125" style="43" customWidth="1"/>
    <col min="6370" max="6370" width="11.75" style="43" customWidth="1"/>
    <col min="6371" max="6372" width="7" style="43" customWidth="1"/>
    <col min="6373" max="6373" width="5.25" style="43" customWidth="1"/>
    <col min="6374" max="6377" width="7" style="43" customWidth="1"/>
    <col min="6378" max="6378" width="12.875" style="43" customWidth="1"/>
    <col min="6379" max="6379" width="8.125" style="43" customWidth="1"/>
    <col min="6380" max="6380" width="12.875" style="43" customWidth="1"/>
    <col min="6381" max="6382" width="7" style="43" customWidth="1"/>
    <col min="6383" max="6383" width="12.875" style="43" customWidth="1"/>
    <col min="6384" max="6384" width="8.125" style="43" customWidth="1"/>
    <col min="6385" max="6385" width="12.875" style="43" customWidth="1"/>
    <col min="6386" max="6387" width="7" style="43" customWidth="1"/>
    <col min="6388" max="6388" width="12.875" style="43" bestFit="1" customWidth="1"/>
    <col min="6389" max="6390" width="7" style="43" bestFit="1" customWidth="1"/>
    <col min="6391" max="6391" width="9.5" style="43" bestFit="1" customWidth="1"/>
    <col min="6392" max="6392" width="12.875" style="43" bestFit="1" customWidth="1"/>
    <col min="6393" max="6393" width="11.75" style="43" customWidth="1"/>
    <col min="6394" max="6395" width="7" style="43" customWidth="1"/>
    <col min="6396" max="6396" width="7.25" style="43" customWidth="1"/>
    <col min="6397" max="6398" width="11.75" style="43" customWidth="1"/>
    <col min="6399" max="6400" width="7" style="43" customWidth="1"/>
    <col min="6401" max="6401" width="7.25" style="43" customWidth="1"/>
    <col min="6402" max="6403" width="11.75" style="43" customWidth="1"/>
    <col min="6404" max="6405" width="7" style="43" customWidth="1"/>
    <col min="6406" max="6406" width="8.125" style="43" customWidth="1"/>
    <col min="6407" max="6408" width="11.75" style="43" customWidth="1"/>
    <col min="6409" max="6410" width="7" style="43" customWidth="1"/>
    <col min="6411" max="6411" width="7.25" style="43" customWidth="1"/>
    <col min="6412" max="6412" width="11.75" style="43" customWidth="1"/>
    <col min="6413" max="6413" width="12.875" style="43" bestFit="1" customWidth="1"/>
    <col min="6414" max="6415" width="7" style="43" bestFit="1" customWidth="1"/>
    <col min="6416" max="6416" width="9.5" style="43" bestFit="1" customWidth="1"/>
    <col min="6417" max="6417" width="12.875" style="43" bestFit="1" customWidth="1"/>
    <col min="6418" max="6418" width="11.75" style="43" customWidth="1"/>
    <col min="6419" max="6420" width="7" style="43" customWidth="1"/>
    <col min="6421" max="6421" width="7.25" style="43" customWidth="1"/>
    <col min="6422" max="6423" width="11.75" style="43" customWidth="1"/>
    <col min="6424" max="6425" width="7" style="43" customWidth="1"/>
    <col min="6426" max="6426" width="7.25" style="43" customWidth="1"/>
    <col min="6427" max="6428" width="11.75" style="43" customWidth="1"/>
    <col min="6429" max="6430" width="7" style="43" customWidth="1"/>
    <col min="6431" max="6431" width="7.25" style="43" customWidth="1"/>
    <col min="6432" max="6433" width="11.75" style="43" customWidth="1"/>
    <col min="6434" max="6435" width="7" style="43" customWidth="1"/>
    <col min="6436" max="6436" width="7.25" style="43" customWidth="1"/>
    <col min="6437" max="6437" width="11.75" style="43" customWidth="1"/>
    <col min="6438" max="6438" width="11.75" style="43" bestFit="1" customWidth="1"/>
    <col min="6439" max="6440" width="7" style="43" bestFit="1" customWidth="1"/>
    <col min="6441" max="6441" width="7.25" style="43" bestFit="1" customWidth="1"/>
    <col min="6442" max="6443" width="11.75" style="43" bestFit="1" customWidth="1"/>
    <col min="6444" max="6445" width="7" style="43" bestFit="1" customWidth="1"/>
    <col min="6446" max="6446" width="7.25" style="43" bestFit="1" customWidth="1"/>
    <col min="6447" max="6447" width="11.75" style="43" bestFit="1" customWidth="1"/>
    <col min="6448" max="6601" width="9" style="43"/>
    <col min="6602" max="6604" width="3.125" style="43" customWidth="1"/>
    <col min="6605" max="6605" width="16.375" style="43" bestFit="1" customWidth="1"/>
    <col min="6606" max="6606" width="5" style="43" bestFit="1" customWidth="1"/>
    <col min="6607" max="6608" width="9" style="43" bestFit="1" customWidth="1"/>
    <col min="6609" max="6609" width="12.875" style="43" bestFit="1" customWidth="1"/>
    <col min="6610" max="6610" width="8.125" style="43" bestFit="1" customWidth="1"/>
    <col min="6611" max="6611" width="12.875" style="43" bestFit="1" customWidth="1"/>
    <col min="6612" max="6612" width="9.5" style="43" bestFit="1" customWidth="1"/>
    <col min="6613" max="6614" width="12.875" style="43" bestFit="1" customWidth="1"/>
    <col min="6615" max="6615" width="8.125" style="43" bestFit="1" customWidth="1"/>
    <col min="6616" max="6616" width="12.875" style="43" bestFit="1" customWidth="1"/>
    <col min="6617" max="6617" width="7" style="43" bestFit="1" customWidth="1"/>
    <col min="6618" max="6618" width="10.125" style="43" bestFit="1" customWidth="1"/>
    <col min="6619" max="6619" width="10.125" style="43" customWidth="1"/>
    <col min="6620" max="6620" width="7" style="43" customWidth="1"/>
    <col min="6621" max="6621" width="10.125" style="43" customWidth="1"/>
    <col min="6622" max="6623" width="7" style="43" customWidth="1"/>
    <col min="6624" max="6624" width="11.75" style="43" customWidth="1"/>
    <col min="6625" max="6625" width="8.125" style="43" customWidth="1"/>
    <col min="6626" max="6626" width="11.75" style="43" customWidth="1"/>
    <col min="6627" max="6628" width="7" style="43" customWidth="1"/>
    <col min="6629" max="6629" width="5.25" style="43" customWidth="1"/>
    <col min="6630" max="6633" width="7" style="43" customWidth="1"/>
    <col min="6634" max="6634" width="12.875" style="43" customWidth="1"/>
    <col min="6635" max="6635" width="8.125" style="43" customWidth="1"/>
    <col min="6636" max="6636" width="12.875" style="43" customWidth="1"/>
    <col min="6637" max="6638" width="7" style="43" customWidth="1"/>
    <col min="6639" max="6639" width="12.875" style="43" customWidth="1"/>
    <col min="6640" max="6640" width="8.125" style="43" customWidth="1"/>
    <col min="6641" max="6641" width="12.875" style="43" customWidth="1"/>
    <col min="6642" max="6643" width="7" style="43" customWidth="1"/>
    <col min="6644" max="6644" width="12.875" style="43" bestFit="1" customWidth="1"/>
    <col min="6645" max="6646" width="7" style="43" bestFit="1" customWidth="1"/>
    <col min="6647" max="6647" width="9.5" style="43" bestFit="1" customWidth="1"/>
    <col min="6648" max="6648" width="12.875" style="43" bestFit="1" customWidth="1"/>
    <col min="6649" max="6649" width="11.75" style="43" customWidth="1"/>
    <col min="6650" max="6651" width="7" style="43" customWidth="1"/>
    <col min="6652" max="6652" width="7.25" style="43" customWidth="1"/>
    <col min="6653" max="6654" width="11.75" style="43" customWidth="1"/>
    <col min="6655" max="6656" width="7" style="43" customWidth="1"/>
    <col min="6657" max="6657" width="7.25" style="43" customWidth="1"/>
    <col min="6658" max="6659" width="11.75" style="43" customWidth="1"/>
    <col min="6660" max="6661" width="7" style="43" customWidth="1"/>
    <col min="6662" max="6662" width="8.125" style="43" customWidth="1"/>
    <col min="6663" max="6664" width="11.75" style="43" customWidth="1"/>
    <col min="6665" max="6666" width="7" style="43" customWidth="1"/>
    <col min="6667" max="6667" width="7.25" style="43" customWidth="1"/>
    <col min="6668" max="6668" width="11.75" style="43" customWidth="1"/>
    <col min="6669" max="6669" width="12.875" style="43" bestFit="1" customWidth="1"/>
    <col min="6670" max="6671" width="7" style="43" bestFit="1" customWidth="1"/>
    <col min="6672" max="6672" width="9.5" style="43" bestFit="1" customWidth="1"/>
    <col min="6673" max="6673" width="12.875" style="43" bestFit="1" customWidth="1"/>
    <col min="6674" max="6674" width="11.75" style="43" customWidth="1"/>
    <col min="6675" max="6676" width="7" style="43" customWidth="1"/>
    <col min="6677" max="6677" width="7.25" style="43" customWidth="1"/>
    <col min="6678" max="6679" width="11.75" style="43" customWidth="1"/>
    <col min="6680" max="6681" width="7" style="43" customWidth="1"/>
    <col min="6682" max="6682" width="7.25" style="43" customWidth="1"/>
    <col min="6683" max="6684" width="11.75" style="43" customWidth="1"/>
    <col min="6685" max="6686" width="7" style="43" customWidth="1"/>
    <col min="6687" max="6687" width="7.25" style="43" customWidth="1"/>
    <col min="6688" max="6689" width="11.75" style="43" customWidth="1"/>
    <col min="6690" max="6691" width="7" style="43" customWidth="1"/>
    <col min="6692" max="6692" width="7.25" style="43" customWidth="1"/>
    <col min="6693" max="6693" width="11.75" style="43" customWidth="1"/>
    <col min="6694" max="6694" width="11.75" style="43" bestFit="1" customWidth="1"/>
    <col min="6695" max="6696" width="7" style="43" bestFit="1" customWidth="1"/>
    <col min="6697" max="6697" width="7.25" style="43" bestFit="1" customWidth="1"/>
    <col min="6698" max="6699" width="11.75" style="43" bestFit="1" customWidth="1"/>
    <col min="6700" max="6701" width="7" style="43" bestFit="1" customWidth="1"/>
    <col min="6702" max="6702" width="7.25" style="43" bestFit="1" customWidth="1"/>
    <col min="6703" max="6703" width="11.75" style="43" bestFit="1" customWidth="1"/>
    <col min="6704" max="6857" width="9" style="43"/>
    <col min="6858" max="6860" width="3.125" style="43" customWidth="1"/>
    <col min="6861" max="6861" width="16.375" style="43" bestFit="1" customWidth="1"/>
    <col min="6862" max="6862" width="5" style="43" bestFit="1" customWidth="1"/>
    <col min="6863" max="6864" width="9" style="43" bestFit="1" customWidth="1"/>
    <col min="6865" max="6865" width="12.875" style="43" bestFit="1" customWidth="1"/>
    <col min="6866" max="6866" width="8.125" style="43" bestFit="1" customWidth="1"/>
    <col min="6867" max="6867" width="12.875" style="43" bestFit="1" customWidth="1"/>
    <col min="6868" max="6868" width="9.5" style="43" bestFit="1" customWidth="1"/>
    <col min="6869" max="6870" width="12.875" style="43" bestFit="1" customWidth="1"/>
    <col min="6871" max="6871" width="8.125" style="43" bestFit="1" customWidth="1"/>
    <col min="6872" max="6872" width="12.875" style="43" bestFit="1" customWidth="1"/>
    <col min="6873" max="6873" width="7" style="43" bestFit="1" customWidth="1"/>
    <col min="6874" max="6874" width="10.125" style="43" bestFit="1" customWidth="1"/>
    <col min="6875" max="6875" width="10.125" style="43" customWidth="1"/>
    <col min="6876" max="6876" width="7" style="43" customWidth="1"/>
    <col min="6877" max="6877" width="10.125" style="43" customWidth="1"/>
    <col min="6878" max="6879" width="7" style="43" customWidth="1"/>
    <col min="6880" max="6880" width="11.75" style="43" customWidth="1"/>
    <col min="6881" max="6881" width="8.125" style="43" customWidth="1"/>
    <col min="6882" max="6882" width="11.75" style="43" customWidth="1"/>
    <col min="6883" max="6884" width="7" style="43" customWidth="1"/>
    <col min="6885" max="6885" width="5.25" style="43" customWidth="1"/>
    <col min="6886" max="6889" width="7" style="43" customWidth="1"/>
    <col min="6890" max="6890" width="12.875" style="43" customWidth="1"/>
    <col min="6891" max="6891" width="8.125" style="43" customWidth="1"/>
    <col min="6892" max="6892" width="12.875" style="43" customWidth="1"/>
    <col min="6893" max="6894" width="7" style="43" customWidth="1"/>
    <col min="6895" max="6895" width="12.875" style="43" customWidth="1"/>
    <col min="6896" max="6896" width="8.125" style="43" customWidth="1"/>
    <col min="6897" max="6897" width="12.875" style="43" customWidth="1"/>
    <col min="6898" max="6899" width="7" style="43" customWidth="1"/>
    <col min="6900" max="6900" width="12.875" style="43" bestFit="1" customWidth="1"/>
    <col min="6901" max="6902" width="7" style="43" bestFit="1" customWidth="1"/>
    <col min="6903" max="6903" width="9.5" style="43" bestFit="1" customWidth="1"/>
    <col min="6904" max="6904" width="12.875" style="43" bestFit="1" customWidth="1"/>
    <col min="6905" max="6905" width="11.75" style="43" customWidth="1"/>
    <col min="6906" max="6907" width="7" style="43" customWidth="1"/>
    <col min="6908" max="6908" width="7.25" style="43" customWidth="1"/>
    <col min="6909" max="6910" width="11.75" style="43" customWidth="1"/>
    <col min="6911" max="6912" width="7" style="43" customWidth="1"/>
    <col min="6913" max="6913" width="7.25" style="43" customWidth="1"/>
    <col min="6914" max="6915" width="11.75" style="43" customWidth="1"/>
    <col min="6916" max="6917" width="7" style="43" customWidth="1"/>
    <col min="6918" max="6918" width="8.125" style="43" customWidth="1"/>
    <col min="6919" max="6920" width="11.75" style="43" customWidth="1"/>
    <col min="6921" max="6922" width="7" style="43" customWidth="1"/>
    <col min="6923" max="6923" width="7.25" style="43" customWidth="1"/>
    <col min="6924" max="6924" width="11.75" style="43" customWidth="1"/>
    <col min="6925" max="6925" width="12.875" style="43" bestFit="1" customWidth="1"/>
    <col min="6926" max="6927" width="7" style="43" bestFit="1" customWidth="1"/>
    <col min="6928" max="6928" width="9.5" style="43" bestFit="1" customWidth="1"/>
    <col min="6929" max="6929" width="12.875" style="43" bestFit="1" customWidth="1"/>
    <col min="6930" max="6930" width="11.75" style="43" customWidth="1"/>
    <col min="6931" max="6932" width="7" style="43" customWidth="1"/>
    <col min="6933" max="6933" width="7.25" style="43" customWidth="1"/>
    <col min="6934" max="6935" width="11.75" style="43" customWidth="1"/>
    <col min="6936" max="6937" width="7" style="43" customWidth="1"/>
    <col min="6938" max="6938" width="7.25" style="43" customWidth="1"/>
    <col min="6939" max="6940" width="11.75" style="43" customWidth="1"/>
    <col min="6941" max="6942" width="7" style="43" customWidth="1"/>
    <col min="6943" max="6943" width="7.25" style="43" customWidth="1"/>
    <col min="6944" max="6945" width="11.75" style="43" customWidth="1"/>
    <col min="6946" max="6947" width="7" style="43" customWidth="1"/>
    <col min="6948" max="6948" width="7.25" style="43" customWidth="1"/>
    <col min="6949" max="6949" width="11.75" style="43" customWidth="1"/>
    <col min="6950" max="6950" width="11.75" style="43" bestFit="1" customWidth="1"/>
    <col min="6951" max="6952" width="7" style="43" bestFit="1" customWidth="1"/>
    <col min="6953" max="6953" width="7.25" style="43" bestFit="1" customWidth="1"/>
    <col min="6954" max="6955" width="11.75" style="43" bestFit="1" customWidth="1"/>
    <col min="6956" max="6957" width="7" style="43" bestFit="1" customWidth="1"/>
    <col min="6958" max="6958" width="7.25" style="43" bestFit="1" customWidth="1"/>
    <col min="6959" max="6959" width="11.75" style="43" bestFit="1" customWidth="1"/>
    <col min="6960" max="7113" width="9" style="43"/>
    <col min="7114" max="7116" width="3.125" style="43" customWidth="1"/>
    <col min="7117" max="7117" width="16.375" style="43" bestFit="1" customWidth="1"/>
    <col min="7118" max="7118" width="5" style="43" bestFit="1" customWidth="1"/>
    <col min="7119" max="7120" width="9" style="43" bestFit="1" customWidth="1"/>
    <col min="7121" max="7121" width="12.875" style="43" bestFit="1" customWidth="1"/>
    <col min="7122" max="7122" width="8.125" style="43" bestFit="1" customWidth="1"/>
    <col min="7123" max="7123" width="12.875" style="43" bestFit="1" customWidth="1"/>
    <col min="7124" max="7124" width="9.5" style="43" bestFit="1" customWidth="1"/>
    <col min="7125" max="7126" width="12.875" style="43" bestFit="1" customWidth="1"/>
    <col min="7127" max="7127" width="8.125" style="43" bestFit="1" customWidth="1"/>
    <col min="7128" max="7128" width="12.875" style="43" bestFit="1" customWidth="1"/>
    <col min="7129" max="7129" width="7" style="43" bestFit="1" customWidth="1"/>
    <col min="7130" max="7130" width="10.125" style="43" bestFit="1" customWidth="1"/>
    <col min="7131" max="7131" width="10.125" style="43" customWidth="1"/>
    <col min="7132" max="7132" width="7" style="43" customWidth="1"/>
    <col min="7133" max="7133" width="10.125" style="43" customWidth="1"/>
    <col min="7134" max="7135" width="7" style="43" customWidth="1"/>
    <col min="7136" max="7136" width="11.75" style="43" customWidth="1"/>
    <col min="7137" max="7137" width="8.125" style="43" customWidth="1"/>
    <col min="7138" max="7138" width="11.75" style="43" customWidth="1"/>
    <col min="7139" max="7140" width="7" style="43" customWidth="1"/>
    <col min="7141" max="7141" width="5.25" style="43" customWidth="1"/>
    <col min="7142" max="7145" width="7" style="43" customWidth="1"/>
    <col min="7146" max="7146" width="12.875" style="43" customWidth="1"/>
    <col min="7147" max="7147" width="8.125" style="43" customWidth="1"/>
    <col min="7148" max="7148" width="12.875" style="43" customWidth="1"/>
    <col min="7149" max="7150" width="7" style="43" customWidth="1"/>
    <col min="7151" max="7151" width="12.875" style="43" customWidth="1"/>
    <col min="7152" max="7152" width="8.125" style="43" customWidth="1"/>
    <col min="7153" max="7153" width="12.875" style="43" customWidth="1"/>
    <col min="7154" max="7155" width="7" style="43" customWidth="1"/>
    <col min="7156" max="7156" width="12.875" style="43" bestFit="1" customWidth="1"/>
    <col min="7157" max="7158" width="7" style="43" bestFit="1" customWidth="1"/>
    <col min="7159" max="7159" width="9.5" style="43" bestFit="1" customWidth="1"/>
    <col min="7160" max="7160" width="12.875" style="43" bestFit="1" customWidth="1"/>
    <col min="7161" max="7161" width="11.75" style="43" customWidth="1"/>
    <col min="7162" max="7163" width="7" style="43" customWidth="1"/>
    <col min="7164" max="7164" width="7.25" style="43" customWidth="1"/>
    <col min="7165" max="7166" width="11.75" style="43" customWidth="1"/>
    <col min="7167" max="7168" width="7" style="43" customWidth="1"/>
    <col min="7169" max="7169" width="7.25" style="43" customWidth="1"/>
    <col min="7170" max="7171" width="11.75" style="43" customWidth="1"/>
    <col min="7172" max="7173" width="7" style="43" customWidth="1"/>
    <col min="7174" max="7174" width="8.125" style="43" customWidth="1"/>
    <col min="7175" max="7176" width="11.75" style="43" customWidth="1"/>
    <col min="7177" max="7178" width="7" style="43" customWidth="1"/>
    <col min="7179" max="7179" width="7.25" style="43" customWidth="1"/>
    <col min="7180" max="7180" width="11.75" style="43" customWidth="1"/>
    <col min="7181" max="7181" width="12.875" style="43" bestFit="1" customWidth="1"/>
    <col min="7182" max="7183" width="7" style="43" bestFit="1" customWidth="1"/>
    <col min="7184" max="7184" width="9.5" style="43" bestFit="1" customWidth="1"/>
    <col min="7185" max="7185" width="12.875" style="43" bestFit="1" customWidth="1"/>
    <col min="7186" max="7186" width="11.75" style="43" customWidth="1"/>
    <col min="7187" max="7188" width="7" style="43" customWidth="1"/>
    <col min="7189" max="7189" width="7.25" style="43" customWidth="1"/>
    <col min="7190" max="7191" width="11.75" style="43" customWidth="1"/>
    <col min="7192" max="7193" width="7" style="43" customWidth="1"/>
    <col min="7194" max="7194" width="7.25" style="43" customWidth="1"/>
    <col min="7195" max="7196" width="11.75" style="43" customWidth="1"/>
    <col min="7197" max="7198" width="7" style="43" customWidth="1"/>
    <col min="7199" max="7199" width="7.25" style="43" customWidth="1"/>
    <col min="7200" max="7201" width="11.75" style="43" customWidth="1"/>
    <col min="7202" max="7203" width="7" style="43" customWidth="1"/>
    <col min="7204" max="7204" width="7.25" style="43" customWidth="1"/>
    <col min="7205" max="7205" width="11.75" style="43" customWidth="1"/>
    <col min="7206" max="7206" width="11.75" style="43" bestFit="1" customWidth="1"/>
    <col min="7207" max="7208" width="7" style="43" bestFit="1" customWidth="1"/>
    <col min="7209" max="7209" width="7.25" style="43" bestFit="1" customWidth="1"/>
    <col min="7210" max="7211" width="11.75" style="43" bestFit="1" customWidth="1"/>
    <col min="7212" max="7213" width="7" style="43" bestFit="1" customWidth="1"/>
    <col min="7214" max="7214" width="7.25" style="43" bestFit="1" customWidth="1"/>
    <col min="7215" max="7215" width="11.75" style="43" bestFit="1" customWidth="1"/>
    <col min="7216" max="7369" width="9" style="43"/>
    <col min="7370" max="7372" width="3.125" style="43" customWidth="1"/>
    <col min="7373" max="7373" width="16.375" style="43" bestFit="1" customWidth="1"/>
    <col min="7374" max="7374" width="5" style="43" bestFit="1" customWidth="1"/>
    <col min="7375" max="7376" width="9" style="43" bestFit="1" customWidth="1"/>
    <col min="7377" max="7377" width="12.875" style="43" bestFit="1" customWidth="1"/>
    <col min="7378" max="7378" width="8.125" style="43" bestFit="1" customWidth="1"/>
    <col min="7379" max="7379" width="12.875" style="43" bestFit="1" customWidth="1"/>
    <col min="7380" max="7380" width="9.5" style="43" bestFit="1" customWidth="1"/>
    <col min="7381" max="7382" width="12.875" style="43" bestFit="1" customWidth="1"/>
    <col min="7383" max="7383" width="8.125" style="43" bestFit="1" customWidth="1"/>
    <col min="7384" max="7384" width="12.875" style="43" bestFit="1" customWidth="1"/>
    <col min="7385" max="7385" width="7" style="43" bestFit="1" customWidth="1"/>
    <col min="7386" max="7386" width="10.125" style="43" bestFit="1" customWidth="1"/>
    <col min="7387" max="7387" width="10.125" style="43" customWidth="1"/>
    <col min="7388" max="7388" width="7" style="43" customWidth="1"/>
    <col min="7389" max="7389" width="10.125" style="43" customWidth="1"/>
    <col min="7390" max="7391" width="7" style="43" customWidth="1"/>
    <col min="7392" max="7392" width="11.75" style="43" customWidth="1"/>
    <col min="7393" max="7393" width="8.125" style="43" customWidth="1"/>
    <col min="7394" max="7394" width="11.75" style="43" customWidth="1"/>
    <col min="7395" max="7396" width="7" style="43" customWidth="1"/>
    <col min="7397" max="7397" width="5.25" style="43" customWidth="1"/>
    <col min="7398" max="7401" width="7" style="43" customWidth="1"/>
    <col min="7402" max="7402" width="12.875" style="43" customWidth="1"/>
    <col min="7403" max="7403" width="8.125" style="43" customWidth="1"/>
    <col min="7404" max="7404" width="12.875" style="43" customWidth="1"/>
    <col min="7405" max="7406" width="7" style="43" customWidth="1"/>
    <col min="7407" max="7407" width="12.875" style="43" customWidth="1"/>
    <col min="7408" max="7408" width="8.125" style="43" customWidth="1"/>
    <col min="7409" max="7409" width="12.875" style="43" customWidth="1"/>
    <col min="7410" max="7411" width="7" style="43" customWidth="1"/>
    <col min="7412" max="7412" width="12.875" style="43" bestFit="1" customWidth="1"/>
    <col min="7413" max="7414" width="7" style="43" bestFit="1" customWidth="1"/>
    <col min="7415" max="7415" width="9.5" style="43" bestFit="1" customWidth="1"/>
    <col min="7416" max="7416" width="12.875" style="43" bestFit="1" customWidth="1"/>
    <col min="7417" max="7417" width="11.75" style="43" customWidth="1"/>
    <col min="7418" max="7419" width="7" style="43" customWidth="1"/>
    <col min="7420" max="7420" width="7.25" style="43" customWidth="1"/>
    <col min="7421" max="7422" width="11.75" style="43" customWidth="1"/>
    <col min="7423" max="7424" width="7" style="43" customWidth="1"/>
    <col min="7425" max="7425" width="7.25" style="43" customWidth="1"/>
    <col min="7426" max="7427" width="11.75" style="43" customWidth="1"/>
    <col min="7428" max="7429" width="7" style="43" customWidth="1"/>
    <col min="7430" max="7430" width="8.125" style="43" customWidth="1"/>
    <col min="7431" max="7432" width="11.75" style="43" customWidth="1"/>
    <col min="7433" max="7434" width="7" style="43" customWidth="1"/>
    <col min="7435" max="7435" width="7.25" style="43" customWidth="1"/>
    <col min="7436" max="7436" width="11.75" style="43" customWidth="1"/>
    <col min="7437" max="7437" width="12.875" style="43" bestFit="1" customWidth="1"/>
    <col min="7438" max="7439" width="7" style="43" bestFit="1" customWidth="1"/>
    <col min="7440" max="7440" width="9.5" style="43" bestFit="1" customWidth="1"/>
    <col min="7441" max="7441" width="12.875" style="43" bestFit="1" customWidth="1"/>
    <col min="7442" max="7442" width="11.75" style="43" customWidth="1"/>
    <col min="7443" max="7444" width="7" style="43" customWidth="1"/>
    <col min="7445" max="7445" width="7.25" style="43" customWidth="1"/>
    <col min="7446" max="7447" width="11.75" style="43" customWidth="1"/>
    <col min="7448" max="7449" width="7" style="43" customWidth="1"/>
    <col min="7450" max="7450" width="7.25" style="43" customWidth="1"/>
    <col min="7451" max="7452" width="11.75" style="43" customWidth="1"/>
    <col min="7453" max="7454" width="7" style="43" customWidth="1"/>
    <col min="7455" max="7455" width="7.25" style="43" customWidth="1"/>
    <col min="7456" max="7457" width="11.75" style="43" customWidth="1"/>
    <col min="7458" max="7459" width="7" style="43" customWidth="1"/>
    <col min="7460" max="7460" width="7.25" style="43" customWidth="1"/>
    <col min="7461" max="7461" width="11.75" style="43" customWidth="1"/>
    <col min="7462" max="7462" width="11.75" style="43" bestFit="1" customWidth="1"/>
    <col min="7463" max="7464" width="7" style="43" bestFit="1" customWidth="1"/>
    <col min="7465" max="7465" width="7.25" style="43" bestFit="1" customWidth="1"/>
    <col min="7466" max="7467" width="11.75" style="43" bestFit="1" customWidth="1"/>
    <col min="7468" max="7469" width="7" style="43" bestFit="1" customWidth="1"/>
    <col min="7470" max="7470" width="7.25" style="43" bestFit="1" customWidth="1"/>
    <col min="7471" max="7471" width="11.75" style="43" bestFit="1" customWidth="1"/>
    <col min="7472" max="7625" width="9" style="43"/>
    <col min="7626" max="7628" width="3.125" style="43" customWidth="1"/>
    <col min="7629" max="7629" width="16.375" style="43" bestFit="1" customWidth="1"/>
    <col min="7630" max="7630" width="5" style="43" bestFit="1" customWidth="1"/>
    <col min="7631" max="7632" width="9" style="43" bestFit="1" customWidth="1"/>
    <col min="7633" max="7633" width="12.875" style="43" bestFit="1" customWidth="1"/>
    <col min="7634" max="7634" width="8.125" style="43" bestFit="1" customWidth="1"/>
    <col min="7635" max="7635" width="12.875" style="43" bestFit="1" customWidth="1"/>
    <col min="7636" max="7636" width="9.5" style="43" bestFit="1" customWidth="1"/>
    <col min="7637" max="7638" width="12.875" style="43" bestFit="1" customWidth="1"/>
    <col min="7639" max="7639" width="8.125" style="43" bestFit="1" customWidth="1"/>
    <col min="7640" max="7640" width="12.875" style="43" bestFit="1" customWidth="1"/>
    <col min="7641" max="7641" width="7" style="43" bestFit="1" customWidth="1"/>
    <col min="7642" max="7642" width="10.125" style="43" bestFit="1" customWidth="1"/>
    <col min="7643" max="7643" width="10.125" style="43" customWidth="1"/>
    <col min="7644" max="7644" width="7" style="43" customWidth="1"/>
    <col min="7645" max="7645" width="10.125" style="43" customWidth="1"/>
    <col min="7646" max="7647" width="7" style="43" customWidth="1"/>
    <col min="7648" max="7648" width="11.75" style="43" customWidth="1"/>
    <col min="7649" max="7649" width="8.125" style="43" customWidth="1"/>
    <col min="7650" max="7650" width="11.75" style="43" customWidth="1"/>
    <col min="7651" max="7652" width="7" style="43" customWidth="1"/>
    <col min="7653" max="7653" width="5.25" style="43" customWidth="1"/>
    <col min="7654" max="7657" width="7" style="43" customWidth="1"/>
    <col min="7658" max="7658" width="12.875" style="43" customWidth="1"/>
    <col min="7659" max="7659" width="8.125" style="43" customWidth="1"/>
    <col min="7660" max="7660" width="12.875" style="43" customWidth="1"/>
    <col min="7661" max="7662" width="7" style="43" customWidth="1"/>
    <col min="7663" max="7663" width="12.875" style="43" customWidth="1"/>
    <col min="7664" max="7664" width="8.125" style="43" customWidth="1"/>
    <col min="7665" max="7665" width="12.875" style="43" customWidth="1"/>
    <col min="7666" max="7667" width="7" style="43" customWidth="1"/>
    <col min="7668" max="7668" width="12.875" style="43" bestFit="1" customWidth="1"/>
    <col min="7669" max="7670" width="7" style="43" bestFit="1" customWidth="1"/>
    <col min="7671" max="7671" width="9.5" style="43" bestFit="1" customWidth="1"/>
    <col min="7672" max="7672" width="12.875" style="43" bestFit="1" customWidth="1"/>
    <col min="7673" max="7673" width="11.75" style="43" customWidth="1"/>
    <col min="7674" max="7675" width="7" style="43" customWidth="1"/>
    <col min="7676" max="7676" width="7.25" style="43" customWidth="1"/>
    <col min="7677" max="7678" width="11.75" style="43" customWidth="1"/>
    <col min="7679" max="7680" width="7" style="43" customWidth="1"/>
    <col min="7681" max="7681" width="7.25" style="43" customWidth="1"/>
    <col min="7682" max="7683" width="11.75" style="43" customWidth="1"/>
    <col min="7684" max="7685" width="7" style="43" customWidth="1"/>
    <col min="7686" max="7686" width="8.125" style="43" customWidth="1"/>
    <col min="7687" max="7688" width="11.75" style="43" customWidth="1"/>
    <col min="7689" max="7690" width="7" style="43" customWidth="1"/>
    <col min="7691" max="7691" width="7.25" style="43" customWidth="1"/>
    <col min="7692" max="7692" width="11.75" style="43" customWidth="1"/>
    <col min="7693" max="7693" width="12.875" style="43" bestFit="1" customWidth="1"/>
    <col min="7694" max="7695" width="7" style="43" bestFit="1" customWidth="1"/>
    <col min="7696" max="7696" width="9.5" style="43" bestFit="1" customWidth="1"/>
    <col min="7697" max="7697" width="12.875" style="43" bestFit="1" customWidth="1"/>
    <col min="7698" max="7698" width="11.75" style="43" customWidth="1"/>
    <col min="7699" max="7700" width="7" style="43" customWidth="1"/>
    <col min="7701" max="7701" width="7.25" style="43" customWidth="1"/>
    <col min="7702" max="7703" width="11.75" style="43" customWidth="1"/>
    <col min="7704" max="7705" width="7" style="43" customWidth="1"/>
    <col min="7706" max="7706" width="7.25" style="43" customWidth="1"/>
    <col min="7707" max="7708" width="11.75" style="43" customWidth="1"/>
    <col min="7709" max="7710" width="7" style="43" customWidth="1"/>
    <col min="7711" max="7711" width="7.25" style="43" customWidth="1"/>
    <col min="7712" max="7713" width="11.75" style="43" customWidth="1"/>
    <col min="7714" max="7715" width="7" style="43" customWidth="1"/>
    <col min="7716" max="7716" width="7.25" style="43" customWidth="1"/>
    <col min="7717" max="7717" width="11.75" style="43" customWidth="1"/>
    <col min="7718" max="7718" width="11.75" style="43" bestFit="1" customWidth="1"/>
    <col min="7719" max="7720" width="7" style="43" bestFit="1" customWidth="1"/>
    <col min="7721" max="7721" width="7.25" style="43" bestFit="1" customWidth="1"/>
    <col min="7722" max="7723" width="11.75" style="43" bestFit="1" customWidth="1"/>
    <col min="7724" max="7725" width="7" style="43" bestFit="1" customWidth="1"/>
    <col min="7726" max="7726" width="7.25" style="43" bestFit="1" customWidth="1"/>
    <col min="7727" max="7727" width="11.75" style="43" bestFit="1" customWidth="1"/>
    <col min="7728" max="7881" width="9" style="43"/>
    <col min="7882" max="7884" width="3.125" style="43" customWidth="1"/>
    <col min="7885" max="7885" width="16.375" style="43" bestFit="1" customWidth="1"/>
    <col min="7886" max="7886" width="5" style="43" bestFit="1" customWidth="1"/>
    <col min="7887" max="7888" width="9" style="43" bestFit="1" customWidth="1"/>
    <col min="7889" max="7889" width="12.875" style="43" bestFit="1" customWidth="1"/>
    <col min="7890" max="7890" width="8.125" style="43" bestFit="1" customWidth="1"/>
    <col min="7891" max="7891" width="12.875" style="43" bestFit="1" customWidth="1"/>
    <col min="7892" max="7892" width="9.5" style="43" bestFit="1" customWidth="1"/>
    <col min="7893" max="7894" width="12.875" style="43" bestFit="1" customWidth="1"/>
    <col min="7895" max="7895" width="8.125" style="43" bestFit="1" customWidth="1"/>
    <col min="7896" max="7896" width="12.875" style="43" bestFit="1" customWidth="1"/>
    <col min="7897" max="7897" width="7" style="43" bestFit="1" customWidth="1"/>
    <col min="7898" max="7898" width="10.125" style="43" bestFit="1" customWidth="1"/>
    <col min="7899" max="7899" width="10.125" style="43" customWidth="1"/>
    <col min="7900" max="7900" width="7" style="43" customWidth="1"/>
    <col min="7901" max="7901" width="10.125" style="43" customWidth="1"/>
    <col min="7902" max="7903" width="7" style="43" customWidth="1"/>
    <col min="7904" max="7904" width="11.75" style="43" customWidth="1"/>
    <col min="7905" max="7905" width="8.125" style="43" customWidth="1"/>
    <col min="7906" max="7906" width="11.75" style="43" customWidth="1"/>
    <col min="7907" max="7908" width="7" style="43" customWidth="1"/>
    <col min="7909" max="7909" width="5.25" style="43" customWidth="1"/>
    <col min="7910" max="7913" width="7" style="43" customWidth="1"/>
    <col min="7914" max="7914" width="12.875" style="43" customWidth="1"/>
    <col min="7915" max="7915" width="8.125" style="43" customWidth="1"/>
    <col min="7916" max="7916" width="12.875" style="43" customWidth="1"/>
    <col min="7917" max="7918" width="7" style="43" customWidth="1"/>
    <col min="7919" max="7919" width="12.875" style="43" customWidth="1"/>
    <col min="7920" max="7920" width="8.125" style="43" customWidth="1"/>
    <col min="7921" max="7921" width="12.875" style="43" customWidth="1"/>
    <col min="7922" max="7923" width="7" style="43" customWidth="1"/>
    <col min="7924" max="7924" width="12.875" style="43" bestFit="1" customWidth="1"/>
    <col min="7925" max="7926" width="7" style="43" bestFit="1" customWidth="1"/>
    <col min="7927" max="7927" width="9.5" style="43" bestFit="1" customWidth="1"/>
    <col min="7928" max="7928" width="12.875" style="43" bestFit="1" customWidth="1"/>
    <col min="7929" max="7929" width="11.75" style="43" customWidth="1"/>
    <col min="7930" max="7931" width="7" style="43" customWidth="1"/>
    <col min="7932" max="7932" width="7.25" style="43" customWidth="1"/>
    <col min="7933" max="7934" width="11.75" style="43" customWidth="1"/>
    <col min="7935" max="7936" width="7" style="43" customWidth="1"/>
    <col min="7937" max="7937" width="7.25" style="43" customWidth="1"/>
    <col min="7938" max="7939" width="11.75" style="43" customWidth="1"/>
    <col min="7940" max="7941" width="7" style="43" customWidth="1"/>
    <col min="7942" max="7942" width="8.125" style="43" customWidth="1"/>
    <col min="7943" max="7944" width="11.75" style="43" customWidth="1"/>
    <col min="7945" max="7946" width="7" style="43" customWidth="1"/>
    <col min="7947" max="7947" width="7.25" style="43" customWidth="1"/>
    <col min="7948" max="7948" width="11.75" style="43" customWidth="1"/>
    <col min="7949" max="7949" width="12.875" style="43" bestFit="1" customWidth="1"/>
    <col min="7950" max="7951" width="7" style="43" bestFit="1" customWidth="1"/>
    <col min="7952" max="7952" width="9.5" style="43" bestFit="1" customWidth="1"/>
    <col min="7953" max="7953" width="12.875" style="43" bestFit="1" customWidth="1"/>
    <col min="7954" max="7954" width="11.75" style="43" customWidth="1"/>
    <col min="7955" max="7956" width="7" style="43" customWidth="1"/>
    <col min="7957" max="7957" width="7.25" style="43" customWidth="1"/>
    <col min="7958" max="7959" width="11.75" style="43" customWidth="1"/>
    <col min="7960" max="7961" width="7" style="43" customWidth="1"/>
    <col min="7962" max="7962" width="7.25" style="43" customWidth="1"/>
    <col min="7963" max="7964" width="11.75" style="43" customWidth="1"/>
    <col min="7965" max="7966" width="7" style="43" customWidth="1"/>
    <col min="7967" max="7967" width="7.25" style="43" customWidth="1"/>
    <col min="7968" max="7969" width="11.75" style="43" customWidth="1"/>
    <col min="7970" max="7971" width="7" style="43" customWidth="1"/>
    <col min="7972" max="7972" width="7.25" style="43" customWidth="1"/>
    <col min="7973" max="7973" width="11.75" style="43" customWidth="1"/>
    <col min="7974" max="7974" width="11.75" style="43" bestFit="1" customWidth="1"/>
    <col min="7975" max="7976" width="7" style="43" bestFit="1" customWidth="1"/>
    <col min="7977" max="7977" width="7.25" style="43" bestFit="1" customWidth="1"/>
    <col min="7978" max="7979" width="11.75" style="43" bestFit="1" customWidth="1"/>
    <col min="7980" max="7981" width="7" style="43" bestFit="1" customWidth="1"/>
    <col min="7982" max="7982" width="7.25" style="43" bestFit="1" customWidth="1"/>
    <col min="7983" max="7983" width="11.75" style="43" bestFit="1" customWidth="1"/>
    <col min="7984" max="8137" width="9" style="43"/>
    <col min="8138" max="8140" width="3.125" style="43" customWidth="1"/>
    <col min="8141" max="8141" width="16.375" style="43" bestFit="1" customWidth="1"/>
    <col min="8142" max="8142" width="5" style="43" bestFit="1" customWidth="1"/>
    <col min="8143" max="8144" width="9" style="43" bestFit="1" customWidth="1"/>
    <col min="8145" max="8145" width="12.875" style="43" bestFit="1" customWidth="1"/>
    <col min="8146" max="8146" width="8.125" style="43" bestFit="1" customWidth="1"/>
    <col min="8147" max="8147" width="12.875" style="43" bestFit="1" customWidth="1"/>
    <col min="8148" max="8148" width="9.5" style="43" bestFit="1" customWidth="1"/>
    <col min="8149" max="8150" width="12.875" style="43" bestFit="1" customWidth="1"/>
    <col min="8151" max="8151" width="8.125" style="43" bestFit="1" customWidth="1"/>
    <col min="8152" max="8152" width="12.875" style="43" bestFit="1" customWidth="1"/>
    <col min="8153" max="8153" width="7" style="43" bestFit="1" customWidth="1"/>
    <col min="8154" max="8154" width="10.125" style="43" bestFit="1" customWidth="1"/>
    <col min="8155" max="8155" width="10.125" style="43" customWidth="1"/>
    <col min="8156" max="8156" width="7" style="43" customWidth="1"/>
    <col min="8157" max="8157" width="10.125" style="43" customWidth="1"/>
    <col min="8158" max="8159" width="7" style="43" customWidth="1"/>
    <col min="8160" max="8160" width="11.75" style="43" customWidth="1"/>
    <col min="8161" max="8161" width="8.125" style="43" customWidth="1"/>
    <col min="8162" max="8162" width="11.75" style="43" customWidth="1"/>
    <col min="8163" max="8164" width="7" style="43" customWidth="1"/>
    <col min="8165" max="8165" width="5.25" style="43" customWidth="1"/>
    <col min="8166" max="8169" width="7" style="43" customWidth="1"/>
    <col min="8170" max="8170" width="12.875" style="43" customWidth="1"/>
    <col min="8171" max="8171" width="8.125" style="43" customWidth="1"/>
    <col min="8172" max="8172" width="12.875" style="43" customWidth="1"/>
    <col min="8173" max="8174" width="7" style="43" customWidth="1"/>
    <col min="8175" max="8175" width="12.875" style="43" customWidth="1"/>
    <col min="8176" max="8176" width="8.125" style="43" customWidth="1"/>
    <col min="8177" max="8177" width="12.875" style="43" customWidth="1"/>
    <col min="8178" max="8179" width="7" style="43" customWidth="1"/>
    <col min="8180" max="8180" width="12.875" style="43" bestFit="1" customWidth="1"/>
    <col min="8181" max="8182" width="7" style="43" bestFit="1" customWidth="1"/>
    <col min="8183" max="8183" width="9.5" style="43" bestFit="1" customWidth="1"/>
    <col min="8184" max="8184" width="12.875" style="43" bestFit="1" customWidth="1"/>
    <col min="8185" max="8185" width="11.75" style="43" customWidth="1"/>
    <col min="8186" max="8187" width="7" style="43" customWidth="1"/>
    <col min="8188" max="8188" width="7.25" style="43" customWidth="1"/>
    <col min="8189" max="8190" width="11.75" style="43" customWidth="1"/>
    <col min="8191" max="8192" width="7" style="43" customWidth="1"/>
    <col min="8193" max="8193" width="7.25" style="43" customWidth="1"/>
    <col min="8194" max="8195" width="11.75" style="43" customWidth="1"/>
    <col min="8196" max="8197" width="7" style="43" customWidth="1"/>
    <col min="8198" max="8198" width="8.125" style="43" customWidth="1"/>
    <col min="8199" max="8200" width="11.75" style="43" customWidth="1"/>
    <col min="8201" max="8202" width="7" style="43" customWidth="1"/>
    <col min="8203" max="8203" width="7.25" style="43" customWidth="1"/>
    <col min="8204" max="8204" width="11.75" style="43" customWidth="1"/>
    <col min="8205" max="8205" width="12.875" style="43" bestFit="1" customWidth="1"/>
    <col min="8206" max="8207" width="7" style="43" bestFit="1" customWidth="1"/>
    <col min="8208" max="8208" width="9.5" style="43" bestFit="1" customWidth="1"/>
    <col min="8209" max="8209" width="12.875" style="43" bestFit="1" customWidth="1"/>
    <col min="8210" max="8210" width="11.75" style="43" customWidth="1"/>
    <col min="8211" max="8212" width="7" style="43" customWidth="1"/>
    <col min="8213" max="8213" width="7.25" style="43" customWidth="1"/>
    <col min="8214" max="8215" width="11.75" style="43" customWidth="1"/>
    <col min="8216" max="8217" width="7" style="43" customWidth="1"/>
    <col min="8218" max="8218" width="7.25" style="43" customWidth="1"/>
    <col min="8219" max="8220" width="11.75" style="43" customWidth="1"/>
    <col min="8221" max="8222" width="7" style="43" customWidth="1"/>
    <col min="8223" max="8223" width="7.25" style="43" customWidth="1"/>
    <col min="8224" max="8225" width="11.75" style="43" customWidth="1"/>
    <col min="8226" max="8227" width="7" style="43" customWidth="1"/>
    <col min="8228" max="8228" width="7.25" style="43" customWidth="1"/>
    <col min="8229" max="8229" width="11.75" style="43" customWidth="1"/>
    <col min="8230" max="8230" width="11.75" style="43" bestFit="1" customWidth="1"/>
    <col min="8231" max="8232" width="7" style="43" bestFit="1" customWidth="1"/>
    <col min="8233" max="8233" width="7.25" style="43" bestFit="1" customWidth="1"/>
    <col min="8234" max="8235" width="11.75" style="43" bestFit="1" customWidth="1"/>
    <col min="8236" max="8237" width="7" style="43" bestFit="1" customWidth="1"/>
    <col min="8238" max="8238" width="7.25" style="43" bestFit="1" customWidth="1"/>
    <col min="8239" max="8239" width="11.75" style="43" bestFit="1" customWidth="1"/>
    <col min="8240" max="8393" width="9" style="43"/>
    <col min="8394" max="8396" width="3.125" style="43" customWidth="1"/>
    <col min="8397" max="8397" width="16.375" style="43" bestFit="1" customWidth="1"/>
    <col min="8398" max="8398" width="5" style="43" bestFit="1" customWidth="1"/>
    <col min="8399" max="8400" width="9" style="43" bestFit="1" customWidth="1"/>
    <col min="8401" max="8401" width="12.875" style="43" bestFit="1" customWidth="1"/>
    <col min="8402" max="8402" width="8.125" style="43" bestFit="1" customWidth="1"/>
    <col min="8403" max="8403" width="12.875" style="43" bestFit="1" customWidth="1"/>
    <col min="8404" max="8404" width="9.5" style="43" bestFit="1" customWidth="1"/>
    <col min="8405" max="8406" width="12.875" style="43" bestFit="1" customWidth="1"/>
    <col min="8407" max="8407" width="8.125" style="43" bestFit="1" customWidth="1"/>
    <col min="8408" max="8408" width="12.875" style="43" bestFit="1" customWidth="1"/>
    <col min="8409" max="8409" width="7" style="43" bestFit="1" customWidth="1"/>
    <col min="8410" max="8410" width="10.125" style="43" bestFit="1" customWidth="1"/>
    <col min="8411" max="8411" width="10.125" style="43" customWidth="1"/>
    <col min="8412" max="8412" width="7" style="43" customWidth="1"/>
    <col min="8413" max="8413" width="10.125" style="43" customWidth="1"/>
    <col min="8414" max="8415" width="7" style="43" customWidth="1"/>
    <col min="8416" max="8416" width="11.75" style="43" customWidth="1"/>
    <col min="8417" max="8417" width="8.125" style="43" customWidth="1"/>
    <col min="8418" max="8418" width="11.75" style="43" customWidth="1"/>
    <col min="8419" max="8420" width="7" style="43" customWidth="1"/>
    <col min="8421" max="8421" width="5.25" style="43" customWidth="1"/>
    <col min="8422" max="8425" width="7" style="43" customWidth="1"/>
    <col min="8426" max="8426" width="12.875" style="43" customWidth="1"/>
    <col min="8427" max="8427" width="8.125" style="43" customWidth="1"/>
    <col min="8428" max="8428" width="12.875" style="43" customWidth="1"/>
    <col min="8429" max="8430" width="7" style="43" customWidth="1"/>
    <col min="8431" max="8431" width="12.875" style="43" customWidth="1"/>
    <col min="8432" max="8432" width="8.125" style="43" customWidth="1"/>
    <col min="8433" max="8433" width="12.875" style="43" customWidth="1"/>
    <col min="8434" max="8435" width="7" style="43" customWidth="1"/>
    <col min="8436" max="8436" width="12.875" style="43" bestFit="1" customWidth="1"/>
    <col min="8437" max="8438" width="7" style="43" bestFit="1" customWidth="1"/>
    <col min="8439" max="8439" width="9.5" style="43" bestFit="1" customWidth="1"/>
    <col min="8440" max="8440" width="12.875" style="43" bestFit="1" customWidth="1"/>
    <col min="8441" max="8441" width="11.75" style="43" customWidth="1"/>
    <col min="8442" max="8443" width="7" style="43" customWidth="1"/>
    <col min="8444" max="8444" width="7.25" style="43" customWidth="1"/>
    <col min="8445" max="8446" width="11.75" style="43" customWidth="1"/>
    <col min="8447" max="8448" width="7" style="43" customWidth="1"/>
    <col min="8449" max="8449" width="7.25" style="43" customWidth="1"/>
    <col min="8450" max="8451" width="11.75" style="43" customWidth="1"/>
    <col min="8452" max="8453" width="7" style="43" customWidth="1"/>
    <col min="8454" max="8454" width="8.125" style="43" customWidth="1"/>
    <col min="8455" max="8456" width="11.75" style="43" customWidth="1"/>
    <col min="8457" max="8458" width="7" style="43" customWidth="1"/>
    <col min="8459" max="8459" width="7.25" style="43" customWidth="1"/>
    <col min="8460" max="8460" width="11.75" style="43" customWidth="1"/>
    <col min="8461" max="8461" width="12.875" style="43" bestFit="1" customWidth="1"/>
    <col min="8462" max="8463" width="7" style="43" bestFit="1" customWidth="1"/>
    <col min="8464" max="8464" width="9.5" style="43" bestFit="1" customWidth="1"/>
    <col min="8465" max="8465" width="12.875" style="43" bestFit="1" customWidth="1"/>
    <col min="8466" max="8466" width="11.75" style="43" customWidth="1"/>
    <col min="8467" max="8468" width="7" style="43" customWidth="1"/>
    <col min="8469" max="8469" width="7.25" style="43" customWidth="1"/>
    <col min="8470" max="8471" width="11.75" style="43" customWidth="1"/>
    <col min="8472" max="8473" width="7" style="43" customWidth="1"/>
    <col min="8474" max="8474" width="7.25" style="43" customWidth="1"/>
    <col min="8475" max="8476" width="11.75" style="43" customWidth="1"/>
    <col min="8477" max="8478" width="7" style="43" customWidth="1"/>
    <col min="8479" max="8479" width="7.25" style="43" customWidth="1"/>
    <col min="8480" max="8481" width="11.75" style="43" customWidth="1"/>
    <col min="8482" max="8483" width="7" style="43" customWidth="1"/>
    <col min="8484" max="8484" width="7.25" style="43" customWidth="1"/>
    <col min="8485" max="8485" width="11.75" style="43" customWidth="1"/>
    <col min="8486" max="8486" width="11.75" style="43" bestFit="1" customWidth="1"/>
    <col min="8487" max="8488" width="7" style="43" bestFit="1" customWidth="1"/>
    <col min="8489" max="8489" width="7.25" style="43" bestFit="1" customWidth="1"/>
    <col min="8490" max="8491" width="11.75" style="43" bestFit="1" customWidth="1"/>
    <col min="8492" max="8493" width="7" style="43" bestFit="1" customWidth="1"/>
    <col min="8494" max="8494" width="7.25" style="43" bestFit="1" customWidth="1"/>
    <col min="8495" max="8495" width="11.75" style="43" bestFit="1" customWidth="1"/>
    <col min="8496" max="8649" width="9" style="43"/>
    <col min="8650" max="8652" width="3.125" style="43" customWidth="1"/>
    <col min="8653" max="8653" width="16.375" style="43" bestFit="1" customWidth="1"/>
    <col min="8654" max="8654" width="5" style="43" bestFit="1" customWidth="1"/>
    <col min="8655" max="8656" width="9" style="43" bestFit="1" customWidth="1"/>
    <col min="8657" max="8657" width="12.875" style="43" bestFit="1" customWidth="1"/>
    <col min="8658" max="8658" width="8.125" style="43" bestFit="1" customWidth="1"/>
    <col min="8659" max="8659" width="12.875" style="43" bestFit="1" customWidth="1"/>
    <col min="8660" max="8660" width="9.5" style="43" bestFit="1" customWidth="1"/>
    <col min="8661" max="8662" width="12.875" style="43" bestFit="1" customWidth="1"/>
    <col min="8663" max="8663" width="8.125" style="43" bestFit="1" customWidth="1"/>
    <col min="8664" max="8664" width="12.875" style="43" bestFit="1" customWidth="1"/>
    <col min="8665" max="8665" width="7" style="43" bestFit="1" customWidth="1"/>
    <col min="8666" max="8666" width="10.125" style="43" bestFit="1" customWidth="1"/>
    <col min="8667" max="8667" width="10.125" style="43" customWidth="1"/>
    <col min="8668" max="8668" width="7" style="43" customWidth="1"/>
    <col min="8669" max="8669" width="10.125" style="43" customWidth="1"/>
    <col min="8670" max="8671" width="7" style="43" customWidth="1"/>
    <col min="8672" max="8672" width="11.75" style="43" customWidth="1"/>
    <col min="8673" max="8673" width="8.125" style="43" customWidth="1"/>
    <col min="8674" max="8674" width="11.75" style="43" customWidth="1"/>
    <col min="8675" max="8676" width="7" style="43" customWidth="1"/>
    <col min="8677" max="8677" width="5.25" style="43" customWidth="1"/>
    <col min="8678" max="8681" width="7" style="43" customWidth="1"/>
    <col min="8682" max="8682" width="12.875" style="43" customWidth="1"/>
    <col min="8683" max="8683" width="8.125" style="43" customWidth="1"/>
    <col min="8684" max="8684" width="12.875" style="43" customWidth="1"/>
    <col min="8685" max="8686" width="7" style="43" customWidth="1"/>
    <col min="8687" max="8687" width="12.875" style="43" customWidth="1"/>
    <col min="8688" max="8688" width="8.125" style="43" customWidth="1"/>
    <col min="8689" max="8689" width="12.875" style="43" customWidth="1"/>
    <col min="8690" max="8691" width="7" style="43" customWidth="1"/>
    <col min="8692" max="8692" width="12.875" style="43" bestFit="1" customWidth="1"/>
    <col min="8693" max="8694" width="7" style="43" bestFit="1" customWidth="1"/>
    <col min="8695" max="8695" width="9.5" style="43" bestFit="1" customWidth="1"/>
    <col min="8696" max="8696" width="12.875" style="43" bestFit="1" customWidth="1"/>
    <col min="8697" max="8697" width="11.75" style="43" customWidth="1"/>
    <col min="8698" max="8699" width="7" style="43" customWidth="1"/>
    <col min="8700" max="8700" width="7.25" style="43" customWidth="1"/>
    <col min="8701" max="8702" width="11.75" style="43" customWidth="1"/>
    <col min="8703" max="8704" width="7" style="43" customWidth="1"/>
    <col min="8705" max="8705" width="7.25" style="43" customWidth="1"/>
    <col min="8706" max="8707" width="11.75" style="43" customWidth="1"/>
    <col min="8708" max="8709" width="7" style="43" customWidth="1"/>
    <col min="8710" max="8710" width="8.125" style="43" customWidth="1"/>
    <col min="8711" max="8712" width="11.75" style="43" customWidth="1"/>
    <col min="8713" max="8714" width="7" style="43" customWidth="1"/>
    <col min="8715" max="8715" width="7.25" style="43" customWidth="1"/>
    <col min="8716" max="8716" width="11.75" style="43" customWidth="1"/>
    <col min="8717" max="8717" width="12.875" style="43" bestFit="1" customWidth="1"/>
    <col min="8718" max="8719" width="7" style="43" bestFit="1" customWidth="1"/>
    <col min="8720" max="8720" width="9.5" style="43" bestFit="1" customWidth="1"/>
    <col min="8721" max="8721" width="12.875" style="43" bestFit="1" customWidth="1"/>
    <col min="8722" max="8722" width="11.75" style="43" customWidth="1"/>
    <col min="8723" max="8724" width="7" style="43" customWidth="1"/>
    <col min="8725" max="8725" width="7.25" style="43" customWidth="1"/>
    <col min="8726" max="8727" width="11.75" style="43" customWidth="1"/>
    <col min="8728" max="8729" width="7" style="43" customWidth="1"/>
    <col min="8730" max="8730" width="7.25" style="43" customWidth="1"/>
    <col min="8731" max="8732" width="11.75" style="43" customWidth="1"/>
    <col min="8733" max="8734" width="7" style="43" customWidth="1"/>
    <col min="8735" max="8735" width="7.25" style="43" customWidth="1"/>
    <col min="8736" max="8737" width="11.75" style="43" customWidth="1"/>
    <col min="8738" max="8739" width="7" style="43" customWidth="1"/>
    <col min="8740" max="8740" width="7.25" style="43" customWidth="1"/>
    <col min="8741" max="8741" width="11.75" style="43" customWidth="1"/>
    <col min="8742" max="8742" width="11.75" style="43" bestFit="1" customWidth="1"/>
    <col min="8743" max="8744" width="7" style="43" bestFit="1" customWidth="1"/>
    <col min="8745" max="8745" width="7.25" style="43" bestFit="1" customWidth="1"/>
    <col min="8746" max="8747" width="11.75" style="43" bestFit="1" customWidth="1"/>
    <col min="8748" max="8749" width="7" style="43" bestFit="1" customWidth="1"/>
    <col min="8750" max="8750" width="7.25" style="43" bestFit="1" customWidth="1"/>
    <col min="8751" max="8751" width="11.75" style="43" bestFit="1" customWidth="1"/>
    <col min="8752" max="8905" width="9" style="43"/>
    <col min="8906" max="8908" width="3.125" style="43" customWidth="1"/>
    <col min="8909" max="8909" width="16.375" style="43" bestFit="1" customWidth="1"/>
    <col min="8910" max="8910" width="5" style="43" bestFit="1" customWidth="1"/>
    <col min="8911" max="8912" width="9" style="43" bestFit="1" customWidth="1"/>
    <col min="8913" max="8913" width="12.875" style="43" bestFit="1" customWidth="1"/>
    <col min="8914" max="8914" width="8.125" style="43" bestFit="1" customWidth="1"/>
    <col min="8915" max="8915" width="12.875" style="43" bestFit="1" customWidth="1"/>
    <col min="8916" max="8916" width="9.5" style="43" bestFit="1" customWidth="1"/>
    <col min="8917" max="8918" width="12.875" style="43" bestFit="1" customWidth="1"/>
    <col min="8919" max="8919" width="8.125" style="43" bestFit="1" customWidth="1"/>
    <col min="8920" max="8920" width="12.875" style="43" bestFit="1" customWidth="1"/>
    <col min="8921" max="8921" width="7" style="43" bestFit="1" customWidth="1"/>
    <col min="8922" max="8922" width="10.125" style="43" bestFit="1" customWidth="1"/>
    <col min="8923" max="8923" width="10.125" style="43" customWidth="1"/>
    <col min="8924" max="8924" width="7" style="43" customWidth="1"/>
    <col min="8925" max="8925" width="10.125" style="43" customWidth="1"/>
    <col min="8926" max="8927" width="7" style="43" customWidth="1"/>
    <col min="8928" max="8928" width="11.75" style="43" customWidth="1"/>
    <col min="8929" max="8929" width="8.125" style="43" customWidth="1"/>
    <col min="8930" max="8930" width="11.75" style="43" customWidth="1"/>
    <col min="8931" max="8932" width="7" style="43" customWidth="1"/>
    <col min="8933" max="8933" width="5.25" style="43" customWidth="1"/>
    <col min="8934" max="8937" width="7" style="43" customWidth="1"/>
    <col min="8938" max="8938" width="12.875" style="43" customWidth="1"/>
    <col min="8939" max="8939" width="8.125" style="43" customWidth="1"/>
    <col min="8940" max="8940" width="12.875" style="43" customWidth="1"/>
    <col min="8941" max="8942" width="7" style="43" customWidth="1"/>
    <col min="8943" max="8943" width="12.875" style="43" customWidth="1"/>
    <col min="8944" max="8944" width="8.125" style="43" customWidth="1"/>
    <col min="8945" max="8945" width="12.875" style="43" customWidth="1"/>
    <col min="8946" max="8947" width="7" style="43" customWidth="1"/>
    <col min="8948" max="8948" width="12.875" style="43" bestFit="1" customWidth="1"/>
    <col min="8949" max="8950" width="7" style="43" bestFit="1" customWidth="1"/>
    <col min="8951" max="8951" width="9.5" style="43" bestFit="1" customWidth="1"/>
    <col min="8952" max="8952" width="12.875" style="43" bestFit="1" customWidth="1"/>
    <col min="8953" max="8953" width="11.75" style="43" customWidth="1"/>
    <col min="8954" max="8955" width="7" style="43" customWidth="1"/>
    <col min="8956" max="8956" width="7.25" style="43" customWidth="1"/>
    <col min="8957" max="8958" width="11.75" style="43" customWidth="1"/>
    <col min="8959" max="8960" width="7" style="43" customWidth="1"/>
    <col min="8961" max="8961" width="7.25" style="43" customWidth="1"/>
    <col min="8962" max="8963" width="11.75" style="43" customWidth="1"/>
    <col min="8964" max="8965" width="7" style="43" customWidth="1"/>
    <col min="8966" max="8966" width="8.125" style="43" customWidth="1"/>
    <col min="8967" max="8968" width="11.75" style="43" customWidth="1"/>
    <col min="8969" max="8970" width="7" style="43" customWidth="1"/>
    <col min="8971" max="8971" width="7.25" style="43" customWidth="1"/>
    <col min="8972" max="8972" width="11.75" style="43" customWidth="1"/>
    <col min="8973" max="8973" width="12.875" style="43" bestFit="1" customWidth="1"/>
    <col min="8974" max="8975" width="7" style="43" bestFit="1" customWidth="1"/>
    <col min="8976" max="8976" width="9.5" style="43" bestFit="1" customWidth="1"/>
    <col min="8977" max="8977" width="12.875" style="43" bestFit="1" customWidth="1"/>
    <col min="8978" max="8978" width="11.75" style="43" customWidth="1"/>
    <col min="8979" max="8980" width="7" style="43" customWidth="1"/>
    <col min="8981" max="8981" width="7.25" style="43" customWidth="1"/>
    <col min="8982" max="8983" width="11.75" style="43" customWidth="1"/>
    <col min="8984" max="8985" width="7" style="43" customWidth="1"/>
    <col min="8986" max="8986" width="7.25" style="43" customWidth="1"/>
    <col min="8987" max="8988" width="11.75" style="43" customWidth="1"/>
    <col min="8989" max="8990" width="7" style="43" customWidth="1"/>
    <col min="8991" max="8991" width="7.25" style="43" customWidth="1"/>
    <col min="8992" max="8993" width="11.75" style="43" customWidth="1"/>
    <col min="8994" max="8995" width="7" style="43" customWidth="1"/>
    <col min="8996" max="8996" width="7.25" style="43" customWidth="1"/>
    <col min="8997" max="8997" width="11.75" style="43" customWidth="1"/>
    <col min="8998" max="8998" width="11.75" style="43" bestFit="1" customWidth="1"/>
    <col min="8999" max="9000" width="7" style="43" bestFit="1" customWidth="1"/>
    <col min="9001" max="9001" width="7.25" style="43" bestFit="1" customWidth="1"/>
    <col min="9002" max="9003" width="11.75" style="43" bestFit="1" customWidth="1"/>
    <col min="9004" max="9005" width="7" style="43" bestFit="1" customWidth="1"/>
    <col min="9006" max="9006" width="7.25" style="43" bestFit="1" customWidth="1"/>
    <col min="9007" max="9007" width="11.75" style="43" bestFit="1" customWidth="1"/>
    <col min="9008" max="9161" width="9" style="43"/>
    <col min="9162" max="9164" width="3.125" style="43" customWidth="1"/>
    <col min="9165" max="9165" width="16.375" style="43" bestFit="1" customWidth="1"/>
    <col min="9166" max="9166" width="5" style="43" bestFit="1" customWidth="1"/>
    <col min="9167" max="9168" width="9" style="43" bestFit="1" customWidth="1"/>
    <col min="9169" max="9169" width="12.875" style="43" bestFit="1" customWidth="1"/>
    <col min="9170" max="9170" width="8.125" style="43" bestFit="1" customWidth="1"/>
    <col min="9171" max="9171" width="12.875" style="43" bestFit="1" customWidth="1"/>
    <col min="9172" max="9172" width="9.5" style="43" bestFit="1" customWidth="1"/>
    <col min="9173" max="9174" width="12.875" style="43" bestFit="1" customWidth="1"/>
    <col min="9175" max="9175" width="8.125" style="43" bestFit="1" customWidth="1"/>
    <col min="9176" max="9176" width="12.875" style="43" bestFit="1" customWidth="1"/>
    <col min="9177" max="9177" width="7" style="43" bestFit="1" customWidth="1"/>
    <col min="9178" max="9178" width="10.125" style="43" bestFit="1" customWidth="1"/>
    <col min="9179" max="9179" width="10.125" style="43" customWidth="1"/>
    <col min="9180" max="9180" width="7" style="43" customWidth="1"/>
    <col min="9181" max="9181" width="10.125" style="43" customWidth="1"/>
    <col min="9182" max="9183" width="7" style="43" customWidth="1"/>
    <col min="9184" max="9184" width="11.75" style="43" customWidth="1"/>
    <col min="9185" max="9185" width="8.125" style="43" customWidth="1"/>
    <col min="9186" max="9186" width="11.75" style="43" customWidth="1"/>
    <col min="9187" max="9188" width="7" style="43" customWidth="1"/>
    <col min="9189" max="9189" width="5.25" style="43" customWidth="1"/>
    <col min="9190" max="9193" width="7" style="43" customWidth="1"/>
    <col min="9194" max="9194" width="12.875" style="43" customWidth="1"/>
    <col min="9195" max="9195" width="8.125" style="43" customWidth="1"/>
    <col min="9196" max="9196" width="12.875" style="43" customWidth="1"/>
    <col min="9197" max="9198" width="7" style="43" customWidth="1"/>
    <col min="9199" max="9199" width="12.875" style="43" customWidth="1"/>
    <col min="9200" max="9200" width="8.125" style="43" customWidth="1"/>
    <col min="9201" max="9201" width="12.875" style="43" customWidth="1"/>
    <col min="9202" max="9203" width="7" style="43" customWidth="1"/>
    <col min="9204" max="9204" width="12.875" style="43" bestFit="1" customWidth="1"/>
    <col min="9205" max="9206" width="7" style="43" bestFit="1" customWidth="1"/>
    <col min="9207" max="9207" width="9.5" style="43" bestFit="1" customWidth="1"/>
    <col min="9208" max="9208" width="12.875" style="43" bestFit="1" customWidth="1"/>
    <col min="9209" max="9209" width="11.75" style="43" customWidth="1"/>
    <col min="9210" max="9211" width="7" style="43" customWidth="1"/>
    <col min="9212" max="9212" width="7.25" style="43" customWidth="1"/>
    <col min="9213" max="9214" width="11.75" style="43" customWidth="1"/>
    <col min="9215" max="9216" width="7" style="43" customWidth="1"/>
    <col min="9217" max="9217" width="7.25" style="43" customWidth="1"/>
    <col min="9218" max="9219" width="11.75" style="43" customWidth="1"/>
    <col min="9220" max="9221" width="7" style="43" customWidth="1"/>
    <col min="9222" max="9222" width="8.125" style="43" customWidth="1"/>
    <col min="9223" max="9224" width="11.75" style="43" customWidth="1"/>
    <col min="9225" max="9226" width="7" style="43" customWidth="1"/>
    <col min="9227" max="9227" width="7.25" style="43" customWidth="1"/>
    <col min="9228" max="9228" width="11.75" style="43" customWidth="1"/>
    <col min="9229" max="9229" width="12.875" style="43" bestFit="1" customWidth="1"/>
    <col min="9230" max="9231" width="7" style="43" bestFit="1" customWidth="1"/>
    <col min="9232" max="9232" width="9.5" style="43" bestFit="1" customWidth="1"/>
    <col min="9233" max="9233" width="12.875" style="43" bestFit="1" customWidth="1"/>
    <col min="9234" max="9234" width="11.75" style="43" customWidth="1"/>
    <col min="9235" max="9236" width="7" style="43" customWidth="1"/>
    <col min="9237" max="9237" width="7.25" style="43" customWidth="1"/>
    <col min="9238" max="9239" width="11.75" style="43" customWidth="1"/>
    <col min="9240" max="9241" width="7" style="43" customWidth="1"/>
    <col min="9242" max="9242" width="7.25" style="43" customWidth="1"/>
    <col min="9243" max="9244" width="11.75" style="43" customWidth="1"/>
    <col min="9245" max="9246" width="7" style="43" customWidth="1"/>
    <col min="9247" max="9247" width="7.25" style="43" customWidth="1"/>
    <col min="9248" max="9249" width="11.75" style="43" customWidth="1"/>
    <col min="9250" max="9251" width="7" style="43" customWidth="1"/>
    <col min="9252" max="9252" width="7.25" style="43" customWidth="1"/>
    <col min="9253" max="9253" width="11.75" style="43" customWidth="1"/>
    <col min="9254" max="9254" width="11.75" style="43" bestFit="1" customWidth="1"/>
    <col min="9255" max="9256" width="7" style="43" bestFit="1" customWidth="1"/>
    <col min="9257" max="9257" width="7.25" style="43" bestFit="1" customWidth="1"/>
    <col min="9258" max="9259" width="11.75" style="43" bestFit="1" customWidth="1"/>
    <col min="9260" max="9261" width="7" style="43" bestFit="1" customWidth="1"/>
    <col min="9262" max="9262" width="7.25" style="43" bestFit="1" customWidth="1"/>
    <col min="9263" max="9263" width="11.75" style="43" bestFit="1" customWidth="1"/>
    <col min="9264" max="9417" width="9" style="43"/>
    <col min="9418" max="9420" width="3.125" style="43" customWidth="1"/>
    <col min="9421" max="9421" width="16.375" style="43" bestFit="1" customWidth="1"/>
    <col min="9422" max="9422" width="5" style="43" bestFit="1" customWidth="1"/>
    <col min="9423" max="9424" width="9" style="43" bestFit="1" customWidth="1"/>
    <col min="9425" max="9425" width="12.875" style="43" bestFit="1" customWidth="1"/>
    <col min="9426" max="9426" width="8.125" style="43" bestFit="1" customWidth="1"/>
    <col min="9427" max="9427" width="12.875" style="43" bestFit="1" customWidth="1"/>
    <col min="9428" max="9428" width="9.5" style="43" bestFit="1" customWidth="1"/>
    <col min="9429" max="9430" width="12.875" style="43" bestFit="1" customWidth="1"/>
    <col min="9431" max="9431" width="8.125" style="43" bestFit="1" customWidth="1"/>
    <col min="9432" max="9432" width="12.875" style="43" bestFit="1" customWidth="1"/>
    <col min="9433" max="9433" width="7" style="43" bestFit="1" customWidth="1"/>
    <col min="9434" max="9434" width="10.125" style="43" bestFit="1" customWidth="1"/>
    <col min="9435" max="9435" width="10.125" style="43" customWidth="1"/>
    <col min="9436" max="9436" width="7" style="43" customWidth="1"/>
    <col min="9437" max="9437" width="10.125" style="43" customWidth="1"/>
    <col min="9438" max="9439" width="7" style="43" customWidth="1"/>
    <col min="9440" max="9440" width="11.75" style="43" customWidth="1"/>
    <col min="9441" max="9441" width="8.125" style="43" customWidth="1"/>
    <col min="9442" max="9442" width="11.75" style="43" customWidth="1"/>
    <col min="9443" max="9444" width="7" style="43" customWidth="1"/>
    <col min="9445" max="9445" width="5.25" style="43" customWidth="1"/>
    <col min="9446" max="9449" width="7" style="43" customWidth="1"/>
    <col min="9450" max="9450" width="12.875" style="43" customWidth="1"/>
    <col min="9451" max="9451" width="8.125" style="43" customWidth="1"/>
    <col min="9452" max="9452" width="12.875" style="43" customWidth="1"/>
    <col min="9453" max="9454" width="7" style="43" customWidth="1"/>
    <col min="9455" max="9455" width="12.875" style="43" customWidth="1"/>
    <col min="9456" max="9456" width="8.125" style="43" customWidth="1"/>
    <col min="9457" max="9457" width="12.875" style="43" customWidth="1"/>
    <col min="9458" max="9459" width="7" style="43" customWidth="1"/>
    <col min="9460" max="9460" width="12.875" style="43" bestFit="1" customWidth="1"/>
    <col min="9461" max="9462" width="7" style="43" bestFit="1" customWidth="1"/>
    <col min="9463" max="9463" width="9.5" style="43" bestFit="1" customWidth="1"/>
    <col min="9464" max="9464" width="12.875" style="43" bestFit="1" customWidth="1"/>
    <col min="9465" max="9465" width="11.75" style="43" customWidth="1"/>
    <col min="9466" max="9467" width="7" style="43" customWidth="1"/>
    <col min="9468" max="9468" width="7.25" style="43" customWidth="1"/>
    <col min="9469" max="9470" width="11.75" style="43" customWidth="1"/>
    <col min="9471" max="9472" width="7" style="43" customWidth="1"/>
    <col min="9473" max="9473" width="7.25" style="43" customWidth="1"/>
    <col min="9474" max="9475" width="11.75" style="43" customWidth="1"/>
    <col min="9476" max="9477" width="7" style="43" customWidth="1"/>
    <col min="9478" max="9478" width="8.125" style="43" customWidth="1"/>
    <col min="9479" max="9480" width="11.75" style="43" customWidth="1"/>
    <col min="9481" max="9482" width="7" style="43" customWidth="1"/>
    <col min="9483" max="9483" width="7.25" style="43" customWidth="1"/>
    <col min="9484" max="9484" width="11.75" style="43" customWidth="1"/>
    <col min="9485" max="9485" width="12.875" style="43" bestFit="1" customWidth="1"/>
    <col min="9486" max="9487" width="7" style="43" bestFit="1" customWidth="1"/>
    <col min="9488" max="9488" width="9.5" style="43" bestFit="1" customWidth="1"/>
    <col min="9489" max="9489" width="12.875" style="43" bestFit="1" customWidth="1"/>
    <col min="9490" max="9490" width="11.75" style="43" customWidth="1"/>
    <col min="9491" max="9492" width="7" style="43" customWidth="1"/>
    <col min="9493" max="9493" width="7.25" style="43" customWidth="1"/>
    <col min="9494" max="9495" width="11.75" style="43" customWidth="1"/>
    <col min="9496" max="9497" width="7" style="43" customWidth="1"/>
    <col min="9498" max="9498" width="7.25" style="43" customWidth="1"/>
    <col min="9499" max="9500" width="11.75" style="43" customWidth="1"/>
    <col min="9501" max="9502" width="7" style="43" customWidth="1"/>
    <col min="9503" max="9503" width="7.25" style="43" customWidth="1"/>
    <col min="9504" max="9505" width="11.75" style="43" customWidth="1"/>
    <col min="9506" max="9507" width="7" style="43" customWidth="1"/>
    <col min="9508" max="9508" width="7.25" style="43" customWidth="1"/>
    <col min="9509" max="9509" width="11.75" style="43" customWidth="1"/>
    <col min="9510" max="9510" width="11.75" style="43" bestFit="1" customWidth="1"/>
    <col min="9511" max="9512" width="7" style="43" bestFit="1" customWidth="1"/>
    <col min="9513" max="9513" width="7.25" style="43" bestFit="1" customWidth="1"/>
    <col min="9514" max="9515" width="11.75" style="43" bestFit="1" customWidth="1"/>
    <col min="9516" max="9517" width="7" style="43" bestFit="1" customWidth="1"/>
    <col min="9518" max="9518" width="7.25" style="43" bestFit="1" customWidth="1"/>
    <col min="9519" max="9519" width="11.75" style="43" bestFit="1" customWidth="1"/>
    <col min="9520" max="9673" width="9" style="43"/>
    <col min="9674" max="9676" width="3.125" style="43" customWidth="1"/>
    <col min="9677" max="9677" width="16.375" style="43" bestFit="1" customWidth="1"/>
    <col min="9678" max="9678" width="5" style="43" bestFit="1" customWidth="1"/>
    <col min="9679" max="9680" width="9" style="43" bestFit="1" customWidth="1"/>
    <col min="9681" max="9681" width="12.875" style="43" bestFit="1" customWidth="1"/>
    <col min="9682" max="9682" width="8.125" style="43" bestFit="1" customWidth="1"/>
    <col min="9683" max="9683" width="12.875" style="43" bestFit="1" customWidth="1"/>
    <col min="9684" max="9684" width="9.5" style="43" bestFit="1" customWidth="1"/>
    <col min="9685" max="9686" width="12.875" style="43" bestFit="1" customWidth="1"/>
    <col min="9687" max="9687" width="8.125" style="43" bestFit="1" customWidth="1"/>
    <col min="9688" max="9688" width="12.875" style="43" bestFit="1" customWidth="1"/>
    <col min="9689" max="9689" width="7" style="43" bestFit="1" customWidth="1"/>
    <col min="9690" max="9690" width="10.125" style="43" bestFit="1" customWidth="1"/>
    <col min="9691" max="9691" width="10.125" style="43" customWidth="1"/>
    <col min="9692" max="9692" width="7" style="43" customWidth="1"/>
    <col min="9693" max="9693" width="10.125" style="43" customWidth="1"/>
    <col min="9694" max="9695" width="7" style="43" customWidth="1"/>
    <col min="9696" max="9696" width="11.75" style="43" customWidth="1"/>
    <col min="9697" max="9697" width="8.125" style="43" customWidth="1"/>
    <col min="9698" max="9698" width="11.75" style="43" customWidth="1"/>
    <col min="9699" max="9700" width="7" style="43" customWidth="1"/>
    <col min="9701" max="9701" width="5.25" style="43" customWidth="1"/>
    <col min="9702" max="9705" width="7" style="43" customWidth="1"/>
    <col min="9706" max="9706" width="12.875" style="43" customWidth="1"/>
    <col min="9707" max="9707" width="8.125" style="43" customWidth="1"/>
    <col min="9708" max="9708" width="12.875" style="43" customWidth="1"/>
    <col min="9709" max="9710" width="7" style="43" customWidth="1"/>
    <col min="9711" max="9711" width="12.875" style="43" customWidth="1"/>
    <col min="9712" max="9712" width="8.125" style="43" customWidth="1"/>
    <col min="9713" max="9713" width="12.875" style="43" customWidth="1"/>
    <col min="9714" max="9715" width="7" style="43" customWidth="1"/>
    <col min="9716" max="9716" width="12.875" style="43" bestFit="1" customWidth="1"/>
    <col min="9717" max="9718" width="7" style="43" bestFit="1" customWidth="1"/>
    <col min="9719" max="9719" width="9.5" style="43" bestFit="1" customWidth="1"/>
    <col min="9720" max="9720" width="12.875" style="43" bestFit="1" customWidth="1"/>
    <col min="9721" max="9721" width="11.75" style="43" customWidth="1"/>
    <col min="9722" max="9723" width="7" style="43" customWidth="1"/>
    <col min="9724" max="9724" width="7.25" style="43" customWidth="1"/>
    <col min="9725" max="9726" width="11.75" style="43" customWidth="1"/>
    <col min="9727" max="9728" width="7" style="43" customWidth="1"/>
    <col min="9729" max="9729" width="7.25" style="43" customWidth="1"/>
    <col min="9730" max="9731" width="11.75" style="43" customWidth="1"/>
    <col min="9732" max="9733" width="7" style="43" customWidth="1"/>
    <col min="9734" max="9734" width="8.125" style="43" customWidth="1"/>
    <col min="9735" max="9736" width="11.75" style="43" customWidth="1"/>
    <col min="9737" max="9738" width="7" style="43" customWidth="1"/>
    <col min="9739" max="9739" width="7.25" style="43" customWidth="1"/>
    <col min="9740" max="9740" width="11.75" style="43" customWidth="1"/>
    <col min="9741" max="9741" width="12.875" style="43" bestFit="1" customWidth="1"/>
    <col min="9742" max="9743" width="7" style="43" bestFit="1" customWidth="1"/>
    <col min="9744" max="9744" width="9.5" style="43" bestFit="1" customWidth="1"/>
    <col min="9745" max="9745" width="12.875" style="43" bestFit="1" customWidth="1"/>
    <col min="9746" max="9746" width="11.75" style="43" customWidth="1"/>
    <col min="9747" max="9748" width="7" style="43" customWidth="1"/>
    <col min="9749" max="9749" width="7.25" style="43" customWidth="1"/>
    <col min="9750" max="9751" width="11.75" style="43" customWidth="1"/>
    <col min="9752" max="9753" width="7" style="43" customWidth="1"/>
    <col min="9754" max="9754" width="7.25" style="43" customWidth="1"/>
    <col min="9755" max="9756" width="11.75" style="43" customWidth="1"/>
    <col min="9757" max="9758" width="7" style="43" customWidth="1"/>
    <col min="9759" max="9759" width="7.25" style="43" customWidth="1"/>
    <col min="9760" max="9761" width="11.75" style="43" customWidth="1"/>
    <col min="9762" max="9763" width="7" style="43" customWidth="1"/>
    <col min="9764" max="9764" width="7.25" style="43" customWidth="1"/>
    <col min="9765" max="9765" width="11.75" style="43" customWidth="1"/>
    <col min="9766" max="9766" width="11.75" style="43" bestFit="1" customWidth="1"/>
    <col min="9767" max="9768" width="7" style="43" bestFit="1" customWidth="1"/>
    <col min="9769" max="9769" width="7.25" style="43" bestFit="1" customWidth="1"/>
    <col min="9770" max="9771" width="11.75" style="43" bestFit="1" customWidth="1"/>
    <col min="9772" max="9773" width="7" style="43" bestFit="1" customWidth="1"/>
    <col min="9774" max="9774" width="7.25" style="43" bestFit="1" customWidth="1"/>
    <col min="9775" max="9775" width="11.75" style="43" bestFit="1" customWidth="1"/>
    <col min="9776" max="9929" width="9" style="43"/>
    <col min="9930" max="9932" width="3.125" style="43" customWidth="1"/>
    <col min="9933" max="9933" width="16.375" style="43" bestFit="1" customWidth="1"/>
    <col min="9934" max="9934" width="5" style="43" bestFit="1" customWidth="1"/>
    <col min="9935" max="9936" width="9" style="43" bestFit="1" customWidth="1"/>
    <col min="9937" max="9937" width="12.875" style="43" bestFit="1" customWidth="1"/>
    <col min="9938" max="9938" width="8.125" style="43" bestFit="1" customWidth="1"/>
    <col min="9939" max="9939" width="12.875" style="43" bestFit="1" customWidth="1"/>
    <col min="9940" max="9940" width="9.5" style="43" bestFit="1" customWidth="1"/>
    <col min="9941" max="9942" width="12.875" style="43" bestFit="1" customWidth="1"/>
    <col min="9943" max="9943" width="8.125" style="43" bestFit="1" customWidth="1"/>
    <col min="9944" max="9944" width="12.875" style="43" bestFit="1" customWidth="1"/>
    <col min="9945" max="9945" width="7" style="43" bestFit="1" customWidth="1"/>
    <col min="9946" max="9946" width="10.125" style="43" bestFit="1" customWidth="1"/>
    <col min="9947" max="9947" width="10.125" style="43" customWidth="1"/>
    <col min="9948" max="9948" width="7" style="43" customWidth="1"/>
    <col min="9949" max="9949" width="10.125" style="43" customWidth="1"/>
    <col min="9950" max="9951" width="7" style="43" customWidth="1"/>
    <col min="9952" max="9952" width="11.75" style="43" customWidth="1"/>
    <col min="9953" max="9953" width="8.125" style="43" customWidth="1"/>
    <col min="9954" max="9954" width="11.75" style="43" customWidth="1"/>
    <col min="9955" max="9956" width="7" style="43" customWidth="1"/>
    <col min="9957" max="9957" width="5.25" style="43" customWidth="1"/>
    <col min="9958" max="9961" width="7" style="43" customWidth="1"/>
    <col min="9962" max="9962" width="12.875" style="43" customWidth="1"/>
    <col min="9963" max="9963" width="8.125" style="43" customWidth="1"/>
    <col min="9964" max="9964" width="12.875" style="43" customWidth="1"/>
    <col min="9965" max="9966" width="7" style="43" customWidth="1"/>
    <col min="9967" max="9967" width="12.875" style="43" customWidth="1"/>
    <col min="9968" max="9968" width="8.125" style="43" customWidth="1"/>
    <col min="9969" max="9969" width="12.875" style="43" customWidth="1"/>
    <col min="9970" max="9971" width="7" style="43" customWidth="1"/>
    <col min="9972" max="9972" width="12.875" style="43" bestFit="1" customWidth="1"/>
    <col min="9973" max="9974" width="7" style="43" bestFit="1" customWidth="1"/>
    <col min="9975" max="9975" width="9.5" style="43" bestFit="1" customWidth="1"/>
    <col min="9976" max="9976" width="12.875" style="43" bestFit="1" customWidth="1"/>
    <col min="9977" max="9977" width="11.75" style="43" customWidth="1"/>
    <col min="9978" max="9979" width="7" style="43" customWidth="1"/>
    <col min="9980" max="9980" width="7.25" style="43" customWidth="1"/>
    <col min="9981" max="9982" width="11.75" style="43" customWidth="1"/>
    <col min="9983" max="9984" width="7" style="43" customWidth="1"/>
    <col min="9985" max="9985" width="7.25" style="43" customWidth="1"/>
    <col min="9986" max="9987" width="11.75" style="43" customWidth="1"/>
    <col min="9988" max="9989" width="7" style="43" customWidth="1"/>
    <col min="9990" max="9990" width="8.125" style="43" customWidth="1"/>
    <col min="9991" max="9992" width="11.75" style="43" customWidth="1"/>
    <col min="9993" max="9994" width="7" style="43" customWidth="1"/>
    <col min="9995" max="9995" width="7.25" style="43" customWidth="1"/>
    <col min="9996" max="9996" width="11.75" style="43" customWidth="1"/>
    <col min="9997" max="9997" width="12.875" style="43" bestFit="1" customWidth="1"/>
    <col min="9998" max="9999" width="7" style="43" bestFit="1" customWidth="1"/>
    <col min="10000" max="10000" width="9.5" style="43" bestFit="1" customWidth="1"/>
    <col min="10001" max="10001" width="12.875" style="43" bestFit="1" customWidth="1"/>
    <col min="10002" max="10002" width="11.75" style="43" customWidth="1"/>
    <col min="10003" max="10004" width="7" style="43" customWidth="1"/>
    <col min="10005" max="10005" width="7.25" style="43" customWidth="1"/>
    <col min="10006" max="10007" width="11.75" style="43" customWidth="1"/>
    <col min="10008" max="10009" width="7" style="43" customWidth="1"/>
    <col min="10010" max="10010" width="7.25" style="43" customWidth="1"/>
    <col min="10011" max="10012" width="11.75" style="43" customWidth="1"/>
    <col min="10013" max="10014" width="7" style="43" customWidth="1"/>
    <col min="10015" max="10015" width="7.25" style="43" customWidth="1"/>
    <col min="10016" max="10017" width="11.75" style="43" customWidth="1"/>
    <col min="10018" max="10019" width="7" style="43" customWidth="1"/>
    <col min="10020" max="10020" width="7.25" style="43" customWidth="1"/>
    <col min="10021" max="10021" width="11.75" style="43" customWidth="1"/>
    <col min="10022" max="10022" width="11.75" style="43" bestFit="1" customWidth="1"/>
    <col min="10023" max="10024" width="7" style="43" bestFit="1" customWidth="1"/>
    <col min="10025" max="10025" width="7.25" style="43" bestFit="1" customWidth="1"/>
    <col min="10026" max="10027" width="11.75" style="43" bestFit="1" customWidth="1"/>
    <col min="10028" max="10029" width="7" style="43" bestFit="1" customWidth="1"/>
    <col min="10030" max="10030" width="7.25" style="43" bestFit="1" customWidth="1"/>
    <col min="10031" max="10031" width="11.75" style="43" bestFit="1" customWidth="1"/>
    <col min="10032" max="10185" width="9" style="43"/>
    <col min="10186" max="10188" width="3.125" style="43" customWidth="1"/>
    <col min="10189" max="10189" width="16.375" style="43" bestFit="1" customWidth="1"/>
    <col min="10190" max="10190" width="5" style="43" bestFit="1" customWidth="1"/>
    <col min="10191" max="10192" width="9" style="43" bestFit="1" customWidth="1"/>
    <col min="10193" max="10193" width="12.875" style="43" bestFit="1" customWidth="1"/>
    <col min="10194" max="10194" width="8.125" style="43" bestFit="1" customWidth="1"/>
    <col min="10195" max="10195" width="12.875" style="43" bestFit="1" customWidth="1"/>
    <col min="10196" max="10196" width="9.5" style="43" bestFit="1" customWidth="1"/>
    <col min="10197" max="10198" width="12.875" style="43" bestFit="1" customWidth="1"/>
    <col min="10199" max="10199" width="8.125" style="43" bestFit="1" customWidth="1"/>
    <col min="10200" max="10200" width="12.875" style="43" bestFit="1" customWidth="1"/>
    <col min="10201" max="10201" width="7" style="43" bestFit="1" customWidth="1"/>
    <col min="10202" max="10202" width="10.125" style="43" bestFit="1" customWidth="1"/>
    <col min="10203" max="10203" width="10.125" style="43" customWidth="1"/>
    <col min="10204" max="10204" width="7" style="43" customWidth="1"/>
    <col min="10205" max="10205" width="10.125" style="43" customWidth="1"/>
    <col min="10206" max="10207" width="7" style="43" customWidth="1"/>
    <col min="10208" max="10208" width="11.75" style="43" customWidth="1"/>
    <col min="10209" max="10209" width="8.125" style="43" customWidth="1"/>
    <col min="10210" max="10210" width="11.75" style="43" customWidth="1"/>
    <col min="10211" max="10212" width="7" style="43" customWidth="1"/>
    <col min="10213" max="10213" width="5.25" style="43" customWidth="1"/>
    <col min="10214" max="10217" width="7" style="43" customWidth="1"/>
    <col min="10218" max="10218" width="12.875" style="43" customWidth="1"/>
    <col min="10219" max="10219" width="8.125" style="43" customWidth="1"/>
    <col min="10220" max="10220" width="12.875" style="43" customWidth="1"/>
    <col min="10221" max="10222" width="7" style="43" customWidth="1"/>
    <col min="10223" max="10223" width="12.875" style="43" customWidth="1"/>
    <col min="10224" max="10224" width="8.125" style="43" customWidth="1"/>
    <col min="10225" max="10225" width="12.875" style="43" customWidth="1"/>
    <col min="10226" max="10227" width="7" style="43" customWidth="1"/>
    <col min="10228" max="10228" width="12.875" style="43" bestFit="1" customWidth="1"/>
    <col min="10229" max="10230" width="7" style="43" bestFit="1" customWidth="1"/>
    <col min="10231" max="10231" width="9.5" style="43" bestFit="1" customWidth="1"/>
    <col min="10232" max="10232" width="12.875" style="43" bestFit="1" customWidth="1"/>
    <col min="10233" max="10233" width="11.75" style="43" customWidth="1"/>
    <col min="10234" max="10235" width="7" style="43" customWidth="1"/>
    <col min="10236" max="10236" width="7.25" style="43" customWidth="1"/>
    <col min="10237" max="10238" width="11.75" style="43" customWidth="1"/>
    <col min="10239" max="10240" width="7" style="43" customWidth="1"/>
    <col min="10241" max="10241" width="7.25" style="43" customWidth="1"/>
    <col min="10242" max="10243" width="11.75" style="43" customWidth="1"/>
    <col min="10244" max="10245" width="7" style="43" customWidth="1"/>
    <col min="10246" max="10246" width="8.125" style="43" customWidth="1"/>
    <col min="10247" max="10248" width="11.75" style="43" customWidth="1"/>
    <col min="10249" max="10250" width="7" style="43" customWidth="1"/>
    <col min="10251" max="10251" width="7.25" style="43" customWidth="1"/>
    <col min="10252" max="10252" width="11.75" style="43" customWidth="1"/>
    <col min="10253" max="10253" width="12.875" style="43" bestFit="1" customWidth="1"/>
    <col min="10254" max="10255" width="7" style="43" bestFit="1" customWidth="1"/>
    <col min="10256" max="10256" width="9.5" style="43" bestFit="1" customWidth="1"/>
    <col min="10257" max="10257" width="12.875" style="43" bestFit="1" customWidth="1"/>
    <col min="10258" max="10258" width="11.75" style="43" customWidth="1"/>
    <col min="10259" max="10260" width="7" style="43" customWidth="1"/>
    <col min="10261" max="10261" width="7.25" style="43" customWidth="1"/>
    <col min="10262" max="10263" width="11.75" style="43" customWidth="1"/>
    <col min="10264" max="10265" width="7" style="43" customWidth="1"/>
    <col min="10266" max="10266" width="7.25" style="43" customWidth="1"/>
    <col min="10267" max="10268" width="11.75" style="43" customWidth="1"/>
    <col min="10269" max="10270" width="7" style="43" customWidth="1"/>
    <col min="10271" max="10271" width="7.25" style="43" customWidth="1"/>
    <col min="10272" max="10273" width="11.75" style="43" customWidth="1"/>
    <col min="10274" max="10275" width="7" style="43" customWidth="1"/>
    <col min="10276" max="10276" width="7.25" style="43" customWidth="1"/>
    <col min="10277" max="10277" width="11.75" style="43" customWidth="1"/>
    <col min="10278" max="10278" width="11.75" style="43" bestFit="1" customWidth="1"/>
    <col min="10279" max="10280" width="7" style="43" bestFit="1" customWidth="1"/>
    <col min="10281" max="10281" width="7.25" style="43" bestFit="1" customWidth="1"/>
    <col min="10282" max="10283" width="11.75" style="43" bestFit="1" customWidth="1"/>
    <col min="10284" max="10285" width="7" style="43" bestFit="1" customWidth="1"/>
    <col min="10286" max="10286" width="7.25" style="43" bestFit="1" customWidth="1"/>
    <col min="10287" max="10287" width="11.75" style="43" bestFit="1" customWidth="1"/>
    <col min="10288" max="10441" width="9" style="43"/>
    <col min="10442" max="10444" width="3.125" style="43" customWidth="1"/>
    <col min="10445" max="10445" width="16.375" style="43" bestFit="1" customWidth="1"/>
    <col min="10446" max="10446" width="5" style="43" bestFit="1" customWidth="1"/>
    <col min="10447" max="10448" width="9" style="43" bestFit="1" customWidth="1"/>
    <col min="10449" max="10449" width="12.875" style="43" bestFit="1" customWidth="1"/>
    <col min="10450" max="10450" width="8.125" style="43" bestFit="1" customWidth="1"/>
    <col min="10451" max="10451" width="12.875" style="43" bestFit="1" customWidth="1"/>
    <col min="10452" max="10452" width="9.5" style="43" bestFit="1" customWidth="1"/>
    <col min="10453" max="10454" width="12.875" style="43" bestFit="1" customWidth="1"/>
    <col min="10455" max="10455" width="8.125" style="43" bestFit="1" customWidth="1"/>
    <col min="10456" max="10456" width="12.875" style="43" bestFit="1" customWidth="1"/>
    <col min="10457" max="10457" width="7" style="43" bestFit="1" customWidth="1"/>
    <col min="10458" max="10458" width="10.125" style="43" bestFit="1" customWidth="1"/>
    <col min="10459" max="10459" width="10.125" style="43" customWidth="1"/>
    <col min="10460" max="10460" width="7" style="43" customWidth="1"/>
    <col min="10461" max="10461" width="10.125" style="43" customWidth="1"/>
    <col min="10462" max="10463" width="7" style="43" customWidth="1"/>
    <col min="10464" max="10464" width="11.75" style="43" customWidth="1"/>
    <col min="10465" max="10465" width="8.125" style="43" customWidth="1"/>
    <col min="10466" max="10466" width="11.75" style="43" customWidth="1"/>
    <col min="10467" max="10468" width="7" style="43" customWidth="1"/>
    <col min="10469" max="10469" width="5.25" style="43" customWidth="1"/>
    <col min="10470" max="10473" width="7" style="43" customWidth="1"/>
    <col min="10474" max="10474" width="12.875" style="43" customWidth="1"/>
    <col min="10475" max="10475" width="8.125" style="43" customWidth="1"/>
    <col min="10476" max="10476" width="12.875" style="43" customWidth="1"/>
    <col min="10477" max="10478" width="7" style="43" customWidth="1"/>
    <col min="10479" max="10479" width="12.875" style="43" customWidth="1"/>
    <col min="10480" max="10480" width="8.125" style="43" customWidth="1"/>
    <col min="10481" max="10481" width="12.875" style="43" customWidth="1"/>
    <col min="10482" max="10483" width="7" style="43" customWidth="1"/>
    <col min="10484" max="10484" width="12.875" style="43" bestFit="1" customWidth="1"/>
    <col min="10485" max="10486" width="7" style="43" bestFit="1" customWidth="1"/>
    <col min="10487" max="10487" width="9.5" style="43" bestFit="1" customWidth="1"/>
    <col min="10488" max="10488" width="12.875" style="43" bestFit="1" customWidth="1"/>
    <col min="10489" max="10489" width="11.75" style="43" customWidth="1"/>
    <col min="10490" max="10491" width="7" style="43" customWidth="1"/>
    <col min="10492" max="10492" width="7.25" style="43" customWidth="1"/>
    <col min="10493" max="10494" width="11.75" style="43" customWidth="1"/>
    <col min="10495" max="10496" width="7" style="43" customWidth="1"/>
    <col min="10497" max="10497" width="7.25" style="43" customWidth="1"/>
    <col min="10498" max="10499" width="11.75" style="43" customWidth="1"/>
    <col min="10500" max="10501" width="7" style="43" customWidth="1"/>
    <col min="10502" max="10502" width="8.125" style="43" customWidth="1"/>
    <col min="10503" max="10504" width="11.75" style="43" customWidth="1"/>
    <col min="10505" max="10506" width="7" style="43" customWidth="1"/>
    <col min="10507" max="10507" width="7.25" style="43" customWidth="1"/>
    <col min="10508" max="10508" width="11.75" style="43" customWidth="1"/>
    <col min="10509" max="10509" width="12.875" style="43" bestFit="1" customWidth="1"/>
    <col min="10510" max="10511" width="7" style="43" bestFit="1" customWidth="1"/>
    <col min="10512" max="10512" width="9.5" style="43" bestFit="1" customWidth="1"/>
    <col min="10513" max="10513" width="12.875" style="43" bestFit="1" customWidth="1"/>
    <col min="10514" max="10514" width="11.75" style="43" customWidth="1"/>
    <col min="10515" max="10516" width="7" style="43" customWidth="1"/>
    <col min="10517" max="10517" width="7.25" style="43" customWidth="1"/>
    <col min="10518" max="10519" width="11.75" style="43" customWidth="1"/>
    <col min="10520" max="10521" width="7" style="43" customWidth="1"/>
    <col min="10522" max="10522" width="7.25" style="43" customWidth="1"/>
    <col min="10523" max="10524" width="11.75" style="43" customWidth="1"/>
    <col min="10525" max="10526" width="7" style="43" customWidth="1"/>
    <col min="10527" max="10527" width="7.25" style="43" customWidth="1"/>
    <col min="10528" max="10529" width="11.75" style="43" customWidth="1"/>
    <col min="10530" max="10531" width="7" style="43" customWidth="1"/>
    <col min="10532" max="10532" width="7.25" style="43" customWidth="1"/>
    <col min="10533" max="10533" width="11.75" style="43" customWidth="1"/>
    <col min="10534" max="10534" width="11.75" style="43" bestFit="1" customWidth="1"/>
    <col min="10535" max="10536" width="7" style="43" bestFit="1" customWidth="1"/>
    <col min="10537" max="10537" width="7.25" style="43" bestFit="1" customWidth="1"/>
    <col min="10538" max="10539" width="11.75" style="43" bestFit="1" customWidth="1"/>
    <col min="10540" max="10541" width="7" style="43" bestFit="1" customWidth="1"/>
    <col min="10542" max="10542" width="7.25" style="43" bestFit="1" customWidth="1"/>
    <col min="10543" max="10543" width="11.75" style="43" bestFit="1" customWidth="1"/>
    <col min="10544" max="10697" width="9" style="43"/>
    <col min="10698" max="10700" width="3.125" style="43" customWidth="1"/>
    <col min="10701" max="10701" width="16.375" style="43" bestFit="1" customWidth="1"/>
    <col min="10702" max="10702" width="5" style="43" bestFit="1" customWidth="1"/>
    <col min="10703" max="10704" width="9" style="43" bestFit="1" customWidth="1"/>
    <col min="10705" max="10705" width="12.875" style="43" bestFit="1" customWidth="1"/>
    <col min="10706" max="10706" width="8.125" style="43" bestFit="1" customWidth="1"/>
    <col min="10707" max="10707" width="12.875" style="43" bestFit="1" customWidth="1"/>
    <col min="10708" max="10708" width="9.5" style="43" bestFit="1" customWidth="1"/>
    <col min="10709" max="10710" width="12.875" style="43" bestFit="1" customWidth="1"/>
    <col min="10711" max="10711" width="8.125" style="43" bestFit="1" customWidth="1"/>
    <col min="10712" max="10712" width="12.875" style="43" bestFit="1" customWidth="1"/>
    <col min="10713" max="10713" width="7" style="43" bestFit="1" customWidth="1"/>
    <col min="10714" max="10714" width="10.125" style="43" bestFit="1" customWidth="1"/>
    <col min="10715" max="10715" width="10.125" style="43" customWidth="1"/>
    <col min="10716" max="10716" width="7" style="43" customWidth="1"/>
    <col min="10717" max="10717" width="10.125" style="43" customWidth="1"/>
    <col min="10718" max="10719" width="7" style="43" customWidth="1"/>
    <col min="10720" max="10720" width="11.75" style="43" customWidth="1"/>
    <col min="10721" max="10721" width="8.125" style="43" customWidth="1"/>
    <col min="10722" max="10722" width="11.75" style="43" customWidth="1"/>
    <col min="10723" max="10724" width="7" style="43" customWidth="1"/>
    <col min="10725" max="10725" width="5.25" style="43" customWidth="1"/>
    <col min="10726" max="10729" width="7" style="43" customWidth="1"/>
    <col min="10730" max="10730" width="12.875" style="43" customWidth="1"/>
    <col min="10731" max="10731" width="8.125" style="43" customWidth="1"/>
    <col min="10732" max="10732" width="12.875" style="43" customWidth="1"/>
    <col min="10733" max="10734" width="7" style="43" customWidth="1"/>
    <col min="10735" max="10735" width="12.875" style="43" customWidth="1"/>
    <col min="10736" max="10736" width="8.125" style="43" customWidth="1"/>
    <col min="10737" max="10737" width="12.875" style="43" customWidth="1"/>
    <col min="10738" max="10739" width="7" style="43" customWidth="1"/>
    <col min="10740" max="10740" width="12.875" style="43" bestFit="1" customWidth="1"/>
    <col min="10741" max="10742" width="7" style="43" bestFit="1" customWidth="1"/>
    <col min="10743" max="10743" width="9.5" style="43" bestFit="1" customWidth="1"/>
    <col min="10744" max="10744" width="12.875" style="43" bestFit="1" customWidth="1"/>
    <col min="10745" max="10745" width="11.75" style="43" customWidth="1"/>
    <col min="10746" max="10747" width="7" style="43" customWidth="1"/>
    <col min="10748" max="10748" width="7.25" style="43" customWidth="1"/>
    <col min="10749" max="10750" width="11.75" style="43" customWidth="1"/>
    <col min="10751" max="10752" width="7" style="43" customWidth="1"/>
    <col min="10753" max="10753" width="7.25" style="43" customWidth="1"/>
    <col min="10754" max="10755" width="11.75" style="43" customWidth="1"/>
    <col min="10756" max="10757" width="7" style="43" customWidth="1"/>
    <col min="10758" max="10758" width="8.125" style="43" customWidth="1"/>
    <col min="10759" max="10760" width="11.75" style="43" customWidth="1"/>
    <col min="10761" max="10762" width="7" style="43" customWidth="1"/>
    <col min="10763" max="10763" width="7.25" style="43" customWidth="1"/>
    <col min="10764" max="10764" width="11.75" style="43" customWidth="1"/>
    <col min="10765" max="10765" width="12.875" style="43" bestFit="1" customWidth="1"/>
    <col min="10766" max="10767" width="7" style="43" bestFit="1" customWidth="1"/>
    <col min="10768" max="10768" width="9.5" style="43" bestFit="1" customWidth="1"/>
    <col min="10769" max="10769" width="12.875" style="43" bestFit="1" customWidth="1"/>
    <col min="10770" max="10770" width="11.75" style="43" customWidth="1"/>
    <col min="10771" max="10772" width="7" style="43" customWidth="1"/>
    <col min="10773" max="10773" width="7.25" style="43" customWidth="1"/>
    <col min="10774" max="10775" width="11.75" style="43" customWidth="1"/>
    <col min="10776" max="10777" width="7" style="43" customWidth="1"/>
    <col min="10778" max="10778" width="7.25" style="43" customWidth="1"/>
    <col min="10779" max="10780" width="11.75" style="43" customWidth="1"/>
    <col min="10781" max="10782" width="7" style="43" customWidth="1"/>
    <col min="10783" max="10783" width="7.25" style="43" customWidth="1"/>
    <col min="10784" max="10785" width="11.75" style="43" customWidth="1"/>
    <col min="10786" max="10787" width="7" style="43" customWidth="1"/>
    <col min="10788" max="10788" width="7.25" style="43" customWidth="1"/>
    <col min="10789" max="10789" width="11.75" style="43" customWidth="1"/>
    <col min="10790" max="10790" width="11.75" style="43" bestFit="1" customWidth="1"/>
    <col min="10791" max="10792" width="7" style="43" bestFit="1" customWidth="1"/>
    <col min="10793" max="10793" width="7.25" style="43" bestFit="1" customWidth="1"/>
    <col min="10794" max="10795" width="11.75" style="43" bestFit="1" customWidth="1"/>
    <col min="10796" max="10797" width="7" style="43" bestFit="1" customWidth="1"/>
    <col min="10798" max="10798" width="7.25" style="43" bestFit="1" customWidth="1"/>
    <col min="10799" max="10799" width="11.75" style="43" bestFit="1" customWidth="1"/>
    <col min="10800" max="10953" width="9" style="43"/>
    <col min="10954" max="10956" width="3.125" style="43" customWidth="1"/>
    <col min="10957" max="10957" width="16.375" style="43" bestFit="1" customWidth="1"/>
    <col min="10958" max="10958" width="5" style="43" bestFit="1" customWidth="1"/>
    <col min="10959" max="10960" width="9" style="43" bestFit="1" customWidth="1"/>
    <col min="10961" max="10961" width="12.875" style="43" bestFit="1" customWidth="1"/>
    <col min="10962" max="10962" width="8.125" style="43" bestFit="1" customWidth="1"/>
    <col min="10963" max="10963" width="12.875" style="43" bestFit="1" customWidth="1"/>
    <col min="10964" max="10964" width="9.5" style="43" bestFit="1" customWidth="1"/>
    <col min="10965" max="10966" width="12.875" style="43" bestFit="1" customWidth="1"/>
    <col min="10967" max="10967" width="8.125" style="43" bestFit="1" customWidth="1"/>
    <col min="10968" max="10968" width="12.875" style="43" bestFit="1" customWidth="1"/>
    <col min="10969" max="10969" width="7" style="43" bestFit="1" customWidth="1"/>
    <col min="10970" max="10970" width="10.125" style="43" bestFit="1" customWidth="1"/>
    <col min="10971" max="10971" width="10.125" style="43" customWidth="1"/>
    <col min="10972" max="10972" width="7" style="43" customWidth="1"/>
    <col min="10973" max="10973" width="10.125" style="43" customWidth="1"/>
    <col min="10974" max="10975" width="7" style="43" customWidth="1"/>
    <col min="10976" max="10976" width="11.75" style="43" customWidth="1"/>
    <col min="10977" max="10977" width="8.125" style="43" customWidth="1"/>
    <col min="10978" max="10978" width="11.75" style="43" customWidth="1"/>
    <col min="10979" max="10980" width="7" style="43" customWidth="1"/>
    <col min="10981" max="10981" width="5.25" style="43" customWidth="1"/>
    <col min="10982" max="10985" width="7" style="43" customWidth="1"/>
    <col min="10986" max="10986" width="12.875" style="43" customWidth="1"/>
    <col min="10987" max="10987" width="8.125" style="43" customWidth="1"/>
    <col min="10988" max="10988" width="12.875" style="43" customWidth="1"/>
    <col min="10989" max="10990" width="7" style="43" customWidth="1"/>
    <col min="10991" max="10991" width="12.875" style="43" customWidth="1"/>
    <col min="10992" max="10992" width="8.125" style="43" customWidth="1"/>
    <col min="10993" max="10993" width="12.875" style="43" customWidth="1"/>
    <col min="10994" max="10995" width="7" style="43" customWidth="1"/>
    <col min="10996" max="10996" width="12.875" style="43" bestFit="1" customWidth="1"/>
    <col min="10997" max="10998" width="7" style="43" bestFit="1" customWidth="1"/>
    <col min="10999" max="10999" width="9.5" style="43" bestFit="1" customWidth="1"/>
    <col min="11000" max="11000" width="12.875" style="43" bestFit="1" customWidth="1"/>
    <col min="11001" max="11001" width="11.75" style="43" customWidth="1"/>
    <col min="11002" max="11003" width="7" style="43" customWidth="1"/>
    <col min="11004" max="11004" width="7.25" style="43" customWidth="1"/>
    <col min="11005" max="11006" width="11.75" style="43" customWidth="1"/>
    <col min="11007" max="11008" width="7" style="43" customWidth="1"/>
    <col min="11009" max="11009" width="7.25" style="43" customWidth="1"/>
    <col min="11010" max="11011" width="11.75" style="43" customWidth="1"/>
    <col min="11012" max="11013" width="7" style="43" customWidth="1"/>
    <col min="11014" max="11014" width="8.125" style="43" customWidth="1"/>
    <col min="11015" max="11016" width="11.75" style="43" customWidth="1"/>
    <col min="11017" max="11018" width="7" style="43" customWidth="1"/>
    <col min="11019" max="11019" width="7.25" style="43" customWidth="1"/>
    <col min="11020" max="11020" width="11.75" style="43" customWidth="1"/>
    <col min="11021" max="11021" width="12.875" style="43" bestFit="1" customWidth="1"/>
    <col min="11022" max="11023" width="7" style="43" bestFit="1" customWidth="1"/>
    <col min="11024" max="11024" width="9.5" style="43" bestFit="1" customWidth="1"/>
    <col min="11025" max="11025" width="12.875" style="43" bestFit="1" customWidth="1"/>
    <col min="11026" max="11026" width="11.75" style="43" customWidth="1"/>
    <col min="11027" max="11028" width="7" style="43" customWidth="1"/>
    <col min="11029" max="11029" width="7.25" style="43" customWidth="1"/>
    <col min="11030" max="11031" width="11.75" style="43" customWidth="1"/>
    <col min="11032" max="11033" width="7" style="43" customWidth="1"/>
    <col min="11034" max="11034" width="7.25" style="43" customWidth="1"/>
    <col min="11035" max="11036" width="11.75" style="43" customWidth="1"/>
    <col min="11037" max="11038" width="7" style="43" customWidth="1"/>
    <col min="11039" max="11039" width="7.25" style="43" customWidth="1"/>
    <col min="11040" max="11041" width="11.75" style="43" customWidth="1"/>
    <col min="11042" max="11043" width="7" style="43" customWidth="1"/>
    <col min="11044" max="11044" width="7.25" style="43" customWidth="1"/>
    <col min="11045" max="11045" width="11.75" style="43" customWidth="1"/>
    <col min="11046" max="11046" width="11.75" style="43" bestFit="1" customWidth="1"/>
    <col min="11047" max="11048" width="7" style="43" bestFit="1" customWidth="1"/>
    <col min="11049" max="11049" width="7.25" style="43" bestFit="1" customWidth="1"/>
    <col min="11050" max="11051" width="11.75" style="43" bestFit="1" customWidth="1"/>
    <col min="11052" max="11053" width="7" style="43" bestFit="1" customWidth="1"/>
    <col min="11054" max="11054" width="7.25" style="43" bestFit="1" customWidth="1"/>
    <col min="11055" max="11055" width="11.75" style="43" bestFit="1" customWidth="1"/>
    <col min="11056" max="11209" width="9" style="43"/>
    <col min="11210" max="11212" width="3.125" style="43" customWidth="1"/>
    <col min="11213" max="11213" width="16.375" style="43" bestFit="1" customWidth="1"/>
    <col min="11214" max="11214" width="5" style="43" bestFit="1" customWidth="1"/>
    <col min="11215" max="11216" width="9" style="43" bestFit="1" customWidth="1"/>
    <col min="11217" max="11217" width="12.875" style="43" bestFit="1" customWidth="1"/>
    <col min="11218" max="11218" width="8.125" style="43" bestFit="1" customWidth="1"/>
    <col min="11219" max="11219" width="12.875" style="43" bestFit="1" customWidth="1"/>
    <col min="11220" max="11220" width="9.5" style="43" bestFit="1" customWidth="1"/>
    <col min="11221" max="11222" width="12.875" style="43" bestFit="1" customWidth="1"/>
    <col min="11223" max="11223" width="8.125" style="43" bestFit="1" customWidth="1"/>
    <col min="11224" max="11224" width="12.875" style="43" bestFit="1" customWidth="1"/>
    <col min="11225" max="11225" width="7" style="43" bestFit="1" customWidth="1"/>
    <col min="11226" max="11226" width="10.125" style="43" bestFit="1" customWidth="1"/>
    <col min="11227" max="11227" width="10.125" style="43" customWidth="1"/>
    <col min="11228" max="11228" width="7" style="43" customWidth="1"/>
    <col min="11229" max="11229" width="10.125" style="43" customWidth="1"/>
    <col min="11230" max="11231" width="7" style="43" customWidth="1"/>
    <col min="11232" max="11232" width="11.75" style="43" customWidth="1"/>
    <col min="11233" max="11233" width="8.125" style="43" customWidth="1"/>
    <col min="11234" max="11234" width="11.75" style="43" customWidth="1"/>
    <col min="11235" max="11236" width="7" style="43" customWidth="1"/>
    <col min="11237" max="11237" width="5.25" style="43" customWidth="1"/>
    <col min="11238" max="11241" width="7" style="43" customWidth="1"/>
    <col min="11242" max="11242" width="12.875" style="43" customWidth="1"/>
    <col min="11243" max="11243" width="8.125" style="43" customWidth="1"/>
    <col min="11244" max="11244" width="12.875" style="43" customWidth="1"/>
    <col min="11245" max="11246" width="7" style="43" customWidth="1"/>
    <col min="11247" max="11247" width="12.875" style="43" customWidth="1"/>
    <col min="11248" max="11248" width="8.125" style="43" customWidth="1"/>
    <col min="11249" max="11249" width="12.875" style="43" customWidth="1"/>
    <col min="11250" max="11251" width="7" style="43" customWidth="1"/>
    <col min="11252" max="11252" width="12.875" style="43" bestFit="1" customWidth="1"/>
    <col min="11253" max="11254" width="7" style="43" bestFit="1" customWidth="1"/>
    <col min="11255" max="11255" width="9.5" style="43" bestFit="1" customWidth="1"/>
    <col min="11256" max="11256" width="12.875" style="43" bestFit="1" customWidth="1"/>
    <col min="11257" max="11257" width="11.75" style="43" customWidth="1"/>
    <col min="11258" max="11259" width="7" style="43" customWidth="1"/>
    <col min="11260" max="11260" width="7.25" style="43" customWidth="1"/>
    <col min="11261" max="11262" width="11.75" style="43" customWidth="1"/>
    <col min="11263" max="11264" width="7" style="43" customWidth="1"/>
    <col min="11265" max="11265" width="7.25" style="43" customWidth="1"/>
    <col min="11266" max="11267" width="11.75" style="43" customWidth="1"/>
    <col min="11268" max="11269" width="7" style="43" customWidth="1"/>
    <col min="11270" max="11270" width="8.125" style="43" customWidth="1"/>
    <col min="11271" max="11272" width="11.75" style="43" customWidth="1"/>
    <col min="11273" max="11274" width="7" style="43" customWidth="1"/>
    <col min="11275" max="11275" width="7.25" style="43" customWidth="1"/>
    <col min="11276" max="11276" width="11.75" style="43" customWidth="1"/>
    <col min="11277" max="11277" width="12.875" style="43" bestFit="1" customWidth="1"/>
    <col min="11278" max="11279" width="7" style="43" bestFit="1" customWidth="1"/>
    <col min="11280" max="11280" width="9.5" style="43" bestFit="1" customWidth="1"/>
    <col min="11281" max="11281" width="12.875" style="43" bestFit="1" customWidth="1"/>
    <col min="11282" max="11282" width="11.75" style="43" customWidth="1"/>
    <col min="11283" max="11284" width="7" style="43" customWidth="1"/>
    <col min="11285" max="11285" width="7.25" style="43" customWidth="1"/>
    <col min="11286" max="11287" width="11.75" style="43" customWidth="1"/>
    <col min="11288" max="11289" width="7" style="43" customWidth="1"/>
    <col min="11290" max="11290" width="7.25" style="43" customWidth="1"/>
    <col min="11291" max="11292" width="11.75" style="43" customWidth="1"/>
    <col min="11293" max="11294" width="7" style="43" customWidth="1"/>
    <col min="11295" max="11295" width="7.25" style="43" customWidth="1"/>
    <col min="11296" max="11297" width="11.75" style="43" customWidth="1"/>
    <col min="11298" max="11299" width="7" style="43" customWidth="1"/>
    <col min="11300" max="11300" width="7.25" style="43" customWidth="1"/>
    <col min="11301" max="11301" width="11.75" style="43" customWidth="1"/>
    <col min="11302" max="11302" width="11.75" style="43" bestFit="1" customWidth="1"/>
    <col min="11303" max="11304" width="7" style="43" bestFit="1" customWidth="1"/>
    <col min="11305" max="11305" width="7.25" style="43" bestFit="1" customWidth="1"/>
    <col min="11306" max="11307" width="11.75" style="43" bestFit="1" customWidth="1"/>
    <col min="11308" max="11309" width="7" style="43" bestFit="1" customWidth="1"/>
    <col min="11310" max="11310" width="7.25" style="43" bestFit="1" customWidth="1"/>
    <col min="11311" max="11311" width="11.75" style="43" bestFit="1" customWidth="1"/>
    <col min="11312" max="11465" width="9" style="43"/>
    <col min="11466" max="11468" width="3.125" style="43" customWidth="1"/>
    <col min="11469" max="11469" width="16.375" style="43" bestFit="1" customWidth="1"/>
    <col min="11470" max="11470" width="5" style="43" bestFit="1" customWidth="1"/>
    <col min="11471" max="11472" width="9" style="43" bestFit="1" customWidth="1"/>
    <col min="11473" max="11473" width="12.875" style="43" bestFit="1" customWidth="1"/>
    <col min="11474" max="11474" width="8.125" style="43" bestFit="1" customWidth="1"/>
    <col min="11475" max="11475" width="12.875" style="43" bestFit="1" customWidth="1"/>
    <col min="11476" max="11476" width="9.5" style="43" bestFit="1" customWidth="1"/>
    <col min="11477" max="11478" width="12.875" style="43" bestFit="1" customWidth="1"/>
    <col min="11479" max="11479" width="8.125" style="43" bestFit="1" customWidth="1"/>
    <col min="11480" max="11480" width="12.875" style="43" bestFit="1" customWidth="1"/>
    <col min="11481" max="11481" width="7" style="43" bestFit="1" customWidth="1"/>
    <col min="11482" max="11482" width="10.125" style="43" bestFit="1" customWidth="1"/>
    <col min="11483" max="11483" width="10.125" style="43" customWidth="1"/>
    <col min="11484" max="11484" width="7" style="43" customWidth="1"/>
    <col min="11485" max="11485" width="10.125" style="43" customWidth="1"/>
    <col min="11486" max="11487" width="7" style="43" customWidth="1"/>
    <col min="11488" max="11488" width="11.75" style="43" customWidth="1"/>
    <col min="11489" max="11489" width="8.125" style="43" customWidth="1"/>
    <col min="11490" max="11490" width="11.75" style="43" customWidth="1"/>
    <col min="11491" max="11492" width="7" style="43" customWidth="1"/>
    <col min="11493" max="11493" width="5.25" style="43" customWidth="1"/>
    <col min="11494" max="11497" width="7" style="43" customWidth="1"/>
    <col min="11498" max="11498" width="12.875" style="43" customWidth="1"/>
    <col min="11499" max="11499" width="8.125" style="43" customWidth="1"/>
    <col min="11500" max="11500" width="12.875" style="43" customWidth="1"/>
    <col min="11501" max="11502" width="7" style="43" customWidth="1"/>
    <col min="11503" max="11503" width="12.875" style="43" customWidth="1"/>
    <col min="11504" max="11504" width="8.125" style="43" customWidth="1"/>
    <col min="11505" max="11505" width="12.875" style="43" customWidth="1"/>
    <col min="11506" max="11507" width="7" style="43" customWidth="1"/>
    <col min="11508" max="11508" width="12.875" style="43" bestFit="1" customWidth="1"/>
    <col min="11509" max="11510" width="7" style="43" bestFit="1" customWidth="1"/>
    <col min="11511" max="11511" width="9.5" style="43" bestFit="1" customWidth="1"/>
    <col min="11512" max="11512" width="12.875" style="43" bestFit="1" customWidth="1"/>
    <col min="11513" max="11513" width="11.75" style="43" customWidth="1"/>
    <col min="11514" max="11515" width="7" style="43" customWidth="1"/>
    <col min="11516" max="11516" width="7.25" style="43" customWidth="1"/>
    <col min="11517" max="11518" width="11.75" style="43" customWidth="1"/>
    <col min="11519" max="11520" width="7" style="43" customWidth="1"/>
    <col min="11521" max="11521" width="7.25" style="43" customWidth="1"/>
    <col min="11522" max="11523" width="11.75" style="43" customWidth="1"/>
    <col min="11524" max="11525" width="7" style="43" customWidth="1"/>
    <col min="11526" max="11526" width="8.125" style="43" customWidth="1"/>
    <col min="11527" max="11528" width="11.75" style="43" customWidth="1"/>
    <col min="11529" max="11530" width="7" style="43" customWidth="1"/>
    <col min="11531" max="11531" width="7.25" style="43" customWidth="1"/>
    <col min="11532" max="11532" width="11.75" style="43" customWidth="1"/>
    <col min="11533" max="11533" width="12.875" style="43" bestFit="1" customWidth="1"/>
    <col min="11534" max="11535" width="7" style="43" bestFit="1" customWidth="1"/>
    <col min="11536" max="11536" width="9.5" style="43" bestFit="1" customWidth="1"/>
    <col min="11537" max="11537" width="12.875" style="43" bestFit="1" customWidth="1"/>
    <col min="11538" max="11538" width="11.75" style="43" customWidth="1"/>
    <col min="11539" max="11540" width="7" style="43" customWidth="1"/>
    <col min="11541" max="11541" width="7.25" style="43" customWidth="1"/>
    <col min="11542" max="11543" width="11.75" style="43" customWidth="1"/>
    <col min="11544" max="11545" width="7" style="43" customWidth="1"/>
    <col min="11546" max="11546" width="7.25" style="43" customWidth="1"/>
    <col min="11547" max="11548" width="11.75" style="43" customWidth="1"/>
    <col min="11549" max="11550" width="7" style="43" customWidth="1"/>
    <col min="11551" max="11551" width="7.25" style="43" customWidth="1"/>
    <col min="11552" max="11553" width="11.75" style="43" customWidth="1"/>
    <col min="11554" max="11555" width="7" style="43" customWidth="1"/>
    <col min="11556" max="11556" width="7.25" style="43" customWidth="1"/>
    <col min="11557" max="11557" width="11.75" style="43" customWidth="1"/>
    <col min="11558" max="11558" width="11.75" style="43" bestFit="1" customWidth="1"/>
    <col min="11559" max="11560" width="7" style="43" bestFit="1" customWidth="1"/>
    <col min="11561" max="11561" width="7.25" style="43" bestFit="1" customWidth="1"/>
    <col min="11562" max="11563" width="11.75" style="43" bestFit="1" customWidth="1"/>
    <col min="11564" max="11565" width="7" style="43" bestFit="1" customWidth="1"/>
    <col min="11566" max="11566" width="7.25" style="43" bestFit="1" customWidth="1"/>
    <col min="11567" max="11567" width="11.75" style="43" bestFit="1" customWidth="1"/>
    <col min="11568" max="11721" width="9" style="43"/>
    <col min="11722" max="11724" width="3.125" style="43" customWidth="1"/>
    <col min="11725" max="11725" width="16.375" style="43" bestFit="1" customWidth="1"/>
    <col min="11726" max="11726" width="5" style="43" bestFit="1" customWidth="1"/>
    <col min="11727" max="11728" width="9" style="43" bestFit="1" customWidth="1"/>
    <col min="11729" max="11729" width="12.875" style="43" bestFit="1" customWidth="1"/>
    <col min="11730" max="11730" width="8.125" style="43" bestFit="1" customWidth="1"/>
    <col min="11731" max="11731" width="12.875" style="43" bestFit="1" customWidth="1"/>
    <col min="11732" max="11732" width="9.5" style="43" bestFit="1" customWidth="1"/>
    <col min="11733" max="11734" width="12.875" style="43" bestFit="1" customWidth="1"/>
    <col min="11735" max="11735" width="8.125" style="43" bestFit="1" customWidth="1"/>
    <col min="11736" max="11736" width="12.875" style="43" bestFit="1" customWidth="1"/>
    <col min="11737" max="11737" width="7" style="43" bestFit="1" customWidth="1"/>
    <col min="11738" max="11738" width="10.125" style="43" bestFit="1" customWidth="1"/>
    <col min="11739" max="11739" width="10.125" style="43" customWidth="1"/>
    <col min="11740" max="11740" width="7" style="43" customWidth="1"/>
    <col min="11741" max="11741" width="10.125" style="43" customWidth="1"/>
    <col min="11742" max="11743" width="7" style="43" customWidth="1"/>
    <col min="11744" max="11744" width="11.75" style="43" customWidth="1"/>
    <col min="11745" max="11745" width="8.125" style="43" customWidth="1"/>
    <col min="11746" max="11746" width="11.75" style="43" customWidth="1"/>
    <col min="11747" max="11748" width="7" style="43" customWidth="1"/>
    <col min="11749" max="11749" width="5.25" style="43" customWidth="1"/>
    <col min="11750" max="11753" width="7" style="43" customWidth="1"/>
    <col min="11754" max="11754" width="12.875" style="43" customWidth="1"/>
    <col min="11755" max="11755" width="8.125" style="43" customWidth="1"/>
    <col min="11756" max="11756" width="12.875" style="43" customWidth="1"/>
    <col min="11757" max="11758" width="7" style="43" customWidth="1"/>
    <col min="11759" max="11759" width="12.875" style="43" customWidth="1"/>
    <col min="11760" max="11760" width="8.125" style="43" customWidth="1"/>
    <col min="11761" max="11761" width="12.875" style="43" customWidth="1"/>
    <col min="11762" max="11763" width="7" style="43" customWidth="1"/>
    <col min="11764" max="11764" width="12.875" style="43" bestFit="1" customWidth="1"/>
    <col min="11765" max="11766" width="7" style="43" bestFit="1" customWidth="1"/>
    <col min="11767" max="11767" width="9.5" style="43" bestFit="1" customWidth="1"/>
    <col min="11768" max="11768" width="12.875" style="43" bestFit="1" customWidth="1"/>
    <col min="11769" max="11769" width="11.75" style="43" customWidth="1"/>
    <col min="11770" max="11771" width="7" style="43" customWidth="1"/>
    <col min="11772" max="11772" width="7.25" style="43" customWidth="1"/>
    <col min="11773" max="11774" width="11.75" style="43" customWidth="1"/>
    <col min="11775" max="11776" width="7" style="43" customWidth="1"/>
    <col min="11777" max="11777" width="7.25" style="43" customWidth="1"/>
    <col min="11778" max="11779" width="11.75" style="43" customWidth="1"/>
    <col min="11780" max="11781" width="7" style="43" customWidth="1"/>
    <col min="11782" max="11782" width="8.125" style="43" customWidth="1"/>
    <col min="11783" max="11784" width="11.75" style="43" customWidth="1"/>
    <col min="11785" max="11786" width="7" style="43" customWidth="1"/>
    <col min="11787" max="11787" width="7.25" style="43" customWidth="1"/>
    <col min="11788" max="11788" width="11.75" style="43" customWidth="1"/>
    <col min="11789" max="11789" width="12.875" style="43" bestFit="1" customWidth="1"/>
    <col min="11790" max="11791" width="7" style="43" bestFit="1" customWidth="1"/>
    <col min="11792" max="11792" width="9.5" style="43" bestFit="1" customWidth="1"/>
    <col min="11793" max="11793" width="12.875" style="43" bestFit="1" customWidth="1"/>
    <col min="11794" max="11794" width="11.75" style="43" customWidth="1"/>
    <col min="11795" max="11796" width="7" style="43" customWidth="1"/>
    <col min="11797" max="11797" width="7.25" style="43" customWidth="1"/>
    <col min="11798" max="11799" width="11.75" style="43" customWidth="1"/>
    <col min="11800" max="11801" width="7" style="43" customWidth="1"/>
    <col min="11802" max="11802" width="7.25" style="43" customWidth="1"/>
    <col min="11803" max="11804" width="11.75" style="43" customWidth="1"/>
    <col min="11805" max="11806" width="7" style="43" customWidth="1"/>
    <col min="11807" max="11807" width="7.25" style="43" customWidth="1"/>
    <col min="11808" max="11809" width="11.75" style="43" customWidth="1"/>
    <col min="11810" max="11811" width="7" style="43" customWidth="1"/>
    <col min="11812" max="11812" width="7.25" style="43" customWidth="1"/>
    <col min="11813" max="11813" width="11.75" style="43" customWidth="1"/>
    <col min="11814" max="11814" width="11.75" style="43" bestFit="1" customWidth="1"/>
    <col min="11815" max="11816" width="7" style="43" bestFit="1" customWidth="1"/>
    <col min="11817" max="11817" width="7.25" style="43" bestFit="1" customWidth="1"/>
    <col min="11818" max="11819" width="11.75" style="43" bestFit="1" customWidth="1"/>
    <col min="11820" max="11821" width="7" style="43" bestFit="1" customWidth="1"/>
    <col min="11822" max="11822" width="7.25" style="43" bestFit="1" customWidth="1"/>
    <col min="11823" max="11823" width="11.75" style="43" bestFit="1" customWidth="1"/>
    <col min="11824" max="11977" width="9" style="43"/>
    <col min="11978" max="11980" width="3.125" style="43" customWidth="1"/>
    <col min="11981" max="11981" width="16.375" style="43" bestFit="1" customWidth="1"/>
    <col min="11982" max="11982" width="5" style="43" bestFit="1" customWidth="1"/>
    <col min="11983" max="11984" width="9" style="43" bestFit="1" customWidth="1"/>
    <col min="11985" max="11985" width="12.875" style="43" bestFit="1" customWidth="1"/>
    <col min="11986" max="11986" width="8.125" style="43" bestFit="1" customWidth="1"/>
    <col min="11987" max="11987" width="12.875" style="43" bestFit="1" customWidth="1"/>
    <col min="11988" max="11988" width="9.5" style="43" bestFit="1" customWidth="1"/>
    <col min="11989" max="11990" width="12.875" style="43" bestFit="1" customWidth="1"/>
    <col min="11991" max="11991" width="8.125" style="43" bestFit="1" customWidth="1"/>
    <col min="11992" max="11992" width="12.875" style="43" bestFit="1" customWidth="1"/>
    <col min="11993" max="11993" width="7" style="43" bestFit="1" customWidth="1"/>
    <col min="11994" max="11994" width="10.125" style="43" bestFit="1" customWidth="1"/>
    <col min="11995" max="11995" width="10.125" style="43" customWidth="1"/>
    <col min="11996" max="11996" width="7" style="43" customWidth="1"/>
    <col min="11997" max="11997" width="10.125" style="43" customWidth="1"/>
    <col min="11998" max="11999" width="7" style="43" customWidth="1"/>
    <col min="12000" max="12000" width="11.75" style="43" customWidth="1"/>
    <col min="12001" max="12001" width="8.125" style="43" customWidth="1"/>
    <col min="12002" max="12002" width="11.75" style="43" customWidth="1"/>
    <col min="12003" max="12004" width="7" style="43" customWidth="1"/>
    <col min="12005" max="12005" width="5.25" style="43" customWidth="1"/>
    <col min="12006" max="12009" width="7" style="43" customWidth="1"/>
    <col min="12010" max="12010" width="12.875" style="43" customWidth="1"/>
    <col min="12011" max="12011" width="8.125" style="43" customWidth="1"/>
    <col min="12012" max="12012" width="12.875" style="43" customWidth="1"/>
    <col min="12013" max="12014" width="7" style="43" customWidth="1"/>
    <col min="12015" max="12015" width="12.875" style="43" customWidth="1"/>
    <col min="12016" max="12016" width="8.125" style="43" customWidth="1"/>
    <col min="12017" max="12017" width="12.875" style="43" customWidth="1"/>
    <col min="12018" max="12019" width="7" style="43" customWidth="1"/>
    <col min="12020" max="12020" width="12.875" style="43" bestFit="1" customWidth="1"/>
    <col min="12021" max="12022" width="7" style="43" bestFit="1" customWidth="1"/>
    <col min="12023" max="12023" width="9.5" style="43" bestFit="1" customWidth="1"/>
    <col min="12024" max="12024" width="12.875" style="43" bestFit="1" customWidth="1"/>
    <col min="12025" max="12025" width="11.75" style="43" customWidth="1"/>
    <col min="12026" max="12027" width="7" style="43" customWidth="1"/>
    <col min="12028" max="12028" width="7.25" style="43" customWidth="1"/>
    <col min="12029" max="12030" width="11.75" style="43" customWidth="1"/>
    <col min="12031" max="12032" width="7" style="43" customWidth="1"/>
    <col min="12033" max="12033" width="7.25" style="43" customWidth="1"/>
    <col min="12034" max="12035" width="11.75" style="43" customWidth="1"/>
    <col min="12036" max="12037" width="7" style="43" customWidth="1"/>
    <col min="12038" max="12038" width="8.125" style="43" customWidth="1"/>
    <col min="12039" max="12040" width="11.75" style="43" customWidth="1"/>
    <col min="12041" max="12042" width="7" style="43" customWidth="1"/>
    <col min="12043" max="12043" width="7.25" style="43" customWidth="1"/>
    <col min="12044" max="12044" width="11.75" style="43" customWidth="1"/>
    <col min="12045" max="12045" width="12.875" style="43" bestFit="1" customWidth="1"/>
    <col min="12046" max="12047" width="7" style="43" bestFit="1" customWidth="1"/>
    <col min="12048" max="12048" width="9.5" style="43" bestFit="1" customWidth="1"/>
    <col min="12049" max="12049" width="12.875" style="43" bestFit="1" customWidth="1"/>
    <col min="12050" max="12050" width="11.75" style="43" customWidth="1"/>
    <col min="12051" max="12052" width="7" style="43" customWidth="1"/>
    <col min="12053" max="12053" width="7.25" style="43" customWidth="1"/>
    <col min="12054" max="12055" width="11.75" style="43" customWidth="1"/>
    <col min="12056" max="12057" width="7" style="43" customWidth="1"/>
    <col min="12058" max="12058" width="7.25" style="43" customWidth="1"/>
    <col min="12059" max="12060" width="11.75" style="43" customWidth="1"/>
    <col min="12061" max="12062" width="7" style="43" customWidth="1"/>
    <col min="12063" max="12063" width="7.25" style="43" customWidth="1"/>
    <col min="12064" max="12065" width="11.75" style="43" customWidth="1"/>
    <col min="12066" max="12067" width="7" style="43" customWidth="1"/>
    <col min="12068" max="12068" width="7.25" style="43" customWidth="1"/>
    <col min="12069" max="12069" width="11.75" style="43" customWidth="1"/>
    <col min="12070" max="12070" width="11.75" style="43" bestFit="1" customWidth="1"/>
    <col min="12071" max="12072" width="7" style="43" bestFit="1" customWidth="1"/>
    <col min="12073" max="12073" width="7.25" style="43" bestFit="1" customWidth="1"/>
    <col min="12074" max="12075" width="11.75" style="43" bestFit="1" customWidth="1"/>
    <col min="12076" max="12077" width="7" style="43" bestFit="1" customWidth="1"/>
    <col min="12078" max="12078" width="7.25" style="43" bestFit="1" customWidth="1"/>
    <col min="12079" max="12079" width="11.75" style="43" bestFit="1" customWidth="1"/>
    <col min="12080" max="12233" width="9" style="43"/>
    <col min="12234" max="12236" width="3.125" style="43" customWidth="1"/>
    <col min="12237" max="12237" width="16.375" style="43" bestFit="1" customWidth="1"/>
    <col min="12238" max="12238" width="5" style="43" bestFit="1" customWidth="1"/>
    <col min="12239" max="12240" width="9" style="43" bestFit="1" customWidth="1"/>
    <col min="12241" max="12241" width="12.875" style="43" bestFit="1" customWidth="1"/>
    <col min="12242" max="12242" width="8.125" style="43" bestFit="1" customWidth="1"/>
    <col min="12243" max="12243" width="12.875" style="43" bestFit="1" customWidth="1"/>
    <col min="12244" max="12244" width="9.5" style="43" bestFit="1" customWidth="1"/>
    <col min="12245" max="12246" width="12.875" style="43" bestFit="1" customWidth="1"/>
    <col min="12247" max="12247" width="8.125" style="43" bestFit="1" customWidth="1"/>
    <col min="12248" max="12248" width="12.875" style="43" bestFit="1" customWidth="1"/>
    <col min="12249" max="12249" width="7" style="43" bestFit="1" customWidth="1"/>
    <col min="12250" max="12250" width="10.125" style="43" bestFit="1" customWidth="1"/>
    <col min="12251" max="12251" width="10.125" style="43" customWidth="1"/>
    <col min="12252" max="12252" width="7" style="43" customWidth="1"/>
    <col min="12253" max="12253" width="10.125" style="43" customWidth="1"/>
    <col min="12254" max="12255" width="7" style="43" customWidth="1"/>
    <col min="12256" max="12256" width="11.75" style="43" customWidth="1"/>
    <col min="12257" max="12257" width="8.125" style="43" customWidth="1"/>
    <col min="12258" max="12258" width="11.75" style="43" customWidth="1"/>
    <col min="12259" max="12260" width="7" style="43" customWidth="1"/>
    <col min="12261" max="12261" width="5.25" style="43" customWidth="1"/>
    <col min="12262" max="12265" width="7" style="43" customWidth="1"/>
    <col min="12266" max="12266" width="12.875" style="43" customWidth="1"/>
    <col min="12267" max="12267" width="8.125" style="43" customWidth="1"/>
    <col min="12268" max="12268" width="12.875" style="43" customWidth="1"/>
    <col min="12269" max="12270" width="7" style="43" customWidth="1"/>
    <col min="12271" max="12271" width="12.875" style="43" customWidth="1"/>
    <col min="12272" max="12272" width="8.125" style="43" customWidth="1"/>
    <col min="12273" max="12273" width="12.875" style="43" customWidth="1"/>
    <col min="12274" max="12275" width="7" style="43" customWidth="1"/>
    <col min="12276" max="12276" width="12.875" style="43" bestFit="1" customWidth="1"/>
    <col min="12277" max="12278" width="7" style="43" bestFit="1" customWidth="1"/>
    <col min="12279" max="12279" width="9.5" style="43" bestFit="1" customWidth="1"/>
    <col min="12280" max="12280" width="12.875" style="43" bestFit="1" customWidth="1"/>
    <col min="12281" max="12281" width="11.75" style="43" customWidth="1"/>
    <col min="12282" max="12283" width="7" style="43" customWidth="1"/>
    <col min="12284" max="12284" width="7.25" style="43" customWidth="1"/>
    <col min="12285" max="12286" width="11.75" style="43" customWidth="1"/>
    <col min="12287" max="12288" width="7" style="43" customWidth="1"/>
    <col min="12289" max="12289" width="7.25" style="43" customWidth="1"/>
    <col min="12290" max="12291" width="11.75" style="43" customWidth="1"/>
    <col min="12292" max="12293" width="7" style="43" customWidth="1"/>
    <col min="12294" max="12294" width="8.125" style="43" customWidth="1"/>
    <col min="12295" max="12296" width="11.75" style="43" customWidth="1"/>
    <col min="12297" max="12298" width="7" style="43" customWidth="1"/>
    <col min="12299" max="12299" width="7.25" style="43" customWidth="1"/>
    <col min="12300" max="12300" width="11.75" style="43" customWidth="1"/>
    <col min="12301" max="12301" width="12.875" style="43" bestFit="1" customWidth="1"/>
    <col min="12302" max="12303" width="7" style="43" bestFit="1" customWidth="1"/>
    <col min="12304" max="12304" width="9.5" style="43" bestFit="1" customWidth="1"/>
    <col min="12305" max="12305" width="12.875" style="43" bestFit="1" customWidth="1"/>
    <col min="12306" max="12306" width="11.75" style="43" customWidth="1"/>
    <col min="12307" max="12308" width="7" style="43" customWidth="1"/>
    <col min="12309" max="12309" width="7.25" style="43" customWidth="1"/>
    <col min="12310" max="12311" width="11.75" style="43" customWidth="1"/>
    <col min="12312" max="12313" width="7" style="43" customWidth="1"/>
    <col min="12314" max="12314" width="7.25" style="43" customWidth="1"/>
    <col min="12315" max="12316" width="11.75" style="43" customWidth="1"/>
    <col min="12317" max="12318" width="7" style="43" customWidth="1"/>
    <col min="12319" max="12319" width="7.25" style="43" customWidth="1"/>
    <col min="12320" max="12321" width="11.75" style="43" customWidth="1"/>
    <col min="12322" max="12323" width="7" style="43" customWidth="1"/>
    <col min="12324" max="12324" width="7.25" style="43" customWidth="1"/>
    <col min="12325" max="12325" width="11.75" style="43" customWidth="1"/>
    <col min="12326" max="12326" width="11.75" style="43" bestFit="1" customWidth="1"/>
    <col min="12327" max="12328" width="7" style="43" bestFit="1" customWidth="1"/>
    <col min="12329" max="12329" width="7.25" style="43" bestFit="1" customWidth="1"/>
    <col min="12330" max="12331" width="11.75" style="43" bestFit="1" customWidth="1"/>
    <col min="12332" max="12333" width="7" style="43" bestFit="1" customWidth="1"/>
    <col min="12334" max="12334" width="7.25" style="43" bestFit="1" customWidth="1"/>
    <col min="12335" max="12335" width="11.75" style="43" bestFit="1" customWidth="1"/>
    <col min="12336" max="12489" width="9" style="43"/>
    <col min="12490" max="12492" width="3.125" style="43" customWidth="1"/>
    <col min="12493" max="12493" width="16.375" style="43" bestFit="1" customWidth="1"/>
    <col min="12494" max="12494" width="5" style="43" bestFit="1" customWidth="1"/>
    <col min="12495" max="12496" width="9" style="43" bestFit="1" customWidth="1"/>
    <col min="12497" max="12497" width="12.875" style="43" bestFit="1" customWidth="1"/>
    <col min="12498" max="12498" width="8.125" style="43" bestFit="1" customWidth="1"/>
    <col min="12499" max="12499" width="12.875" style="43" bestFit="1" customWidth="1"/>
    <col min="12500" max="12500" width="9.5" style="43" bestFit="1" customWidth="1"/>
    <col min="12501" max="12502" width="12.875" style="43" bestFit="1" customWidth="1"/>
    <col min="12503" max="12503" width="8.125" style="43" bestFit="1" customWidth="1"/>
    <col min="12504" max="12504" width="12.875" style="43" bestFit="1" customWidth="1"/>
    <col min="12505" max="12505" width="7" style="43" bestFit="1" customWidth="1"/>
    <col min="12506" max="12506" width="10.125" style="43" bestFit="1" customWidth="1"/>
    <col min="12507" max="12507" width="10.125" style="43" customWidth="1"/>
    <col min="12508" max="12508" width="7" style="43" customWidth="1"/>
    <col min="12509" max="12509" width="10.125" style="43" customWidth="1"/>
    <col min="12510" max="12511" width="7" style="43" customWidth="1"/>
    <col min="12512" max="12512" width="11.75" style="43" customWidth="1"/>
    <col min="12513" max="12513" width="8.125" style="43" customWidth="1"/>
    <col min="12514" max="12514" width="11.75" style="43" customWidth="1"/>
    <col min="12515" max="12516" width="7" style="43" customWidth="1"/>
    <col min="12517" max="12517" width="5.25" style="43" customWidth="1"/>
    <col min="12518" max="12521" width="7" style="43" customWidth="1"/>
    <col min="12522" max="12522" width="12.875" style="43" customWidth="1"/>
    <col min="12523" max="12523" width="8.125" style="43" customWidth="1"/>
    <col min="12524" max="12524" width="12.875" style="43" customWidth="1"/>
    <col min="12525" max="12526" width="7" style="43" customWidth="1"/>
    <col min="12527" max="12527" width="12.875" style="43" customWidth="1"/>
    <col min="12528" max="12528" width="8.125" style="43" customWidth="1"/>
    <col min="12529" max="12529" width="12.875" style="43" customWidth="1"/>
    <col min="12530" max="12531" width="7" style="43" customWidth="1"/>
    <col min="12532" max="12532" width="12.875" style="43" bestFit="1" customWidth="1"/>
    <col min="12533" max="12534" width="7" style="43" bestFit="1" customWidth="1"/>
    <col min="12535" max="12535" width="9.5" style="43" bestFit="1" customWidth="1"/>
    <col min="12536" max="12536" width="12.875" style="43" bestFit="1" customWidth="1"/>
    <col min="12537" max="12537" width="11.75" style="43" customWidth="1"/>
    <col min="12538" max="12539" width="7" style="43" customWidth="1"/>
    <col min="12540" max="12540" width="7.25" style="43" customWidth="1"/>
    <col min="12541" max="12542" width="11.75" style="43" customWidth="1"/>
    <col min="12543" max="12544" width="7" style="43" customWidth="1"/>
    <col min="12545" max="12545" width="7.25" style="43" customWidth="1"/>
    <col min="12546" max="12547" width="11.75" style="43" customWidth="1"/>
    <col min="12548" max="12549" width="7" style="43" customWidth="1"/>
    <col min="12550" max="12550" width="8.125" style="43" customWidth="1"/>
    <col min="12551" max="12552" width="11.75" style="43" customWidth="1"/>
    <col min="12553" max="12554" width="7" style="43" customWidth="1"/>
    <col min="12555" max="12555" width="7.25" style="43" customWidth="1"/>
    <col min="12556" max="12556" width="11.75" style="43" customWidth="1"/>
    <col min="12557" max="12557" width="12.875" style="43" bestFit="1" customWidth="1"/>
    <col min="12558" max="12559" width="7" style="43" bestFit="1" customWidth="1"/>
    <col min="12560" max="12560" width="9.5" style="43" bestFit="1" customWidth="1"/>
    <col min="12561" max="12561" width="12.875" style="43" bestFit="1" customWidth="1"/>
    <col min="12562" max="12562" width="11.75" style="43" customWidth="1"/>
    <col min="12563" max="12564" width="7" style="43" customWidth="1"/>
    <col min="12565" max="12565" width="7.25" style="43" customWidth="1"/>
    <col min="12566" max="12567" width="11.75" style="43" customWidth="1"/>
    <col min="12568" max="12569" width="7" style="43" customWidth="1"/>
    <col min="12570" max="12570" width="7.25" style="43" customWidth="1"/>
    <col min="12571" max="12572" width="11.75" style="43" customWidth="1"/>
    <col min="12573" max="12574" width="7" style="43" customWidth="1"/>
    <col min="12575" max="12575" width="7.25" style="43" customWidth="1"/>
    <col min="12576" max="12577" width="11.75" style="43" customWidth="1"/>
    <col min="12578" max="12579" width="7" style="43" customWidth="1"/>
    <col min="12580" max="12580" width="7.25" style="43" customWidth="1"/>
    <col min="12581" max="12581" width="11.75" style="43" customWidth="1"/>
    <col min="12582" max="12582" width="11.75" style="43" bestFit="1" customWidth="1"/>
    <col min="12583" max="12584" width="7" style="43" bestFit="1" customWidth="1"/>
    <col min="12585" max="12585" width="7.25" style="43" bestFit="1" customWidth="1"/>
    <col min="12586" max="12587" width="11.75" style="43" bestFit="1" customWidth="1"/>
    <col min="12588" max="12589" width="7" style="43" bestFit="1" customWidth="1"/>
    <col min="12590" max="12590" width="7.25" style="43" bestFit="1" customWidth="1"/>
    <col min="12591" max="12591" width="11.75" style="43" bestFit="1" customWidth="1"/>
    <col min="12592" max="12745" width="9" style="43"/>
    <col min="12746" max="12748" width="3.125" style="43" customWidth="1"/>
    <col min="12749" max="12749" width="16.375" style="43" bestFit="1" customWidth="1"/>
    <col min="12750" max="12750" width="5" style="43" bestFit="1" customWidth="1"/>
    <col min="12751" max="12752" width="9" style="43" bestFit="1" customWidth="1"/>
    <col min="12753" max="12753" width="12.875" style="43" bestFit="1" customWidth="1"/>
    <col min="12754" max="12754" width="8.125" style="43" bestFit="1" customWidth="1"/>
    <col min="12755" max="12755" width="12.875" style="43" bestFit="1" customWidth="1"/>
    <col min="12756" max="12756" width="9.5" style="43" bestFit="1" customWidth="1"/>
    <col min="12757" max="12758" width="12.875" style="43" bestFit="1" customWidth="1"/>
    <col min="12759" max="12759" width="8.125" style="43" bestFit="1" customWidth="1"/>
    <col min="12760" max="12760" width="12.875" style="43" bestFit="1" customWidth="1"/>
    <col min="12761" max="12761" width="7" style="43" bestFit="1" customWidth="1"/>
    <col min="12762" max="12762" width="10.125" style="43" bestFit="1" customWidth="1"/>
    <col min="12763" max="12763" width="10.125" style="43" customWidth="1"/>
    <col min="12764" max="12764" width="7" style="43" customWidth="1"/>
    <col min="12765" max="12765" width="10.125" style="43" customWidth="1"/>
    <col min="12766" max="12767" width="7" style="43" customWidth="1"/>
    <col min="12768" max="12768" width="11.75" style="43" customWidth="1"/>
    <col min="12769" max="12769" width="8.125" style="43" customWidth="1"/>
    <col min="12770" max="12770" width="11.75" style="43" customWidth="1"/>
    <col min="12771" max="12772" width="7" style="43" customWidth="1"/>
    <col min="12773" max="12773" width="5.25" style="43" customWidth="1"/>
    <col min="12774" max="12777" width="7" style="43" customWidth="1"/>
    <col min="12778" max="12778" width="12.875" style="43" customWidth="1"/>
    <col min="12779" max="12779" width="8.125" style="43" customWidth="1"/>
    <col min="12780" max="12780" width="12.875" style="43" customWidth="1"/>
    <col min="12781" max="12782" width="7" style="43" customWidth="1"/>
    <col min="12783" max="12783" width="12.875" style="43" customWidth="1"/>
    <col min="12784" max="12784" width="8.125" style="43" customWidth="1"/>
    <col min="12785" max="12785" width="12.875" style="43" customWidth="1"/>
    <col min="12786" max="12787" width="7" style="43" customWidth="1"/>
    <col min="12788" max="12788" width="12.875" style="43" bestFit="1" customWidth="1"/>
    <col min="12789" max="12790" width="7" style="43" bestFit="1" customWidth="1"/>
    <col min="12791" max="12791" width="9.5" style="43" bestFit="1" customWidth="1"/>
    <col min="12792" max="12792" width="12.875" style="43" bestFit="1" customWidth="1"/>
    <col min="12793" max="12793" width="11.75" style="43" customWidth="1"/>
    <col min="12794" max="12795" width="7" style="43" customWidth="1"/>
    <col min="12796" max="12796" width="7.25" style="43" customWidth="1"/>
    <col min="12797" max="12798" width="11.75" style="43" customWidth="1"/>
    <col min="12799" max="12800" width="7" style="43" customWidth="1"/>
    <col min="12801" max="12801" width="7.25" style="43" customWidth="1"/>
    <col min="12802" max="12803" width="11.75" style="43" customWidth="1"/>
    <col min="12804" max="12805" width="7" style="43" customWidth="1"/>
    <col min="12806" max="12806" width="8.125" style="43" customWidth="1"/>
    <col min="12807" max="12808" width="11.75" style="43" customWidth="1"/>
    <col min="12809" max="12810" width="7" style="43" customWidth="1"/>
    <col min="12811" max="12811" width="7.25" style="43" customWidth="1"/>
    <col min="12812" max="12812" width="11.75" style="43" customWidth="1"/>
    <col min="12813" max="12813" width="12.875" style="43" bestFit="1" customWidth="1"/>
    <col min="12814" max="12815" width="7" style="43" bestFit="1" customWidth="1"/>
    <col min="12816" max="12816" width="9.5" style="43" bestFit="1" customWidth="1"/>
    <col min="12817" max="12817" width="12.875" style="43" bestFit="1" customWidth="1"/>
    <col min="12818" max="12818" width="11.75" style="43" customWidth="1"/>
    <col min="12819" max="12820" width="7" style="43" customWidth="1"/>
    <col min="12821" max="12821" width="7.25" style="43" customWidth="1"/>
    <col min="12822" max="12823" width="11.75" style="43" customWidth="1"/>
    <col min="12824" max="12825" width="7" style="43" customWidth="1"/>
    <col min="12826" max="12826" width="7.25" style="43" customWidth="1"/>
    <col min="12827" max="12828" width="11.75" style="43" customWidth="1"/>
    <col min="12829" max="12830" width="7" style="43" customWidth="1"/>
    <col min="12831" max="12831" width="7.25" style="43" customWidth="1"/>
    <col min="12832" max="12833" width="11.75" style="43" customWidth="1"/>
    <col min="12834" max="12835" width="7" style="43" customWidth="1"/>
    <col min="12836" max="12836" width="7.25" style="43" customWidth="1"/>
    <col min="12837" max="12837" width="11.75" style="43" customWidth="1"/>
    <col min="12838" max="12838" width="11.75" style="43" bestFit="1" customWidth="1"/>
    <col min="12839" max="12840" width="7" style="43" bestFit="1" customWidth="1"/>
    <col min="12841" max="12841" width="7.25" style="43" bestFit="1" customWidth="1"/>
    <col min="12842" max="12843" width="11.75" style="43" bestFit="1" customWidth="1"/>
    <col min="12844" max="12845" width="7" style="43" bestFit="1" customWidth="1"/>
    <col min="12846" max="12846" width="7.25" style="43" bestFit="1" customWidth="1"/>
    <col min="12847" max="12847" width="11.75" style="43" bestFit="1" customWidth="1"/>
    <col min="12848" max="13001" width="9" style="43"/>
    <col min="13002" max="13004" width="3.125" style="43" customWidth="1"/>
    <col min="13005" max="13005" width="16.375" style="43" bestFit="1" customWidth="1"/>
    <col min="13006" max="13006" width="5" style="43" bestFit="1" customWidth="1"/>
    <col min="13007" max="13008" width="9" style="43" bestFit="1" customWidth="1"/>
    <col min="13009" max="13009" width="12.875" style="43" bestFit="1" customWidth="1"/>
    <col min="13010" max="13010" width="8.125" style="43" bestFit="1" customWidth="1"/>
    <col min="13011" max="13011" width="12.875" style="43" bestFit="1" customWidth="1"/>
    <col min="13012" max="13012" width="9.5" style="43" bestFit="1" customWidth="1"/>
    <col min="13013" max="13014" width="12.875" style="43" bestFit="1" customWidth="1"/>
    <col min="13015" max="13015" width="8.125" style="43" bestFit="1" customWidth="1"/>
    <col min="13016" max="13016" width="12.875" style="43" bestFit="1" customWidth="1"/>
    <col min="13017" max="13017" width="7" style="43" bestFit="1" customWidth="1"/>
    <col min="13018" max="13018" width="10.125" style="43" bestFit="1" customWidth="1"/>
    <col min="13019" max="13019" width="10.125" style="43" customWidth="1"/>
    <col min="13020" max="13020" width="7" style="43" customWidth="1"/>
    <col min="13021" max="13021" width="10.125" style="43" customWidth="1"/>
    <col min="13022" max="13023" width="7" style="43" customWidth="1"/>
    <col min="13024" max="13024" width="11.75" style="43" customWidth="1"/>
    <col min="13025" max="13025" width="8.125" style="43" customWidth="1"/>
    <col min="13026" max="13026" width="11.75" style="43" customWidth="1"/>
    <col min="13027" max="13028" width="7" style="43" customWidth="1"/>
    <col min="13029" max="13029" width="5.25" style="43" customWidth="1"/>
    <col min="13030" max="13033" width="7" style="43" customWidth="1"/>
    <col min="13034" max="13034" width="12.875" style="43" customWidth="1"/>
    <col min="13035" max="13035" width="8.125" style="43" customWidth="1"/>
    <col min="13036" max="13036" width="12.875" style="43" customWidth="1"/>
    <col min="13037" max="13038" width="7" style="43" customWidth="1"/>
    <col min="13039" max="13039" width="12.875" style="43" customWidth="1"/>
    <col min="13040" max="13040" width="8.125" style="43" customWidth="1"/>
    <col min="13041" max="13041" width="12.875" style="43" customWidth="1"/>
    <col min="13042" max="13043" width="7" style="43" customWidth="1"/>
    <col min="13044" max="13044" width="12.875" style="43" bestFit="1" customWidth="1"/>
    <col min="13045" max="13046" width="7" style="43" bestFit="1" customWidth="1"/>
    <col min="13047" max="13047" width="9.5" style="43" bestFit="1" customWidth="1"/>
    <col min="13048" max="13048" width="12.875" style="43" bestFit="1" customWidth="1"/>
    <col min="13049" max="13049" width="11.75" style="43" customWidth="1"/>
    <col min="13050" max="13051" width="7" style="43" customWidth="1"/>
    <col min="13052" max="13052" width="7.25" style="43" customWidth="1"/>
    <col min="13053" max="13054" width="11.75" style="43" customWidth="1"/>
    <col min="13055" max="13056" width="7" style="43" customWidth="1"/>
    <col min="13057" max="13057" width="7.25" style="43" customWidth="1"/>
    <col min="13058" max="13059" width="11.75" style="43" customWidth="1"/>
    <col min="13060" max="13061" width="7" style="43" customWidth="1"/>
    <col min="13062" max="13062" width="8.125" style="43" customWidth="1"/>
    <col min="13063" max="13064" width="11.75" style="43" customWidth="1"/>
    <col min="13065" max="13066" width="7" style="43" customWidth="1"/>
    <col min="13067" max="13067" width="7.25" style="43" customWidth="1"/>
    <col min="13068" max="13068" width="11.75" style="43" customWidth="1"/>
    <col min="13069" max="13069" width="12.875" style="43" bestFit="1" customWidth="1"/>
    <col min="13070" max="13071" width="7" style="43" bestFit="1" customWidth="1"/>
    <col min="13072" max="13072" width="9.5" style="43" bestFit="1" customWidth="1"/>
    <col min="13073" max="13073" width="12.875" style="43" bestFit="1" customWidth="1"/>
    <col min="13074" max="13074" width="11.75" style="43" customWidth="1"/>
    <col min="13075" max="13076" width="7" style="43" customWidth="1"/>
    <col min="13077" max="13077" width="7.25" style="43" customWidth="1"/>
    <col min="13078" max="13079" width="11.75" style="43" customWidth="1"/>
    <col min="13080" max="13081" width="7" style="43" customWidth="1"/>
    <col min="13082" max="13082" width="7.25" style="43" customWidth="1"/>
    <col min="13083" max="13084" width="11.75" style="43" customWidth="1"/>
    <col min="13085" max="13086" width="7" style="43" customWidth="1"/>
    <col min="13087" max="13087" width="7.25" style="43" customWidth="1"/>
    <col min="13088" max="13089" width="11.75" style="43" customWidth="1"/>
    <col min="13090" max="13091" width="7" style="43" customWidth="1"/>
    <col min="13092" max="13092" width="7.25" style="43" customWidth="1"/>
    <col min="13093" max="13093" width="11.75" style="43" customWidth="1"/>
    <col min="13094" max="13094" width="11.75" style="43" bestFit="1" customWidth="1"/>
    <col min="13095" max="13096" width="7" style="43" bestFit="1" customWidth="1"/>
    <col min="13097" max="13097" width="7.25" style="43" bestFit="1" customWidth="1"/>
    <col min="13098" max="13099" width="11.75" style="43" bestFit="1" customWidth="1"/>
    <col min="13100" max="13101" width="7" style="43" bestFit="1" customWidth="1"/>
    <col min="13102" max="13102" width="7.25" style="43" bestFit="1" customWidth="1"/>
    <col min="13103" max="13103" width="11.75" style="43" bestFit="1" customWidth="1"/>
    <col min="13104" max="13257" width="9" style="43"/>
    <col min="13258" max="13260" width="3.125" style="43" customWidth="1"/>
    <col min="13261" max="13261" width="16.375" style="43" bestFit="1" customWidth="1"/>
    <col min="13262" max="13262" width="5" style="43" bestFit="1" customWidth="1"/>
    <col min="13263" max="13264" width="9" style="43" bestFit="1" customWidth="1"/>
    <col min="13265" max="13265" width="12.875" style="43" bestFit="1" customWidth="1"/>
    <col min="13266" max="13266" width="8.125" style="43" bestFit="1" customWidth="1"/>
    <col min="13267" max="13267" width="12.875" style="43" bestFit="1" customWidth="1"/>
    <col min="13268" max="13268" width="9.5" style="43" bestFit="1" customWidth="1"/>
    <col min="13269" max="13270" width="12.875" style="43" bestFit="1" customWidth="1"/>
    <col min="13271" max="13271" width="8.125" style="43" bestFit="1" customWidth="1"/>
    <col min="13272" max="13272" width="12.875" style="43" bestFit="1" customWidth="1"/>
    <col min="13273" max="13273" width="7" style="43" bestFit="1" customWidth="1"/>
    <col min="13274" max="13274" width="10.125" style="43" bestFit="1" customWidth="1"/>
    <col min="13275" max="13275" width="10.125" style="43" customWidth="1"/>
    <col min="13276" max="13276" width="7" style="43" customWidth="1"/>
    <col min="13277" max="13277" width="10.125" style="43" customWidth="1"/>
    <col min="13278" max="13279" width="7" style="43" customWidth="1"/>
    <col min="13280" max="13280" width="11.75" style="43" customWidth="1"/>
    <col min="13281" max="13281" width="8.125" style="43" customWidth="1"/>
    <col min="13282" max="13282" width="11.75" style="43" customWidth="1"/>
    <col min="13283" max="13284" width="7" style="43" customWidth="1"/>
    <col min="13285" max="13285" width="5.25" style="43" customWidth="1"/>
    <col min="13286" max="13289" width="7" style="43" customWidth="1"/>
    <col min="13290" max="13290" width="12.875" style="43" customWidth="1"/>
    <col min="13291" max="13291" width="8.125" style="43" customWidth="1"/>
    <col min="13292" max="13292" width="12.875" style="43" customWidth="1"/>
    <col min="13293" max="13294" width="7" style="43" customWidth="1"/>
    <col min="13295" max="13295" width="12.875" style="43" customWidth="1"/>
    <col min="13296" max="13296" width="8.125" style="43" customWidth="1"/>
    <col min="13297" max="13297" width="12.875" style="43" customWidth="1"/>
    <col min="13298" max="13299" width="7" style="43" customWidth="1"/>
    <col min="13300" max="13300" width="12.875" style="43" bestFit="1" customWidth="1"/>
    <col min="13301" max="13302" width="7" style="43" bestFit="1" customWidth="1"/>
    <col min="13303" max="13303" width="9.5" style="43" bestFit="1" customWidth="1"/>
    <col min="13304" max="13304" width="12.875" style="43" bestFit="1" customWidth="1"/>
    <col min="13305" max="13305" width="11.75" style="43" customWidth="1"/>
    <col min="13306" max="13307" width="7" style="43" customWidth="1"/>
    <col min="13308" max="13308" width="7.25" style="43" customWidth="1"/>
    <col min="13309" max="13310" width="11.75" style="43" customWidth="1"/>
    <col min="13311" max="13312" width="7" style="43" customWidth="1"/>
    <col min="13313" max="13313" width="7.25" style="43" customWidth="1"/>
    <col min="13314" max="13315" width="11.75" style="43" customWidth="1"/>
    <col min="13316" max="13317" width="7" style="43" customWidth="1"/>
    <col min="13318" max="13318" width="8.125" style="43" customWidth="1"/>
    <col min="13319" max="13320" width="11.75" style="43" customWidth="1"/>
    <col min="13321" max="13322" width="7" style="43" customWidth="1"/>
    <col min="13323" max="13323" width="7.25" style="43" customWidth="1"/>
    <col min="13324" max="13324" width="11.75" style="43" customWidth="1"/>
    <col min="13325" max="13325" width="12.875" style="43" bestFit="1" customWidth="1"/>
    <col min="13326" max="13327" width="7" style="43" bestFit="1" customWidth="1"/>
    <col min="13328" max="13328" width="9.5" style="43" bestFit="1" customWidth="1"/>
    <col min="13329" max="13329" width="12.875" style="43" bestFit="1" customWidth="1"/>
    <col min="13330" max="13330" width="11.75" style="43" customWidth="1"/>
    <col min="13331" max="13332" width="7" style="43" customWidth="1"/>
    <col min="13333" max="13333" width="7.25" style="43" customWidth="1"/>
    <col min="13334" max="13335" width="11.75" style="43" customWidth="1"/>
    <col min="13336" max="13337" width="7" style="43" customWidth="1"/>
    <col min="13338" max="13338" width="7.25" style="43" customWidth="1"/>
    <col min="13339" max="13340" width="11.75" style="43" customWidth="1"/>
    <col min="13341" max="13342" width="7" style="43" customWidth="1"/>
    <col min="13343" max="13343" width="7.25" style="43" customWidth="1"/>
    <col min="13344" max="13345" width="11.75" style="43" customWidth="1"/>
    <col min="13346" max="13347" width="7" style="43" customWidth="1"/>
    <col min="13348" max="13348" width="7.25" style="43" customWidth="1"/>
    <col min="13349" max="13349" width="11.75" style="43" customWidth="1"/>
    <col min="13350" max="13350" width="11.75" style="43" bestFit="1" customWidth="1"/>
    <col min="13351" max="13352" width="7" style="43" bestFit="1" customWidth="1"/>
    <col min="13353" max="13353" width="7.25" style="43" bestFit="1" customWidth="1"/>
    <col min="13354" max="13355" width="11.75" style="43" bestFit="1" customWidth="1"/>
    <col min="13356" max="13357" width="7" style="43" bestFit="1" customWidth="1"/>
    <col min="13358" max="13358" width="7.25" style="43" bestFit="1" customWidth="1"/>
    <col min="13359" max="13359" width="11.75" style="43" bestFit="1" customWidth="1"/>
    <col min="13360" max="13513" width="9" style="43"/>
    <col min="13514" max="13516" width="3.125" style="43" customWidth="1"/>
    <col min="13517" max="13517" width="16.375" style="43" bestFit="1" customWidth="1"/>
    <col min="13518" max="13518" width="5" style="43" bestFit="1" customWidth="1"/>
    <col min="13519" max="13520" width="9" style="43" bestFit="1" customWidth="1"/>
    <col min="13521" max="13521" width="12.875" style="43" bestFit="1" customWidth="1"/>
    <col min="13522" max="13522" width="8.125" style="43" bestFit="1" customWidth="1"/>
    <col min="13523" max="13523" width="12.875" style="43" bestFit="1" customWidth="1"/>
    <col min="13524" max="13524" width="9.5" style="43" bestFit="1" customWidth="1"/>
    <col min="13525" max="13526" width="12.875" style="43" bestFit="1" customWidth="1"/>
    <col min="13527" max="13527" width="8.125" style="43" bestFit="1" customWidth="1"/>
    <col min="13528" max="13528" width="12.875" style="43" bestFit="1" customWidth="1"/>
    <col min="13529" max="13529" width="7" style="43" bestFit="1" customWidth="1"/>
    <col min="13530" max="13530" width="10.125" style="43" bestFit="1" customWidth="1"/>
    <col min="13531" max="13531" width="10.125" style="43" customWidth="1"/>
    <col min="13532" max="13532" width="7" style="43" customWidth="1"/>
    <col min="13533" max="13533" width="10.125" style="43" customWidth="1"/>
    <col min="13534" max="13535" width="7" style="43" customWidth="1"/>
    <col min="13536" max="13536" width="11.75" style="43" customWidth="1"/>
    <col min="13537" max="13537" width="8.125" style="43" customWidth="1"/>
    <col min="13538" max="13538" width="11.75" style="43" customWidth="1"/>
    <col min="13539" max="13540" width="7" style="43" customWidth="1"/>
    <col min="13541" max="13541" width="5.25" style="43" customWidth="1"/>
    <col min="13542" max="13545" width="7" style="43" customWidth="1"/>
    <col min="13546" max="13546" width="12.875" style="43" customWidth="1"/>
    <col min="13547" max="13547" width="8.125" style="43" customWidth="1"/>
    <col min="13548" max="13548" width="12.875" style="43" customWidth="1"/>
    <col min="13549" max="13550" width="7" style="43" customWidth="1"/>
    <col min="13551" max="13551" width="12.875" style="43" customWidth="1"/>
    <col min="13552" max="13552" width="8.125" style="43" customWidth="1"/>
    <col min="13553" max="13553" width="12.875" style="43" customWidth="1"/>
    <col min="13554" max="13555" width="7" style="43" customWidth="1"/>
    <col min="13556" max="13556" width="12.875" style="43" bestFit="1" customWidth="1"/>
    <col min="13557" max="13558" width="7" style="43" bestFit="1" customWidth="1"/>
    <col min="13559" max="13559" width="9.5" style="43" bestFit="1" customWidth="1"/>
    <col min="13560" max="13560" width="12.875" style="43" bestFit="1" customWidth="1"/>
    <col min="13561" max="13561" width="11.75" style="43" customWidth="1"/>
    <col min="13562" max="13563" width="7" style="43" customWidth="1"/>
    <col min="13564" max="13564" width="7.25" style="43" customWidth="1"/>
    <col min="13565" max="13566" width="11.75" style="43" customWidth="1"/>
    <col min="13567" max="13568" width="7" style="43" customWidth="1"/>
    <col min="13569" max="13569" width="7.25" style="43" customWidth="1"/>
    <col min="13570" max="13571" width="11.75" style="43" customWidth="1"/>
    <col min="13572" max="13573" width="7" style="43" customWidth="1"/>
    <col min="13574" max="13574" width="8.125" style="43" customWidth="1"/>
    <col min="13575" max="13576" width="11.75" style="43" customWidth="1"/>
    <col min="13577" max="13578" width="7" style="43" customWidth="1"/>
    <col min="13579" max="13579" width="7.25" style="43" customWidth="1"/>
    <col min="13580" max="13580" width="11.75" style="43" customWidth="1"/>
    <col min="13581" max="13581" width="12.875" style="43" bestFit="1" customWidth="1"/>
    <col min="13582" max="13583" width="7" style="43" bestFit="1" customWidth="1"/>
    <col min="13584" max="13584" width="9.5" style="43" bestFit="1" customWidth="1"/>
    <col min="13585" max="13585" width="12.875" style="43" bestFit="1" customWidth="1"/>
    <col min="13586" max="13586" width="11.75" style="43" customWidth="1"/>
    <col min="13587" max="13588" width="7" style="43" customWidth="1"/>
    <col min="13589" max="13589" width="7.25" style="43" customWidth="1"/>
    <col min="13590" max="13591" width="11.75" style="43" customWidth="1"/>
    <col min="13592" max="13593" width="7" style="43" customWidth="1"/>
    <col min="13594" max="13594" width="7.25" style="43" customWidth="1"/>
    <col min="13595" max="13596" width="11.75" style="43" customWidth="1"/>
    <col min="13597" max="13598" width="7" style="43" customWidth="1"/>
    <col min="13599" max="13599" width="7.25" style="43" customWidth="1"/>
    <col min="13600" max="13601" width="11.75" style="43" customWidth="1"/>
    <col min="13602" max="13603" width="7" style="43" customWidth="1"/>
    <col min="13604" max="13604" width="7.25" style="43" customWidth="1"/>
    <col min="13605" max="13605" width="11.75" style="43" customWidth="1"/>
    <col min="13606" max="13606" width="11.75" style="43" bestFit="1" customWidth="1"/>
    <col min="13607" max="13608" width="7" style="43" bestFit="1" customWidth="1"/>
    <col min="13609" max="13609" width="7.25" style="43" bestFit="1" customWidth="1"/>
    <col min="13610" max="13611" width="11.75" style="43" bestFit="1" customWidth="1"/>
    <col min="13612" max="13613" width="7" style="43" bestFit="1" customWidth="1"/>
    <col min="13614" max="13614" width="7.25" style="43" bestFit="1" customWidth="1"/>
    <col min="13615" max="13615" width="11.75" style="43" bestFit="1" customWidth="1"/>
    <col min="13616" max="13769" width="9" style="43"/>
    <col min="13770" max="13772" width="3.125" style="43" customWidth="1"/>
    <col min="13773" max="13773" width="16.375" style="43" bestFit="1" customWidth="1"/>
    <col min="13774" max="13774" width="5" style="43" bestFit="1" customWidth="1"/>
    <col min="13775" max="13776" width="9" style="43" bestFit="1" customWidth="1"/>
    <col min="13777" max="13777" width="12.875" style="43" bestFit="1" customWidth="1"/>
    <col min="13778" max="13778" width="8.125" style="43" bestFit="1" customWidth="1"/>
    <col min="13779" max="13779" width="12.875" style="43" bestFit="1" customWidth="1"/>
    <col min="13780" max="13780" width="9.5" style="43" bestFit="1" customWidth="1"/>
    <col min="13781" max="13782" width="12.875" style="43" bestFit="1" customWidth="1"/>
    <col min="13783" max="13783" width="8.125" style="43" bestFit="1" customWidth="1"/>
    <col min="13784" max="13784" width="12.875" style="43" bestFit="1" customWidth="1"/>
    <col min="13785" max="13785" width="7" style="43" bestFit="1" customWidth="1"/>
    <col min="13786" max="13786" width="10.125" style="43" bestFit="1" customWidth="1"/>
    <col min="13787" max="13787" width="10.125" style="43" customWidth="1"/>
    <col min="13788" max="13788" width="7" style="43" customWidth="1"/>
    <col min="13789" max="13789" width="10.125" style="43" customWidth="1"/>
    <col min="13790" max="13791" width="7" style="43" customWidth="1"/>
    <col min="13792" max="13792" width="11.75" style="43" customWidth="1"/>
    <col min="13793" max="13793" width="8.125" style="43" customWidth="1"/>
    <col min="13794" max="13794" width="11.75" style="43" customWidth="1"/>
    <col min="13795" max="13796" width="7" style="43" customWidth="1"/>
    <col min="13797" max="13797" width="5.25" style="43" customWidth="1"/>
    <col min="13798" max="13801" width="7" style="43" customWidth="1"/>
    <col min="13802" max="13802" width="12.875" style="43" customWidth="1"/>
    <col min="13803" max="13803" width="8.125" style="43" customWidth="1"/>
    <col min="13804" max="13804" width="12.875" style="43" customWidth="1"/>
    <col min="13805" max="13806" width="7" style="43" customWidth="1"/>
    <col min="13807" max="13807" width="12.875" style="43" customWidth="1"/>
    <col min="13808" max="13808" width="8.125" style="43" customWidth="1"/>
    <col min="13809" max="13809" width="12.875" style="43" customWidth="1"/>
    <col min="13810" max="13811" width="7" style="43" customWidth="1"/>
    <col min="13812" max="13812" width="12.875" style="43" bestFit="1" customWidth="1"/>
    <col min="13813" max="13814" width="7" style="43" bestFit="1" customWidth="1"/>
    <col min="13815" max="13815" width="9.5" style="43" bestFit="1" customWidth="1"/>
    <col min="13816" max="13816" width="12.875" style="43" bestFit="1" customWidth="1"/>
    <col min="13817" max="13817" width="11.75" style="43" customWidth="1"/>
    <col min="13818" max="13819" width="7" style="43" customWidth="1"/>
    <col min="13820" max="13820" width="7.25" style="43" customWidth="1"/>
    <col min="13821" max="13822" width="11.75" style="43" customWidth="1"/>
    <col min="13823" max="13824" width="7" style="43" customWidth="1"/>
    <col min="13825" max="13825" width="7.25" style="43" customWidth="1"/>
    <col min="13826" max="13827" width="11.75" style="43" customWidth="1"/>
    <col min="13828" max="13829" width="7" style="43" customWidth="1"/>
    <col min="13830" max="13830" width="8.125" style="43" customWidth="1"/>
    <col min="13831" max="13832" width="11.75" style="43" customWidth="1"/>
    <col min="13833" max="13834" width="7" style="43" customWidth="1"/>
    <col min="13835" max="13835" width="7.25" style="43" customWidth="1"/>
    <col min="13836" max="13836" width="11.75" style="43" customWidth="1"/>
    <col min="13837" max="13837" width="12.875" style="43" bestFit="1" customWidth="1"/>
    <col min="13838" max="13839" width="7" style="43" bestFit="1" customWidth="1"/>
    <col min="13840" max="13840" width="9.5" style="43" bestFit="1" customWidth="1"/>
    <col min="13841" max="13841" width="12.875" style="43" bestFit="1" customWidth="1"/>
    <col min="13842" max="13842" width="11.75" style="43" customWidth="1"/>
    <col min="13843" max="13844" width="7" style="43" customWidth="1"/>
    <col min="13845" max="13845" width="7.25" style="43" customWidth="1"/>
    <col min="13846" max="13847" width="11.75" style="43" customWidth="1"/>
    <col min="13848" max="13849" width="7" style="43" customWidth="1"/>
    <col min="13850" max="13850" width="7.25" style="43" customWidth="1"/>
    <col min="13851" max="13852" width="11.75" style="43" customWidth="1"/>
    <col min="13853" max="13854" width="7" style="43" customWidth="1"/>
    <col min="13855" max="13855" width="7.25" style="43" customWidth="1"/>
    <col min="13856" max="13857" width="11.75" style="43" customWidth="1"/>
    <col min="13858" max="13859" width="7" style="43" customWidth="1"/>
    <col min="13860" max="13860" width="7.25" style="43" customWidth="1"/>
    <col min="13861" max="13861" width="11.75" style="43" customWidth="1"/>
    <col min="13862" max="13862" width="11.75" style="43" bestFit="1" customWidth="1"/>
    <col min="13863" max="13864" width="7" style="43" bestFit="1" customWidth="1"/>
    <col min="13865" max="13865" width="7.25" style="43" bestFit="1" customWidth="1"/>
    <col min="13866" max="13867" width="11.75" style="43" bestFit="1" customWidth="1"/>
    <col min="13868" max="13869" width="7" style="43" bestFit="1" customWidth="1"/>
    <col min="13870" max="13870" width="7.25" style="43" bestFit="1" customWidth="1"/>
    <col min="13871" max="13871" width="11.75" style="43" bestFit="1" customWidth="1"/>
    <col min="13872" max="14025" width="9" style="43"/>
    <col min="14026" max="14028" width="3.125" style="43" customWidth="1"/>
    <col min="14029" max="14029" width="16.375" style="43" bestFit="1" customWidth="1"/>
    <col min="14030" max="14030" width="5" style="43" bestFit="1" customWidth="1"/>
    <col min="14031" max="14032" width="9" style="43" bestFit="1" customWidth="1"/>
    <col min="14033" max="14033" width="12.875" style="43" bestFit="1" customWidth="1"/>
    <col min="14034" max="14034" width="8.125" style="43" bestFit="1" customWidth="1"/>
    <col min="14035" max="14035" width="12.875" style="43" bestFit="1" customWidth="1"/>
    <col min="14036" max="14036" width="9.5" style="43" bestFit="1" customWidth="1"/>
    <col min="14037" max="14038" width="12.875" style="43" bestFit="1" customWidth="1"/>
    <col min="14039" max="14039" width="8.125" style="43" bestFit="1" customWidth="1"/>
    <col min="14040" max="14040" width="12.875" style="43" bestFit="1" customWidth="1"/>
    <col min="14041" max="14041" width="7" style="43" bestFit="1" customWidth="1"/>
    <col min="14042" max="14042" width="10.125" style="43" bestFit="1" customWidth="1"/>
    <col min="14043" max="14043" width="10.125" style="43" customWidth="1"/>
    <col min="14044" max="14044" width="7" style="43" customWidth="1"/>
    <col min="14045" max="14045" width="10.125" style="43" customWidth="1"/>
    <col min="14046" max="14047" width="7" style="43" customWidth="1"/>
    <col min="14048" max="14048" width="11.75" style="43" customWidth="1"/>
    <col min="14049" max="14049" width="8.125" style="43" customWidth="1"/>
    <col min="14050" max="14050" width="11.75" style="43" customWidth="1"/>
    <col min="14051" max="14052" width="7" style="43" customWidth="1"/>
    <col min="14053" max="14053" width="5.25" style="43" customWidth="1"/>
    <col min="14054" max="14057" width="7" style="43" customWidth="1"/>
    <col min="14058" max="14058" width="12.875" style="43" customWidth="1"/>
    <col min="14059" max="14059" width="8.125" style="43" customWidth="1"/>
    <col min="14060" max="14060" width="12.875" style="43" customWidth="1"/>
    <col min="14061" max="14062" width="7" style="43" customWidth="1"/>
    <col min="14063" max="14063" width="12.875" style="43" customWidth="1"/>
    <col min="14064" max="14064" width="8.125" style="43" customWidth="1"/>
    <col min="14065" max="14065" width="12.875" style="43" customWidth="1"/>
    <col min="14066" max="14067" width="7" style="43" customWidth="1"/>
    <col min="14068" max="14068" width="12.875" style="43" bestFit="1" customWidth="1"/>
    <col min="14069" max="14070" width="7" style="43" bestFit="1" customWidth="1"/>
    <col min="14071" max="14071" width="9.5" style="43" bestFit="1" customWidth="1"/>
    <col min="14072" max="14072" width="12.875" style="43" bestFit="1" customWidth="1"/>
    <col min="14073" max="14073" width="11.75" style="43" customWidth="1"/>
    <col min="14074" max="14075" width="7" style="43" customWidth="1"/>
    <col min="14076" max="14076" width="7.25" style="43" customWidth="1"/>
    <col min="14077" max="14078" width="11.75" style="43" customWidth="1"/>
    <col min="14079" max="14080" width="7" style="43" customWidth="1"/>
    <col min="14081" max="14081" width="7.25" style="43" customWidth="1"/>
    <col min="14082" max="14083" width="11.75" style="43" customWidth="1"/>
    <col min="14084" max="14085" width="7" style="43" customWidth="1"/>
    <col min="14086" max="14086" width="8.125" style="43" customWidth="1"/>
    <col min="14087" max="14088" width="11.75" style="43" customWidth="1"/>
    <col min="14089" max="14090" width="7" style="43" customWidth="1"/>
    <col min="14091" max="14091" width="7.25" style="43" customWidth="1"/>
    <col min="14092" max="14092" width="11.75" style="43" customWidth="1"/>
    <col min="14093" max="14093" width="12.875" style="43" bestFit="1" customWidth="1"/>
    <col min="14094" max="14095" width="7" style="43" bestFit="1" customWidth="1"/>
    <col min="14096" max="14096" width="9.5" style="43" bestFit="1" customWidth="1"/>
    <col min="14097" max="14097" width="12.875" style="43" bestFit="1" customWidth="1"/>
    <col min="14098" max="14098" width="11.75" style="43" customWidth="1"/>
    <col min="14099" max="14100" width="7" style="43" customWidth="1"/>
    <col min="14101" max="14101" width="7.25" style="43" customWidth="1"/>
    <col min="14102" max="14103" width="11.75" style="43" customWidth="1"/>
    <col min="14104" max="14105" width="7" style="43" customWidth="1"/>
    <col min="14106" max="14106" width="7.25" style="43" customWidth="1"/>
    <col min="14107" max="14108" width="11.75" style="43" customWidth="1"/>
    <col min="14109" max="14110" width="7" style="43" customWidth="1"/>
    <col min="14111" max="14111" width="7.25" style="43" customWidth="1"/>
    <col min="14112" max="14113" width="11.75" style="43" customWidth="1"/>
    <col min="14114" max="14115" width="7" style="43" customWidth="1"/>
    <col min="14116" max="14116" width="7.25" style="43" customWidth="1"/>
    <col min="14117" max="14117" width="11.75" style="43" customWidth="1"/>
    <col min="14118" max="14118" width="11.75" style="43" bestFit="1" customWidth="1"/>
    <col min="14119" max="14120" width="7" style="43" bestFit="1" customWidth="1"/>
    <col min="14121" max="14121" width="7.25" style="43" bestFit="1" customWidth="1"/>
    <col min="14122" max="14123" width="11.75" style="43" bestFit="1" customWidth="1"/>
    <col min="14124" max="14125" width="7" style="43" bestFit="1" customWidth="1"/>
    <col min="14126" max="14126" width="7.25" style="43" bestFit="1" customWidth="1"/>
    <col min="14127" max="14127" width="11.75" style="43" bestFit="1" customWidth="1"/>
    <col min="14128" max="14281" width="9" style="43"/>
    <col min="14282" max="14284" width="3.125" style="43" customWidth="1"/>
    <col min="14285" max="14285" width="16.375" style="43" bestFit="1" customWidth="1"/>
    <col min="14286" max="14286" width="5" style="43" bestFit="1" customWidth="1"/>
    <col min="14287" max="14288" width="9" style="43" bestFit="1" customWidth="1"/>
    <col min="14289" max="14289" width="12.875" style="43" bestFit="1" customWidth="1"/>
    <col min="14290" max="14290" width="8.125" style="43" bestFit="1" customWidth="1"/>
    <col min="14291" max="14291" width="12.875" style="43" bestFit="1" customWidth="1"/>
    <col min="14292" max="14292" width="9.5" style="43" bestFit="1" customWidth="1"/>
    <col min="14293" max="14294" width="12.875" style="43" bestFit="1" customWidth="1"/>
    <col min="14295" max="14295" width="8.125" style="43" bestFit="1" customWidth="1"/>
    <col min="14296" max="14296" width="12.875" style="43" bestFit="1" customWidth="1"/>
    <col min="14297" max="14297" width="7" style="43" bestFit="1" customWidth="1"/>
    <col min="14298" max="14298" width="10.125" style="43" bestFit="1" customWidth="1"/>
    <col min="14299" max="14299" width="10.125" style="43" customWidth="1"/>
    <col min="14300" max="14300" width="7" style="43" customWidth="1"/>
    <col min="14301" max="14301" width="10.125" style="43" customWidth="1"/>
    <col min="14302" max="14303" width="7" style="43" customWidth="1"/>
    <col min="14304" max="14304" width="11.75" style="43" customWidth="1"/>
    <col min="14305" max="14305" width="8.125" style="43" customWidth="1"/>
    <col min="14306" max="14306" width="11.75" style="43" customWidth="1"/>
    <col min="14307" max="14308" width="7" style="43" customWidth="1"/>
    <col min="14309" max="14309" width="5.25" style="43" customWidth="1"/>
    <col min="14310" max="14313" width="7" style="43" customWidth="1"/>
    <col min="14314" max="14314" width="12.875" style="43" customWidth="1"/>
    <col min="14315" max="14315" width="8.125" style="43" customWidth="1"/>
    <col min="14316" max="14316" width="12.875" style="43" customWidth="1"/>
    <col min="14317" max="14318" width="7" style="43" customWidth="1"/>
    <col min="14319" max="14319" width="12.875" style="43" customWidth="1"/>
    <col min="14320" max="14320" width="8.125" style="43" customWidth="1"/>
    <col min="14321" max="14321" width="12.875" style="43" customWidth="1"/>
    <col min="14322" max="14323" width="7" style="43" customWidth="1"/>
    <col min="14324" max="14324" width="12.875" style="43" bestFit="1" customWidth="1"/>
    <col min="14325" max="14326" width="7" style="43" bestFit="1" customWidth="1"/>
    <col min="14327" max="14327" width="9.5" style="43" bestFit="1" customWidth="1"/>
    <col min="14328" max="14328" width="12.875" style="43" bestFit="1" customWidth="1"/>
    <col min="14329" max="14329" width="11.75" style="43" customWidth="1"/>
    <col min="14330" max="14331" width="7" style="43" customWidth="1"/>
    <col min="14332" max="14332" width="7.25" style="43" customWidth="1"/>
    <col min="14333" max="14334" width="11.75" style="43" customWidth="1"/>
    <col min="14335" max="14336" width="7" style="43" customWidth="1"/>
    <col min="14337" max="14337" width="7.25" style="43" customWidth="1"/>
    <col min="14338" max="14339" width="11.75" style="43" customWidth="1"/>
    <col min="14340" max="14341" width="7" style="43" customWidth="1"/>
    <col min="14342" max="14342" width="8.125" style="43" customWidth="1"/>
    <col min="14343" max="14344" width="11.75" style="43" customWidth="1"/>
    <col min="14345" max="14346" width="7" style="43" customWidth="1"/>
    <col min="14347" max="14347" width="7.25" style="43" customWidth="1"/>
    <col min="14348" max="14348" width="11.75" style="43" customWidth="1"/>
    <col min="14349" max="14349" width="12.875" style="43" bestFit="1" customWidth="1"/>
    <col min="14350" max="14351" width="7" style="43" bestFit="1" customWidth="1"/>
    <col min="14352" max="14352" width="9.5" style="43" bestFit="1" customWidth="1"/>
    <col min="14353" max="14353" width="12.875" style="43" bestFit="1" customWidth="1"/>
    <col min="14354" max="14354" width="11.75" style="43" customWidth="1"/>
    <col min="14355" max="14356" width="7" style="43" customWidth="1"/>
    <col min="14357" max="14357" width="7.25" style="43" customWidth="1"/>
    <col min="14358" max="14359" width="11.75" style="43" customWidth="1"/>
    <col min="14360" max="14361" width="7" style="43" customWidth="1"/>
    <col min="14362" max="14362" width="7.25" style="43" customWidth="1"/>
    <col min="14363" max="14364" width="11.75" style="43" customWidth="1"/>
    <col min="14365" max="14366" width="7" style="43" customWidth="1"/>
    <col min="14367" max="14367" width="7.25" style="43" customWidth="1"/>
    <col min="14368" max="14369" width="11.75" style="43" customWidth="1"/>
    <col min="14370" max="14371" width="7" style="43" customWidth="1"/>
    <col min="14372" max="14372" width="7.25" style="43" customWidth="1"/>
    <col min="14373" max="14373" width="11.75" style="43" customWidth="1"/>
    <col min="14374" max="14374" width="11.75" style="43" bestFit="1" customWidth="1"/>
    <col min="14375" max="14376" width="7" style="43" bestFit="1" customWidth="1"/>
    <col min="14377" max="14377" width="7.25" style="43" bestFit="1" customWidth="1"/>
    <col min="14378" max="14379" width="11.75" style="43" bestFit="1" customWidth="1"/>
    <col min="14380" max="14381" width="7" style="43" bestFit="1" customWidth="1"/>
    <col min="14382" max="14382" width="7.25" style="43" bestFit="1" customWidth="1"/>
    <col min="14383" max="14383" width="11.75" style="43" bestFit="1" customWidth="1"/>
    <col min="14384" max="14537" width="9" style="43"/>
    <col min="14538" max="14540" width="3.125" style="43" customWidth="1"/>
    <col min="14541" max="14541" width="16.375" style="43" bestFit="1" customWidth="1"/>
    <col min="14542" max="14542" width="5" style="43" bestFit="1" customWidth="1"/>
    <col min="14543" max="14544" width="9" style="43" bestFit="1" customWidth="1"/>
    <col min="14545" max="14545" width="12.875" style="43" bestFit="1" customWidth="1"/>
    <col min="14546" max="14546" width="8.125" style="43" bestFit="1" customWidth="1"/>
    <col min="14547" max="14547" width="12.875" style="43" bestFit="1" customWidth="1"/>
    <col min="14548" max="14548" width="9.5" style="43" bestFit="1" customWidth="1"/>
    <col min="14549" max="14550" width="12.875" style="43" bestFit="1" customWidth="1"/>
    <col min="14551" max="14551" width="8.125" style="43" bestFit="1" customWidth="1"/>
    <col min="14552" max="14552" width="12.875" style="43" bestFit="1" customWidth="1"/>
    <col min="14553" max="14553" width="7" style="43" bestFit="1" customWidth="1"/>
    <col min="14554" max="14554" width="10.125" style="43" bestFit="1" customWidth="1"/>
    <col min="14555" max="14555" width="10.125" style="43" customWidth="1"/>
    <col min="14556" max="14556" width="7" style="43" customWidth="1"/>
    <col min="14557" max="14557" width="10.125" style="43" customWidth="1"/>
    <col min="14558" max="14559" width="7" style="43" customWidth="1"/>
    <col min="14560" max="14560" width="11.75" style="43" customWidth="1"/>
    <col min="14561" max="14561" width="8.125" style="43" customWidth="1"/>
    <col min="14562" max="14562" width="11.75" style="43" customWidth="1"/>
    <col min="14563" max="14564" width="7" style="43" customWidth="1"/>
    <col min="14565" max="14565" width="5.25" style="43" customWidth="1"/>
    <col min="14566" max="14569" width="7" style="43" customWidth="1"/>
    <col min="14570" max="14570" width="12.875" style="43" customWidth="1"/>
    <col min="14571" max="14571" width="8.125" style="43" customWidth="1"/>
    <col min="14572" max="14572" width="12.875" style="43" customWidth="1"/>
    <col min="14573" max="14574" width="7" style="43" customWidth="1"/>
    <col min="14575" max="14575" width="12.875" style="43" customWidth="1"/>
    <col min="14576" max="14576" width="8.125" style="43" customWidth="1"/>
    <col min="14577" max="14577" width="12.875" style="43" customWidth="1"/>
    <col min="14578" max="14579" width="7" style="43" customWidth="1"/>
    <col min="14580" max="14580" width="12.875" style="43" bestFit="1" customWidth="1"/>
    <col min="14581" max="14582" width="7" style="43" bestFit="1" customWidth="1"/>
    <col min="14583" max="14583" width="9.5" style="43" bestFit="1" customWidth="1"/>
    <col min="14584" max="14584" width="12.875" style="43" bestFit="1" customWidth="1"/>
    <col min="14585" max="14585" width="11.75" style="43" customWidth="1"/>
    <col min="14586" max="14587" width="7" style="43" customWidth="1"/>
    <col min="14588" max="14588" width="7.25" style="43" customWidth="1"/>
    <col min="14589" max="14590" width="11.75" style="43" customWidth="1"/>
    <col min="14591" max="14592" width="7" style="43" customWidth="1"/>
    <col min="14593" max="14593" width="7.25" style="43" customWidth="1"/>
    <col min="14594" max="14595" width="11.75" style="43" customWidth="1"/>
    <col min="14596" max="14597" width="7" style="43" customWidth="1"/>
    <col min="14598" max="14598" width="8.125" style="43" customWidth="1"/>
    <col min="14599" max="14600" width="11.75" style="43" customWidth="1"/>
    <col min="14601" max="14602" width="7" style="43" customWidth="1"/>
    <col min="14603" max="14603" width="7.25" style="43" customWidth="1"/>
    <col min="14604" max="14604" width="11.75" style="43" customWidth="1"/>
    <col min="14605" max="14605" width="12.875" style="43" bestFit="1" customWidth="1"/>
    <col min="14606" max="14607" width="7" style="43" bestFit="1" customWidth="1"/>
    <col min="14608" max="14608" width="9.5" style="43" bestFit="1" customWidth="1"/>
    <col min="14609" max="14609" width="12.875" style="43" bestFit="1" customWidth="1"/>
    <col min="14610" max="14610" width="11.75" style="43" customWidth="1"/>
    <col min="14611" max="14612" width="7" style="43" customWidth="1"/>
    <col min="14613" max="14613" width="7.25" style="43" customWidth="1"/>
    <col min="14614" max="14615" width="11.75" style="43" customWidth="1"/>
    <col min="14616" max="14617" width="7" style="43" customWidth="1"/>
    <col min="14618" max="14618" width="7.25" style="43" customWidth="1"/>
    <col min="14619" max="14620" width="11.75" style="43" customWidth="1"/>
    <col min="14621" max="14622" width="7" style="43" customWidth="1"/>
    <col min="14623" max="14623" width="7.25" style="43" customWidth="1"/>
    <col min="14624" max="14625" width="11.75" style="43" customWidth="1"/>
    <col min="14626" max="14627" width="7" style="43" customWidth="1"/>
    <col min="14628" max="14628" width="7.25" style="43" customWidth="1"/>
    <col min="14629" max="14629" width="11.75" style="43" customWidth="1"/>
    <col min="14630" max="14630" width="11.75" style="43" bestFit="1" customWidth="1"/>
    <col min="14631" max="14632" width="7" style="43" bestFit="1" customWidth="1"/>
    <col min="14633" max="14633" width="7.25" style="43" bestFit="1" customWidth="1"/>
    <col min="14634" max="14635" width="11.75" style="43" bestFit="1" customWidth="1"/>
    <col min="14636" max="14637" width="7" style="43" bestFit="1" customWidth="1"/>
    <col min="14638" max="14638" width="7.25" style="43" bestFit="1" customWidth="1"/>
    <col min="14639" max="14639" width="11.75" style="43" bestFit="1" customWidth="1"/>
    <col min="14640" max="14793" width="9" style="43"/>
    <col min="14794" max="14796" width="3.125" style="43" customWidth="1"/>
    <col min="14797" max="14797" width="16.375" style="43" bestFit="1" customWidth="1"/>
    <col min="14798" max="14798" width="5" style="43" bestFit="1" customWidth="1"/>
    <col min="14799" max="14800" width="9" style="43" bestFit="1" customWidth="1"/>
    <col min="14801" max="14801" width="12.875" style="43" bestFit="1" customWidth="1"/>
    <col min="14802" max="14802" width="8.125" style="43" bestFit="1" customWidth="1"/>
    <col min="14803" max="14803" width="12.875" style="43" bestFit="1" customWidth="1"/>
    <col min="14804" max="14804" width="9.5" style="43" bestFit="1" customWidth="1"/>
    <col min="14805" max="14806" width="12.875" style="43" bestFit="1" customWidth="1"/>
    <col min="14807" max="14807" width="8.125" style="43" bestFit="1" customWidth="1"/>
    <col min="14808" max="14808" width="12.875" style="43" bestFit="1" customWidth="1"/>
    <col min="14809" max="14809" width="7" style="43" bestFit="1" customWidth="1"/>
    <col min="14810" max="14810" width="10.125" style="43" bestFit="1" customWidth="1"/>
    <col min="14811" max="14811" width="10.125" style="43" customWidth="1"/>
    <col min="14812" max="14812" width="7" style="43" customWidth="1"/>
    <col min="14813" max="14813" width="10.125" style="43" customWidth="1"/>
    <col min="14814" max="14815" width="7" style="43" customWidth="1"/>
    <col min="14816" max="14816" width="11.75" style="43" customWidth="1"/>
    <col min="14817" max="14817" width="8.125" style="43" customWidth="1"/>
    <col min="14818" max="14818" width="11.75" style="43" customWidth="1"/>
    <col min="14819" max="14820" width="7" style="43" customWidth="1"/>
    <col min="14821" max="14821" width="5.25" style="43" customWidth="1"/>
    <col min="14822" max="14825" width="7" style="43" customWidth="1"/>
    <col min="14826" max="14826" width="12.875" style="43" customWidth="1"/>
    <col min="14827" max="14827" width="8.125" style="43" customWidth="1"/>
    <col min="14828" max="14828" width="12.875" style="43" customWidth="1"/>
    <col min="14829" max="14830" width="7" style="43" customWidth="1"/>
    <col min="14831" max="14831" width="12.875" style="43" customWidth="1"/>
    <col min="14832" max="14832" width="8.125" style="43" customWidth="1"/>
    <col min="14833" max="14833" width="12.875" style="43" customWidth="1"/>
    <col min="14834" max="14835" width="7" style="43" customWidth="1"/>
    <col min="14836" max="14836" width="12.875" style="43" bestFit="1" customWidth="1"/>
    <col min="14837" max="14838" width="7" style="43" bestFit="1" customWidth="1"/>
    <col min="14839" max="14839" width="9.5" style="43" bestFit="1" customWidth="1"/>
    <col min="14840" max="14840" width="12.875" style="43" bestFit="1" customWidth="1"/>
    <col min="14841" max="14841" width="11.75" style="43" customWidth="1"/>
    <col min="14842" max="14843" width="7" style="43" customWidth="1"/>
    <col min="14844" max="14844" width="7.25" style="43" customWidth="1"/>
    <col min="14845" max="14846" width="11.75" style="43" customWidth="1"/>
    <col min="14847" max="14848" width="7" style="43" customWidth="1"/>
    <col min="14849" max="14849" width="7.25" style="43" customWidth="1"/>
    <col min="14850" max="14851" width="11.75" style="43" customWidth="1"/>
    <col min="14852" max="14853" width="7" style="43" customWidth="1"/>
    <col min="14854" max="14854" width="8.125" style="43" customWidth="1"/>
    <col min="14855" max="14856" width="11.75" style="43" customWidth="1"/>
    <col min="14857" max="14858" width="7" style="43" customWidth="1"/>
    <col min="14859" max="14859" width="7.25" style="43" customWidth="1"/>
    <col min="14860" max="14860" width="11.75" style="43" customWidth="1"/>
    <col min="14861" max="14861" width="12.875" style="43" bestFit="1" customWidth="1"/>
    <col min="14862" max="14863" width="7" style="43" bestFit="1" customWidth="1"/>
    <col min="14864" max="14864" width="9.5" style="43" bestFit="1" customWidth="1"/>
    <col min="14865" max="14865" width="12.875" style="43" bestFit="1" customWidth="1"/>
    <col min="14866" max="14866" width="11.75" style="43" customWidth="1"/>
    <col min="14867" max="14868" width="7" style="43" customWidth="1"/>
    <col min="14869" max="14869" width="7.25" style="43" customWidth="1"/>
    <col min="14870" max="14871" width="11.75" style="43" customWidth="1"/>
    <col min="14872" max="14873" width="7" style="43" customWidth="1"/>
    <col min="14874" max="14874" width="7.25" style="43" customWidth="1"/>
    <col min="14875" max="14876" width="11.75" style="43" customWidth="1"/>
    <col min="14877" max="14878" width="7" style="43" customWidth="1"/>
    <col min="14879" max="14879" width="7.25" style="43" customWidth="1"/>
    <col min="14880" max="14881" width="11.75" style="43" customWidth="1"/>
    <col min="14882" max="14883" width="7" style="43" customWidth="1"/>
    <col min="14884" max="14884" width="7.25" style="43" customWidth="1"/>
    <col min="14885" max="14885" width="11.75" style="43" customWidth="1"/>
    <col min="14886" max="14886" width="11.75" style="43" bestFit="1" customWidth="1"/>
    <col min="14887" max="14888" width="7" style="43" bestFit="1" customWidth="1"/>
    <col min="14889" max="14889" width="7.25" style="43" bestFit="1" customWidth="1"/>
    <col min="14890" max="14891" width="11.75" style="43" bestFit="1" customWidth="1"/>
    <col min="14892" max="14893" width="7" style="43" bestFit="1" customWidth="1"/>
    <col min="14894" max="14894" width="7.25" style="43" bestFit="1" customWidth="1"/>
    <col min="14895" max="14895" width="11.75" style="43" bestFit="1" customWidth="1"/>
    <col min="14896" max="15049" width="9" style="43"/>
    <col min="15050" max="15052" width="3.125" style="43" customWidth="1"/>
    <col min="15053" max="15053" width="16.375" style="43" bestFit="1" customWidth="1"/>
    <col min="15054" max="15054" width="5" style="43" bestFit="1" customWidth="1"/>
    <col min="15055" max="15056" width="9" style="43" bestFit="1" customWidth="1"/>
    <col min="15057" max="15057" width="12.875" style="43" bestFit="1" customWidth="1"/>
    <col min="15058" max="15058" width="8.125" style="43" bestFit="1" customWidth="1"/>
    <col min="15059" max="15059" width="12.875" style="43" bestFit="1" customWidth="1"/>
    <col min="15060" max="15060" width="9.5" style="43" bestFit="1" customWidth="1"/>
    <col min="15061" max="15062" width="12.875" style="43" bestFit="1" customWidth="1"/>
    <col min="15063" max="15063" width="8.125" style="43" bestFit="1" customWidth="1"/>
    <col min="15064" max="15064" width="12.875" style="43" bestFit="1" customWidth="1"/>
    <col min="15065" max="15065" width="7" style="43" bestFit="1" customWidth="1"/>
    <col min="15066" max="15066" width="10.125" style="43" bestFit="1" customWidth="1"/>
    <col min="15067" max="15067" width="10.125" style="43" customWidth="1"/>
    <col min="15068" max="15068" width="7" style="43" customWidth="1"/>
    <col min="15069" max="15069" width="10.125" style="43" customWidth="1"/>
    <col min="15070" max="15071" width="7" style="43" customWidth="1"/>
    <col min="15072" max="15072" width="11.75" style="43" customWidth="1"/>
    <col min="15073" max="15073" width="8.125" style="43" customWidth="1"/>
    <col min="15074" max="15074" width="11.75" style="43" customWidth="1"/>
    <col min="15075" max="15076" width="7" style="43" customWidth="1"/>
    <col min="15077" max="15077" width="5.25" style="43" customWidth="1"/>
    <col min="15078" max="15081" width="7" style="43" customWidth="1"/>
    <col min="15082" max="15082" width="12.875" style="43" customWidth="1"/>
    <col min="15083" max="15083" width="8.125" style="43" customWidth="1"/>
    <col min="15084" max="15084" width="12.875" style="43" customWidth="1"/>
    <col min="15085" max="15086" width="7" style="43" customWidth="1"/>
    <col min="15087" max="15087" width="12.875" style="43" customWidth="1"/>
    <col min="15088" max="15088" width="8.125" style="43" customWidth="1"/>
    <col min="15089" max="15089" width="12.875" style="43" customWidth="1"/>
    <col min="15090" max="15091" width="7" style="43" customWidth="1"/>
    <col min="15092" max="15092" width="12.875" style="43" bestFit="1" customWidth="1"/>
    <col min="15093" max="15094" width="7" style="43" bestFit="1" customWidth="1"/>
    <col min="15095" max="15095" width="9.5" style="43" bestFit="1" customWidth="1"/>
    <col min="15096" max="15096" width="12.875" style="43" bestFit="1" customWidth="1"/>
    <col min="15097" max="15097" width="11.75" style="43" customWidth="1"/>
    <col min="15098" max="15099" width="7" style="43" customWidth="1"/>
    <col min="15100" max="15100" width="7.25" style="43" customWidth="1"/>
    <col min="15101" max="15102" width="11.75" style="43" customWidth="1"/>
    <col min="15103" max="15104" width="7" style="43" customWidth="1"/>
    <col min="15105" max="15105" width="7.25" style="43" customWidth="1"/>
    <col min="15106" max="15107" width="11.75" style="43" customWidth="1"/>
    <col min="15108" max="15109" width="7" style="43" customWidth="1"/>
    <col min="15110" max="15110" width="8.125" style="43" customWidth="1"/>
    <col min="15111" max="15112" width="11.75" style="43" customWidth="1"/>
    <col min="15113" max="15114" width="7" style="43" customWidth="1"/>
    <col min="15115" max="15115" width="7.25" style="43" customWidth="1"/>
    <col min="15116" max="15116" width="11.75" style="43" customWidth="1"/>
    <col min="15117" max="15117" width="12.875" style="43" bestFit="1" customWidth="1"/>
    <col min="15118" max="15119" width="7" style="43" bestFit="1" customWidth="1"/>
    <col min="15120" max="15120" width="9.5" style="43" bestFit="1" customWidth="1"/>
    <col min="15121" max="15121" width="12.875" style="43" bestFit="1" customWidth="1"/>
    <col min="15122" max="15122" width="11.75" style="43" customWidth="1"/>
    <col min="15123" max="15124" width="7" style="43" customWidth="1"/>
    <col min="15125" max="15125" width="7.25" style="43" customWidth="1"/>
    <col min="15126" max="15127" width="11.75" style="43" customWidth="1"/>
    <col min="15128" max="15129" width="7" style="43" customWidth="1"/>
    <col min="15130" max="15130" width="7.25" style="43" customWidth="1"/>
    <col min="15131" max="15132" width="11.75" style="43" customWidth="1"/>
    <col min="15133" max="15134" width="7" style="43" customWidth="1"/>
    <col min="15135" max="15135" width="7.25" style="43" customWidth="1"/>
    <col min="15136" max="15137" width="11.75" style="43" customWidth="1"/>
    <col min="15138" max="15139" width="7" style="43" customWidth="1"/>
    <col min="15140" max="15140" width="7.25" style="43" customWidth="1"/>
    <col min="15141" max="15141" width="11.75" style="43" customWidth="1"/>
    <col min="15142" max="15142" width="11.75" style="43" bestFit="1" customWidth="1"/>
    <col min="15143" max="15144" width="7" style="43" bestFit="1" customWidth="1"/>
    <col min="15145" max="15145" width="7.25" style="43" bestFit="1" customWidth="1"/>
    <col min="15146" max="15147" width="11.75" style="43" bestFit="1" customWidth="1"/>
    <col min="15148" max="15149" width="7" style="43" bestFit="1" customWidth="1"/>
    <col min="15150" max="15150" width="7.25" style="43" bestFit="1" customWidth="1"/>
    <col min="15151" max="15151" width="11.75" style="43" bestFit="1" customWidth="1"/>
    <col min="15152" max="15305" width="9" style="43"/>
    <col min="15306" max="15308" width="3.125" style="43" customWidth="1"/>
    <col min="15309" max="15309" width="16.375" style="43" bestFit="1" customWidth="1"/>
    <col min="15310" max="15310" width="5" style="43" bestFit="1" customWidth="1"/>
    <col min="15311" max="15312" width="9" style="43" bestFit="1" customWidth="1"/>
    <col min="15313" max="15313" width="12.875" style="43" bestFit="1" customWidth="1"/>
    <col min="15314" max="15314" width="8.125" style="43" bestFit="1" customWidth="1"/>
    <col min="15315" max="15315" width="12.875" style="43" bestFit="1" customWidth="1"/>
    <col min="15316" max="15316" width="9.5" style="43" bestFit="1" customWidth="1"/>
    <col min="15317" max="15318" width="12.875" style="43" bestFit="1" customWidth="1"/>
    <col min="15319" max="15319" width="8.125" style="43" bestFit="1" customWidth="1"/>
    <col min="15320" max="15320" width="12.875" style="43" bestFit="1" customWidth="1"/>
    <col min="15321" max="15321" width="7" style="43" bestFit="1" customWidth="1"/>
    <col min="15322" max="15322" width="10.125" style="43" bestFit="1" customWidth="1"/>
    <col min="15323" max="15323" width="10.125" style="43" customWidth="1"/>
    <col min="15324" max="15324" width="7" style="43" customWidth="1"/>
    <col min="15325" max="15325" width="10.125" style="43" customWidth="1"/>
    <col min="15326" max="15327" width="7" style="43" customWidth="1"/>
    <col min="15328" max="15328" width="11.75" style="43" customWidth="1"/>
    <col min="15329" max="15329" width="8.125" style="43" customWidth="1"/>
    <col min="15330" max="15330" width="11.75" style="43" customWidth="1"/>
    <col min="15331" max="15332" width="7" style="43" customWidth="1"/>
    <col min="15333" max="15333" width="5.25" style="43" customWidth="1"/>
    <col min="15334" max="15337" width="7" style="43" customWidth="1"/>
    <col min="15338" max="15338" width="12.875" style="43" customWidth="1"/>
    <col min="15339" max="15339" width="8.125" style="43" customWidth="1"/>
    <col min="15340" max="15340" width="12.875" style="43" customWidth="1"/>
    <col min="15341" max="15342" width="7" style="43" customWidth="1"/>
    <col min="15343" max="15343" width="12.875" style="43" customWidth="1"/>
    <col min="15344" max="15344" width="8.125" style="43" customWidth="1"/>
    <col min="15345" max="15345" width="12.875" style="43" customWidth="1"/>
    <col min="15346" max="15347" width="7" style="43" customWidth="1"/>
    <col min="15348" max="15348" width="12.875" style="43" bestFit="1" customWidth="1"/>
    <col min="15349" max="15350" width="7" style="43" bestFit="1" customWidth="1"/>
    <col min="15351" max="15351" width="9.5" style="43" bestFit="1" customWidth="1"/>
    <col min="15352" max="15352" width="12.875" style="43" bestFit="1" customWidth="1"/>
    <col min="15353" max="15353" width="11.75" style="43" customWidth="1"/>
    <col min="15354" max="15355" width="7" style="43" customWidth="1"/>
    <col min="15356" max="15356" width="7.25" style="43" customWidth="1"/>
    <col min="15357" max="15358" width="11.75" style="43" customWidth="1"/>
    <col min="15359" max="15360" width="7" style="43" customWidth="1"/>
    <col min="15361" max="15361" width="7.25" style="43" customWidth="1"/>
    <col min="15362" max="15363" width="11.75" style="43" customWidth="1"/>
    <col min="15364" max="15365" width="7" style="43" customWidth="1"/>
    <col min="15366" max="15366" width="8.125" style="43" customWidth="1"/>
    <col min="15367" max="15368" width="11.75" style="43" customWidth="1"/>
    <col min="15369" max="15370" width="7" style="43" customWidth="1"/>
    <col min="15371" max="15371" width="7.25" style="43" customWidth="1"/>
    <col min="15372" max="15372" width="11.75" style="43" customWidth="1"/>
    <col min="15373" max="15373" width="12.875" style="43" bestFit="1" customWidth="1"/>
    <col min="15374" max="15375" width="7" style="43" bestFit="1" customWidth="1"/>
    <col min="15376" max="15376" width="9.5" style="43" bestFit="1" customWidth="1"/>
    <col min="15377" max="15377" width="12.875" style="43" bestFit="1" customWidth="1"/>
    <col min="15378" max="15378" width="11.75" style="43" customWidth="1"/>
    <col min="15379" max="15380" width="7" style="43" customWidth="1"/>
    <col min="15381" max="15381" width="7.25" style="43" customWidth="1"/>
    <col min="15382" max="15383" width="11.75" style="43" customWidth="1"/>
    <col min="15384" max="15385" width="7" style="43" customWidth="1"/>
    <col min="15386" max="15386" width="7.25" style="43" customWidth="1"/>
    <col min="15387" max="15388" width="11.75" style="43" customWidth="1"/>
    <col min="15389" max="15390" width="7" style="43" customWidth="1"/>
    <col min="15391" max="15391" width="7.25" style="43" customWidth="1"/>
    <col min="15392" max="15393" width="11.75" style="43" customWidth="1"/>
    <col min="15394" max="15395" width="7" style="43" customWidth="1"/>
    <col min="15396" max="15396" width="7.25" style="43" customWidth="1"/>
    <col min="15397" max="15397" width="11.75" style="43" customWidth="1"/>
    <col min="15398" max="15398" width="11.75" style="43" bestFit="1" customWidth="1"/>
    <col min="15399" max="15400" width="7" style="43" bestFit="1" customWidth="1"/>
    <col min="15401" max="15401" width="7.25" style="43" bestFit="1" customWidth="1"/>
    <col min="15402" max="15403" width="11.75" style="43" bestFit="1" customWidth="1"/>
    <col min="15404" max="15405" width="7" style="43" bestFit="1" customWidth="1"/>
    <col min="15406" max="15406" width="7.25" style="43" bestFit="1" customWidth="1"/>
    <col min="15407" max="15407" width="11.75" style="43" bestFit="1" customWidth="1"/>
    <col min="15408" max="15561" width="9" style="43"/>
    <col min="15562" max="15564" width="3.125" style="43" customWidth="1"/>
    <col min="15565" max="15565" width="16.375" style="43" bestFit="1" customWidth="1"/>
    <col min="15566" max="15566" width="5" style="43" bestFit="1" customWidth="1"/>
    <col min="15567" max="15568" width="9" style="43" bestFit="1" customWidth="1"/>
    <col min="15569" max="15569" width="12.875" style="43" bestFit="1" customWidth="1"/>
    <col min="15570" max="15570" width="8.125" style="43" bestFit="1" customWidth="1"/>
    <col min="15571" max="15571" width="12.875" style="43" bestFit="1" customWidth="1"/>
    <col min="15572" max="15572" width="9.5" style="43" bestFit="1" customWidth="1"/>
    <col min="15573" max="15574" width="12.875" style="43" bestFit="1" customWidth="1"/>
    <col min="15575" max="15575" width="8.125" style="43" bestFit="1" customWidth="1"/>
    <col min="15576" max="15576" width="12.875" style="43" bestFit="1" customWidth="1"/>
    <col min="15577" max="15577" width="7" style="43" bestFit="1" customWidth="1"/>
    <col min="15578" max="15578" width="10.125" style="43" bestFit="1" customWidth="1"/>
    <col min="15579" max="15579" width="10.125" style="43" customWidth="1"/>
    <col min="15580" max="15580" width="7" style="43" customWidth="1"/>
    <col min="15581" max="15581" width="10.125" style="43" customWidth="1"/>
    <col min="15582" max="15583" width="7" style="43" customWidth="1"/>
    <col min="15584" max="15584" width="11.75" style="43" customWidth="1"/>
    <col min="15585" max="15585" width="8.125" style="43" customWidth="1"/>
    <col min="15586" max="15586" width="11.75" style="43" customWidth="1"/>
    <col min="15587" max="15588" width="7" style="43" customWidth="1"/>
    <col min="15589" max="15589" width="5.25" style="43" customWidth="1"/>
    <col min="15590" max="15593" width="7" style="43" customWidth="1"/>
    <col min="15594" max="15594" width="12.875" style="43" customWidth="1"/>
    <col min="15595" max="15595" width="8.125" style="43" customWidth="1"/>
    <col min="15596" max="15596" width="12.875" style="43" customWidth="1"/>
    <col min="15597" max="15598" width="7" style="43" customWidth="1"/>
    <col min="15599" max="15599" width="12.875" style="43" customWidth="1"/>
    <col min="15600" max="15600" width="8.125" style="43" customWidth="1"/>
    <col min="15601" max="15601" width="12.875" style="43" customWidth="1"/>
    <col min="15602" max="15603" width="7" style="43" customWidth="1"/>
    <col min="15604" max="15604" width="12.875" style="43" bestFit="1" customWidth="1"/>
    <col min="15605" max="15606" width="7" style="43" bestFit="1" customWidth="1"/>
    <col min="15607" max="15607" width="9.5" style="43" bestFit="1" customWidth="1"/>
    <col min="15608" max="15608" width="12.875" style="43" bestFit="1" customWidth="1"/>
    <col min="15609" max="15609" width="11.75" style="43" customWidth="1"/>
    <col min="15610" max="15611" width="7" style="43" customWidth="1"/>
    <col min="15612" max="15612" width="7.25" style="43" customWidth="1"/>
    <col min="15613" max="15614" width="11.75" style="43" customWidth="1"/>
    <col min="15615" max="15616" width="7" style="43" customWidth="1"/>
    <col min="15617" max="15617" width="7.25" style="43" customWidth="1"/>
    <col min="15618" max="15619" width="11.75" style="43" customWidth="1"/>
    <col min="15620" max="15621" width="7" style="43" customWidth="1"/>
    <col min="15622" max="15622" width="8.125" style="43" customWidth="1"/>
    <col min="15623" max="15624" width="11.75" style="43" customWidth="1"/>
    <col min="15625" max="15626" width="7" style="43" customWidth="1"/>
    <col min="15627" max="15627" width="7.25" style="43" customWidth="1"/>
    <col min="15628" max="15628" width="11.75" style="43" customWidth="1"/>
    <col min="15629" max="15629" width="12.875" style="43" bestFit="1" customWidth="1"/>
    <col min="15630" max="15631" width="7" style="43" bestFit="1" customWidth="1"/>
    <col min="15632" max="15632" width="9.5" style="43" bestFit="1" customWidth="1"/>
    <col min="15633" max="15633" width="12.875" style="43" bestFit="1" customWidth="1"/>
    <col min="15634" max="15634" width="11.75" style="43" customWidth="1"/>
    <col min="15635" max="15636" width="7" style="43" customWidth="1"/>
    <col min="15637" max="15637" width="7.25" style="43" customWidth="1"/>
    <col min="15638" max="15639" width="11.75" style="43" customWidth="1"/>
    <col min="15640" max="15641" width="7" style="43" customWidth="1"/>
    <col min="15642" max="15642" width="7.25" style="43" customWidth="1"/>
    <col min="15643" max="15644" width="11.75" style="43" customWidth="1"/>
    <col min="15645" max="15646" width="7" style="43" customWidth="1"/>
    <col min="15647" max="15647" width="7.25" style="43" customWidth="1"/>
    <col min="15648" max="15649" width="11.75" style="43" customWidth="1"/>
    <col min="15650" max="15651" width="7" style="43" customWidth="1"/>
    <col min="15652" max="15652" width="7.25" style="43" customWidth="1"/>
    <col min="15653" max="15653" width="11.75" style="43" customWidth="1"/>
    <col min="15654" max="15654" width="11.75" style="43" bestFit="1" customWidth="1"/>
    <col min="15655" max="15656" width="7" style="43" bestFit="1" customWidth="1"/>
    <col min="15657" max="15657" width="7.25" style="43" bestFit="1" customWidth="1"/>
    <col min="15658" max="15659" width="11.75" style="43" bestFit="1" customWidth="1"/>
    <col min="15660" max="15661" width="7" style="43" bestFit="1" customWidth="1"/>
    <col min="15662" max="15662" width="7.25" style="43" bestFit="1" customWidth="1"/>
    <col min="15663" max="15663" width="11.75" style="43" bestFit="1" customWidth="1"/>
    <col min="15664" max="15817" width="9" style="43"/>
    <col min="15818" max="15820" width="3.125" style="43" customWidth="1"/>
    <col min="15821" max="15821" width="16.375" style="43" bestFit="1" customWidth="1"/>
    <col min="15822" max="15822" width="5" style="43" bestFit="1" customWidth="1"/>
    <col min="15823" max="15824" width="9" style="43" bestFit="1" customWidth="1"/>
    <col min="15825" max="15825" width="12.875" style="43" bestFit="1" customWidth="1"/>
    <col min="15826" max="15826" width="8.125" style="43" bestFit="1" customWidth="1"/>
    <col min="15827" max="15827" width="12.875" style="43" bestFit="1" customWidth="1"/>
    <col min="15828" max="15828" width="9.5" style="43" bestFit="1" customWidth="1"/>
    <col min="15829" max="15830" width="12.875" style="43" bestFit="1" customWidth="1"/>
    <col min="15831" max="15831" width="8.125" style="43" bestFit="1" customWidth="1"/>
    <col min="15832" max="15832" width="12.875" style="43" bestFit="1" customWidth="1"/>
    <col min="15833" max="15833" width="7" style="43" bestFit="1" customWidth="1"/>
    <col min="15834" max="15834" width="10.125" style="43" bestFit="1" customWidth="1"/>
    <col min="15835" max="15835" width="10.125" style="43" customWidth="1"/>
    <col min="15836" max="15836" width="7" style="43" customWidth="1"/>
    <col min="15837" max="15837" width="10.125" style="43" customWidth="1"/>
    <col min="15838" max="15839" width="7" style="43" customWidth="1"/>
    <col min="15840" max="15840" width="11.75" style="43" customWidth="1"/>
    <col min="15841" max="15841" width="8.125" style="43" customWidth="1"/>
    <col min="15842" max="15842" width="11.75" style="43" customWidth="1"/>
    <col min="15843" max="15844" width="7" style="43" customWidth="1"/>
    <col min="15845" max="15845" width="5.25" style="43" customWidth="1"/>
    <col min="15846" max="15849" width="7" style="43" customWidth="1"/>
    <col min="15850" max="15850" width="12.875" style="43" customWidth="1"/>
    <col min="15851" max="15851" width="8.125" style="43" customWidth="1"/>
    <col min="15852" max="15852" width="12.875" style="43" customWidth="1"/>
    <col min="15853" max="15854" width="7" style="43" customWidth="1"/>
    <col min="15855" max="15855" width="12.875" style="43" customWidth="1"/>
    <col min="15856" max="15856" width="8.125" style="43" customWidth="1"/>
    <col min="15857" max="15857" width="12.875" style="43" customWidth="1"/>
    <col min="15858" max="15859" width="7" style="43" customWidth="1"/>
    <col min="15860" max="15860" width="12.875" style="43" bestFit="1" customWidth="1"/>
    <col min="15861" max="15862" width="7" style="43" bestFit="1" customWidth="1"/>
    <col min="15863" max="15863" width="9.5" style="43" bestFit="1" customWidth="1"/>
    <col min="15864" max="15864" width="12.875" style="43" bestFit="1" customWidth="1"/>
    <col min="15865" max="15865" width="11.75" style="43" customWidth="1"/>
    <col min="15866" max="15867" width="7" style="43" customWidth="1"/>
    <col min="15868" max="15868" width="7.25" style="43" customWidth="1"/>
    <col min="15869" max="15870" width="11.75" style="43" customWidth="1"/>
    <col min="15871" max="15872" width="7" style="43" customWidth="1"/>
    <col min="15873" max="15873" width="7.25" style="43" customWidth="1"/>
    <col min="15874" max="15875" width="11.75" style="43" customWidth="1"/>
    <col min="15876" max="15877" width="7" style="43" customWidth="1"/>
    <col min="15878" max="15878" width="8.125" style="43" customWidth="1"/>
    <col min="15879" max="15880" width="11.75" style="43" customWidth="1"/>
    <col min="15881" max="15882" width="7" style="43" customWidth="1"/>
    <col min="15883" max="15883" width="7.25" style="43" customWidth="1"/>
    <col min="15884" max="15884" width="11.75" style="43" customWidth="1"/>
    <col min="15885" max="15885" width="12.875" style="43" bestFit="1" customWidth="1"/>
    <col min="15886" max="15887" width="7" style="43" bestFit="1" customWidth="1"/>
    <col min="15888" max="15888" width="9.5" style="43" bestFit="1" customWidth="1"/>
    <col min="15889" max="15889" width="12.875" style="43" bestFit="1" customWidth="1"/>
    <col min="15890" max="15890" width="11.75" style="43" customWidth="1"/>
    <col min="15891" max="15892" width="7" style="43" customWidth="1"/>
    <col min="15893" max="15893" width="7.25" style="43" customWidth="1"/>
    <col min="15894" max="15895" width="11.75" style="43" customWidth="1"/>
    <col min="15896" max="15897" width="7" style="43" customWidth="1"/>
    <col min="15898" max="15898" width="7.25" style="43" customWidth="1"/>
    <col min="15899" max="15900" width="11.75" style="43" customWidth="1"/>
    <col min="15901" max="15902" width="7" style="43" customWidth="1"/>
    <col min="15903" max="15903" width="7.25" style="43" customWidth="1"/>
    <col min="15904" max="15905" width="11.75" style="43" customWidth="1"/>
    <col min="15906" max="15907" width="7" style="43" customWidth="1"/>
    <col min="15908" max="15908" width="7.25" style="43" customWidth="1"/>
    <col min="15909" max="15909" width="11.75" style="43" customWidth="1"/>
    <col min="15910" max="15910" width="11.75" style="43" bestFit="1" customWidth="1"/>
    <col min="15911" max="15912" width="7" style="43" bestFit="1" customWidth="1"/>
    <col min="15913" max="15913" width="7.25" style="43" bestFit="1" customWidth="1"/>
    <col min="15914" max="15915" width="11.75" style="43" bestFit="1" customWidth="1"/>
    <col min="15916" max="15917" width="7" style="43" bestFit="1" customWidth="1"/>
    <col min="15918" max="15918" width="7.25" style="43" bestFit="1" customWidth="1"/>
    <col min="15919" max="15919" width="11.75" style="43" bestFit="1" customWidth="1"/>
    <col min="15920" max="16073" width="9" style="43"/>
    <col min="16074" max="16076" width="3.125" style="43" customWidth="1"/>
    <col min="16077" max="16077" width="16.375" style="43" bestFit="1" customWidth="1"/>
    <col min="16078" max="16078" width="5" style="43" bestFit="1" customWidth="1"/>
    <col min="16079" max="16080" width="9" style="43" bestFit="1" customWidth="1"/>
    <col min="16081" max="16081" width="12.875" style="43" bestFit="1" customWidth="1"/>
    <col min="16082" max="16082" width="8.125" style="43" bestFit="1" customWidth="1"/>
    <col min="16083" max="16083" width="12.875" style="43" bestFit="1" customWidth="1"/>
    <col min="16084" max="16084" width="9.5" style="43" bestFit="1" customWidth="1"/>
    <col min="16085" max="16086" width="12.875" style="43" bestFit="1" customWidth="1"/>
    <col min="16087" max="16087" width="8.125" style="43" bestFit="1" customWidth="1"/>
    <col min="16088" max="16088" width="12.875" style="43" bestFit="1" customWidth="1"/>
    <col min="16089" max="16089" width="7" style="43" bestFit="1" customWidth="1"/>
    <col min="16090" max="16090" width="10.125" style="43" bestFit="1" customWidth="1"/>
    <col min="16091" max="16091" width="10.125" style="43" customWidth="1"/>
    <col min="16092" max="16092" width="7" style="43" customWidth="1"/>
    <col min="16093" max="16093" width="10.125" style="43" customWidth="1"/>
    <col min="16094" max="16095" width="7" style="43" customWidth="1"/>
    <col min="16096" max="16096" width="11.75" style="43" customWidth="1"/>
    <col min="16097" max="16097" width="8.125" style="43" customWidth="1"/>
    <col min="16098" max="16098" width="11.75" style="43" customWidth="1"/>
    <col min="16099" max="16100" width="7" style="43" customWidth="1"/>
    <col min="16101" max="16101" width="5.25" style="43" customWidth="1"/>
    <col min="16102" max="16105" width="7" style="43" customWidth="1"/>
    <col min="16106" max="16106" width="12.875" style="43" customWidth="1"/>
    <col min="16107" max="16107" width="8.125" style="43" customWidth="1"/>
    <col min="16108" max="16108" width="12.875" style="43" customWidth="1"/>
    <col min="16109" max="16110" width="7" style="43" customWidth="1"/>
    <col min="16111" max="16111" width="12.875" style="43" customWidth="1"/>
    <col min="16112" max="16112" width="8.125" style="43" customWidth="1"/>
    <col min="16113" max="16113" width="12.875" style="43" customWidth="1"/>
    <col min="16114" max="16115" width="7" style="43" customWidth="1"/>
    <col min="16116" max="16116" width="12.875" style="43" bestFit="1" customWidth="1"/>
    <col min="16117" max="16118" width="7" style="43" bestFit="1" customWidth="1"/>
    <col min="16119" max="16119" width="9.5" style="43" bestFit="1" customWidth="1"/>
    <col min="16120" max="16120" width="12.875" style="43" bestFit="1" customWidth="1"/>
    <col min="16121" max="16121" width="11.75" style="43" customWidth="1"/>
    <col min="16122" max="16123" width="7" style="43" customWidth="1"/>
    <col min="16124" max="16124" width="7.25" style="43" customWidth="1"/>
    <col min="16125" max="16126" width="11.75" style="43" customWidth="1"/>
    <col min="16127" max="16128" width="7" style="43" customWidth="1"/>
    <col min="16129" max="16129" width="7.25" style="43" customWidth="1"/>
    <col min="16130" max="16131" width="11.75" style="43" customWidth="1"/>
    <col min="16132" max="16133" width="7" style="43" customWidth="1"/>
    <col min="16134" max="16134" width="8.125" style="43" customWidth="1"/>
    <col min="16135" max="16136" width="11.75" style="43" customWidth="1"/>
    <col min="16137" max="16138" width="7" style="43" customWidth="1"/>
    <col min="16139" max="16139" width="7.25" style="43" customWidth="1"/>
    <col min="16140" max="16140" width="11.75" style="43" customWidth="1"/>
    <col min="16141" max="16141" width="12.875" style="43" bestFit="1" customWidth="1"/>
    <col min="16142" max="16143" width="7" style="43" bestFit="1" customWidth="1"/>
    <col min="16144" max="16144" width="9.5" style="43" bestFit="1" customWidth="1"/>
    <col min="16145" max="16145" width="12.875" style="43" bestFit="1" customWidth="1"/>
    <col min="16146" max="16146" width="11.75" style="43" customWidth="1"/>
    <col min="16147" max="16148" width="7" style="43" customWidth="1"/>
    <col min="16149" max="16149" width="7.25" style="43" customWidth="1"/>
    <col min="16150" max="16151" width="11.75" style="43" customWidth="1"/>
    <col min="16152" max="16153" width="7" style="43" customWidth="1"/>
    <col min="16154" max="16154" width="7.25" style="43" customWidth="1"/>
    <col min="16155" max="16156" width="11.75" style="43" customWidth="1"/>
    <col min="16157" max="16158" width="7" style="43" customWidth="1"/>
    <col min="16159" max="16159" width="7.25" style="43" customWidth="1"/>
    <col min="16160" max="16161" width="11.75" style="43" customWidth="1"/>
    <col min="16162" max="16163" width="7" style="43" customWidth="1"/>
    <col min="16164" max="16164" width="7.25" style="43" customWidth="1"/>
    <col min="16165" max="16165" width="11.75" style="43" customWidth="1"/>
    <col min="16166" max="16166" width="11.75" style="43" bestFit="1" customWidth="1"/>
    <col min="16167" max="16168" width="7" style="43" bestFit="1" customWidth="1"/>
    <col min="16169" max="16169" width="7.25" style="43" bestFit="1" customWidth="1"/>
    <col min="16170" max="16171" width="11.75" style="43" bestFit="1" customWidth="1"/>
    <col min="16172" max="16173" width="7" style="43" bestFit="1" customWidth="1"/>
    <col min="16174" max="16174" width="7.25" style="43" bestFit="1" customWidth="1"/>
    <col min="16175" max="16175" width="11.75" style="43" bestFit="1" customWidth="1"/>
    <col min="16176" max="16384" width="9" style="43"/>
  </cols>
  <sheetData>
    <row r="1" spans="1:54" s="38" customFormat="1" ht="20.100000000000001" customHeight="1">
      <c r="A1" s="150" t="s">
        <v>332</v>
      </c>
      <c r="B1" s="150"/>
      <c r="C1" s="150"/>
      <c r="D1" s="150"/>
      <c r="E1" s="39"/>
      <c r="F1" s="40"/>
      <c r="G1" s="40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120"/>
      <c r="AB1" s="41"/>
      <c r="AC1" s="120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120"/>
    </row>
    <row r="2" spans="1:54" s="39" customFormat="1" ht="20.100000000000001" customHeight="1">
      <c r="A2" s="465" t="s">
        <v>75</v>
      </c>
      <c r="B2" s="466"/>
      <c r="C2" s="466"/>
      <c r="D2" s="466"/>
      <c r="E2" s="466" t="s">
        <v>76</v>
      </c>
      <c r="F2" s="448" t="s">
        <v>77</v>
      </c>
      <c r="G2" s="448"/>
      <c r="H2" s="448" t="s">
        <v>78</v>
      </c>
      <c r="I2" s="448" t="s">
        <v>129</v>
      </c>
      <c r="J2" s="448" t="s">
        <v>284</v>
      </c>
      <c r="K2" s="448"/>
      <c r="L2" s="448" t="s">
        <v>79</v>
      </c>
      <c r="M2" s="448"/>
      <c r="N2" s="448"/>
      <c r="O2" s="448"/>
      <c r="P2" s="448"/>
      <c r="Q2" s="448" t="s">
        <v>80</v>
      </c>
      <c r="R2" s="448"/>
      <c r="S2" s="448" t="s">
        <v>81</v>
      </c>
      <c r="T2" s="464"/>
      <c r="U2" s="471" t="s">
        <v>82</v>
      </c>
      <c r="V2" s="443"/>
      <c r="W2" s="443"/>
      <c r="X2" s="443"/>
      <c r="Y2" s="443"/>
      <c r="Z2" s="443" t="s">
        <v>83</v>
      </c>
      <c r="AA2" s="442"/>
      <c r="AB2" s="443" t="s">
        <v>83</v>
      </c>
      <c r="AC2" s="442"/>
      <c r="AD2" s="458" t="s">
        <v>130</v>
      </c>
      <c r="AE2" s="443" t="s">
        <v>84</v>
      </c>
      <c r="AF2" s="443"/>
      <c r="AG2" s="443" t="s">
        <v>85</v>
      </c>
      <c r="AH2" s="443"/>
      <c r="AI2" s="443" t="s">
        <v>86</v>
      </c>
      <c r="AJ2" s="443"/>
      <c r="AK2" s="443" t="s">
        <v>87</v>
      </c>
      <c r="AL2" s="442"/>
      <c r="AM2" s="441" t="s">
        <v>131</v>
      </c>
      <c r="AN2" s="443" t="s">
        <v>79</v>
      </c>
      <c r="AO2" s="443"/>
      <c r="AP2" s="443" t="s">
        <v>88</v>
      </c>
      <c r="AQ2" s="443"/>
      <c r="AR2" s="443" t="s">
        <v>89</v>
      </c>
      <c r="AS2" s="443"/>
      <c r="AT2" s="443" t="s">
        <v>90</v>
      </c>
      <c r="AU2" s="442"/>
      <c r="AV2" s="444" t="s">
        <v>133</v>
      </c>
      <c r="AW2" s="445"/>
      <c r="AX2" s="445"/>
      <c r="AY2" s="445"/>
      <c r="AZ2" s="446"/>
      <c r="BA2" s="441" t="s">
        <v>134</v>
      </c>
      <c r="BB2" s="442"/>
    </row>
    <row r="3" spans="1:54" s="39" customFormat="1" ht="20.100000000000001" customHeight="1">
      <c r="A3" s="467"/>
      <c r="B3" s="468"/>
      <c r="C3" s="468"/>
      <c r="D3" s="468"/>
      <c r="E3" s="468"/>
      <c r="F3" s="449" t="s">
        <v>91</v>
      </c>
      <c r="G3" s="449" t="s">
        <v>92</v>
      </c>
      <c r="H3" s="449"/>
      <c r="I3" s="449"/>
      <c r="J3" s="449" t="s">
        <v>285</v>
      </c>
      <c r="K3" s="449" t="s">
        <v>286</v>
      </c>
      <c r="L3" s="449" t="s">
        <v>279</v>
      </c>
      <c r="M3" s="449" t="s">
        <v>91</v>
      </c>
      <c r="N3" s="449"/>
      <c r="O3" s="449" t="s">
        <v>275</v>
      </c>
      <c r="P3" s="449"/>
      <c r="Q3" s="449" t="s">
        <v>91</v>
      </c>
      <c r="R3" s="449"/>
      <c r="S3" s="449" t="s">
        <v>91</v>
      </c>
      <c r="T3" s="457"/>
      <c r="U3" s="462" t="s">
        <v>47</v>
      </c>
      <c r="V3" s="455" t="s">
        <v>91</v>
      </c>
      <c r="W3" s="455"/>
      <c r="X3" s="455" t="s">
        <v>92</v>
      </c>
      <c r="Y3" s="455"/>
      <c r="Z3" s="455" t="s">
        <v>92</v>
      </c>
      <c r="AA3" s="453"/>
      <c r="AB3" s="455" t="s">
        <v>353</v>
      </c>
      <c r="AC3" s="453"/>
      <c r="AD3" s="452"/>
      <c r="AE3" s="455" t="s">
        <v>91</v>
      </c>
      <c r="AF3" s="455"/>
      <c r="AG3" s="455" t="s">
        <v>92</v>
      </c>
      <c r="AH3" s="455"/>
      <c r="AI3" s="455" t="s">
        <v>92</v>
      </c>
      <c r="AJ3" s="455"/>
      <c r="AK3" s="455" t="s">
        <v>92</v>
      </c>
      <c r="AL3" s="453"/>
      <c r="AM3" s="452"/>
      <c r="AN3" s="455" t="s">
        <v>91</v>
      </c>
      <c r="AO3" s="455"/>
      <c r="AP3" s="455" t="s">
        <v>91</v>
      </c>
      <c r="AQ3" s="455"/>
      <c r="AR3" s="455" t="s">
        <v>92</v>
      </c>
      <c r="AS3" s="455"/>
      <c r="AT3" s="455" t="s">
        <v>92</v>
      </c>
      <c r="AU3" s="453"/>
      <c r="AV3" s="460" t="s">
        <v>279</v>
      </c>
      <c r="AW3" s="456" t="s">
        <v>278</v>
      </c>
      <c r="AX3" s="453"/>
      <c r="AY3" s="452" t="s">
        <v>280</v>
      </c>
      <c r="AZ3" s="453"/>
      <c r="BA3" s="452" t="s">
        <v>92</v>
      </c>
      <c r="BB3" s="453"/>
    </row>
    <row r="4" spans="1:54" s="39" customFormat="1" ht="20.100000000000001" customHeight="1">
      <c r="A4" s="467"/>
      <c r="B4" s="468"/>
      <c r="C4" s="468"/>
      <c r="D4" s="468"/>
      <c r="E4" s="468"/>
      <c r="F4" s="449"/>
      <c r="G4" s="449"/>
      <c r="H4" s="449"/>
      <c r="I4" s="449"/>
      <c r="J4" s="449"/>
      <c r="K4" s="449"/>
      <c r="L4" s="449"/>
      <c r="M4" s="167" t="s">
        <v>93</v>
      </c>
      <c r="N4" s="167" t="s">
        <v>94</v>
      </c>
      <c r="O4" s="167" t="s">
        <v>93</v>
      </c>
      <c r="P4" s="167" t="s">
        <v>94</v>
      </c>
      <c r="Q4" s="167" t="s">
        <v>93</v>
      </c>
      <c r="R4" s="167" t="s">
        <v>94</v>
      </c>
      <c r="S4" s="167" t="s">
        <v>93</v>
      </c>
      <c r="T4" s="168" t="s">
        <v>94</v>
      </c>
      <c r="U4" s="463"/>
      <c r="V4" s="241" t="s">
        <v>93</v>
      </c>
      <c r="W4" s="241" t="s">
        <v>94</v>
      </c>
      <c r="X4" s="241" t="s">
        <v>93</v>
      </c>
      <c r="Y4" s="241" t="s">
        <v>94</v>
      </c>
      <c r="Z4" s="241" t="s">
        <v>93</v>
      </c>
      <c r="AA4" s="242" t="s">
        <v>94</v>
      </c>
      <c r="AB4" s="241" t="s">
        <v>93</v>
      </c>
      <c r="AC4" s="242" t="s">
        <v>94</v>
      </c>
      <c r="AD4" s="459"/>
      <c r="AE4" s="241" t="s">
        <v>93</v>
      </c>
      <c r="AF4" s="241" t="s">
        <v>94</v>
      </c>
      <c r="AG4" s="241" t="s">
        <v>93</v>
      </c>
      <c r="AH4" s="241" t="s">
        <v>94</v>
      </c>
      <c r="AI4" s="241" t="s">
        <v>93</v>
      </c>
      <c r="AJ4" s="241" t="s">
        <v>94</v>
      </c>
      <c r="AK4" s="241" t="s">
        <v>93</v>
      </c>
      <c r="AL4" s="242" t="s">
        <v>94</v>
      </c>
      <c r="AM4" s="459"/>
      <c r="AN4" s="241" t="s">
        <v>93</v>
      </c>
      <c r="AO4" s="241" t="s">
        <v>94</v>
      </c>
      <c r="AP4" s="241" t="s">
        <v>93</v>
      </c>
      <c r="AQ4" s="241" t="s">
        <v>94</v>
      </c>
      <c r="AR4" s="241" t="s">
        <v>93</v>
      </c>
      <c r="AS4" s="241" t="s">
        <v>94</v>
      </c>
      <c r="AT4" s="241" t="s">
        <v>93</v>
      </c>
      <c r="AU4" s="242" t="s">
        <v>94</v>
      </c>
      <c r="AV4" s="461"/>
      <c r="AW4" s="260" t="s">
        <v>93</v>
      </c>
      <c r="AX4" s="242" t="s">
        <v>94</v>
      </c>
      <c r="AY4" s="261" t="s">
        <v>93</v>
      </c>
      <c r="AZ4" s="242" t="s">
        <v>94</v>
      </c>
      <c r="BA4" s="261" t="s">
        <v>93</v>
      </c>
      <c r="BB4" s="242" t="s">
        <v>94</v>
      </c>
    </row>
    <row r="5" spans="1:54" s="39" customFormat="1" ht="20.100000000000001" customHeight="1">
      <c r="A5" s="454" t="s">
        <v>167</v>
      </c>
      <c r="B5" s="447"/>
      <c r="C5" s="447"/>
      <c r="D5" s="447"/>
      <c r="E5" s="169"/>
      <c r="F5" s="170"/>
      <c r="G5" s="170"/>
      <c r="H5" s="171">
        <f>H6+H90+H93+H96+H97+H100+H81</f>
        <v>69052057</v>
      </c>
      <c r="I5" s="171">
        <f>I6+I90+I93+I96+I97+I100+I81</f>
        <v>32398972</v>
      </c>
      <c r="J5" s="171"/>
      <c r="K5" s="171">
        <f>K6+K90+K93+K96+K97+K100+K81</f>
        <v>2044342</v>
      </c>
      <c r="L5" s="171">
        <f>L6+L90+L93+L96+L97+L100</f>
        <v>2945588</v>
      </c>
      <c r="M5" s="170"/>
      <c r="N5" s="171">
        <f>N6+N90+N93+N96+N97+N100</f>
        <v>1846761</v>
      </c>
      <c r="O5" s="171"/>
      <c r="P5" s="171">
        <f>P6+P90+P93+P96+P97+P100</f>
        <v>1098827</v>
      </c>
      <c r="Q5" s="171"/>
      <c r="R5" s="171">
        <f>R6+R90+R93+R96+R97+R100</f>
        <v>8177776</v>
      </c>
      <c r="S5" s="170"/>
      <c r="T5" s="172">
        <f>T6+T90+T93+T96+T97+T100</f>
        <v>0</v>
      </c>
      <c r="U5" s="243">
        <f>U6+U90+U93+U96+U97+U100</f>
        <v>9110813</v>
      </c>
      <c r="V5" s="244"/>
      <c r="W5" s="245">
        <f>W6+W90+W93+W96+W97+W100</f>
        <v>2834990</v>
      </c>
      <c r="X5" s="244"/>
      <c r="Y5" s="245">
        <f>Y6+Y90+Y93+Y96+Y97+Y100</f>
        <v>6275823</v>
      </c>
      <c r="Z5" s="244"/>
      <c r="AA5" s="245">
        <f>AA6+AA90+AA93+AA96+AA97+AA100</f>
        <v>9179626</v>
      </c>
      <c r="AB5" s="244"/>
      <c r="AC5" s="245">
        <f>AC6+AC90+AC93+AC96+AC97+AC100</f>
        <v>940827</v>
      </c>
      <c r="AD5" s="245">
        <f>AD6+AD90+AD93+AD96+AD97+AD100</f>
        <v>18805393</v>
      </c>
      <c r="AE5" s="244"/>
      <c r="AF5" s="245">
        <f>AF6+AF90+AF93+AF96+AF97+AF100</f>
        <v>6021515</v>
      </c>
      <c r="AG5" s="244"/>
      <c r="AH5" s="245">
        <f>AH6+AH90+AH93+AH96+AH97+AH100</f>
        <v>4585535</v>
      </c>
      <c r="AI5" s="244"/>
      <c r="AJ5" s="245">
        <f>AJ6+AJ90+AJ93+AJ96+AJ97+AJ100</f>
        <v>5604001</v>
      </c>
      <c r="AK5" s="244"/>
      <c r="AL5" s="246">
        <f>AL6+AL90+AL93+AL96+AL97+AL100</f>
        <v>2594342</v>
      </c>
      <c r="AM5" s="243">
        <f>AM6+AM90+AM93+AM96+AM97+AM100</f>
        <v>10495127</v>
      </c>
      <c r="AN5" s="244"/>
      <c r="AO5" s="245">
        <f>AO6+AO90+AO93+AO96+AO97+AO100</f>
        <v>1338656</v>
      </c>
      <c r="AP5" s="244"/>
      <c r="AQ5" s="245">
        <f>AQ6+AQ90+AQ93+AQ96+AQ97+AQ100</f>
        <v>4426767</v>
      </c>
      <c r="AR5" s="244"/>
      <c r="AS5" s="245">
        <f>AS6+AS90+AS93+AS96+AS97+AS100</f>
        <v>2162720</v>
      </c>
      <c r="AT5" s="244"/>
      <c r="AU5" s="245">
        <f>AU6+AU90+AU93+AU96+AU97+AU100</f>
        <v>2566984</v>
      </c>
      <c r="AV5" s="245">
        <f>AV6+AV90+AV93+AV96+AV97+AV100</f>
        <v>3119865</v>
      </c>
      <c r="AW5" s="244"/>
      <c r="AX5" s="245">
        <f>AX6+AX90+AX93+AX96+AX97+AX100</f>
        <v>920580</v>
      </c>
      <c r="AY5" s="245"/>
      <c r="AZ5" s="245">
        <f>AZ6+AZ90+AZ93+AZ96+AZ97+AZ100</f>
        <v>2199285</v>
      </c>
      <c r="BA5" s="244"/>
      <c r="BB5" s="246">
        <f>BB6+BB90+BB93+BB96+BB97+BB100</f>
        <v>4232700</v>
      </c>
    </row>
    <row r="6" spans="1:54" s="50" customFormat="1" ht="20.100000000000001" customHeight="1">
      <c r="A6" s="439" t="s">
        <v>95</v>
      </c>
      <c r="B6" s="440"/>
      <c r="C6" s="440"/>
      <c r="D6" s="440"/>
      <c r="E6" s="173"/>
      <c r="F6" s="174"/>
      <c r="G6" s="174"/>
      <c r="H6" s="175">
        <f t="shared" ref="H6:BB6" si="0">H7+H41+H79+H80</f>
        <v>54028711</v>
      </c>
      <c r="I6" s="175">
        <f t="shared" si="0"/>
        <v>24771694</v>
      </c>
      <c r="J6" s="175">
        <f t="shared" ref="J6:K6" si="1">J7+J41+J79+J80</f>
        <v>0</v>
      </c>
      <c r="K6" s="175">
        <f t="shared" si="1"/>
        <v>0</v>
      </c>
      <c r="L6" s="175">
        <f t="shared" ref="L6" si="2">L7+L41+L79+L80</f>
        <v>2532873</v>
      </c>
      <c r="M6" s="175">
        <f t="shared" si="0"/>
        <v>357</v>
      </c>
      <c r="N6" s="175">
        <f t="shared" si="0"/>
        <v>1846761</v>
      </c>
      <c r="O6" s="175">
        <f t="shared" ref="O6" si="3">O7+O41+O79+O80</f>
        <v>2042</v>
      </c>
      <c r="P6" s="175">
        <f t="shared" ref="P6" si="4">P7+P41+P79+P80</f>
        <v>686112</v>
      </c>
      <c r="Q6" s="175">
        <f t="shared" si="0"/>
        <v>10308</v>
      </c>
      <c r="R6" s="175">
        <f t="shared" si="0"/>
        <v>7388133</v>
      </c>
      <c r="S6" s="175">
        <f t="shared" si="0"/>
        <v>0</v>
      </c>
      <c r="T6" s="176">
        <f t="shared" si="0"/>
        <v>0</v>
      </c>
      <c r="U6" s="247">
        <f t="shared" si="0"/>
        <v>7342938</v>
      </c>
      <c r="V6" s="175">
        <f t="shared" si="0"/>
        <v>3797</v>
      </c>
      <c r="W6" s="175">
        <f t="shared" si="0"/>
        <v>2674558</v>
      </c>
      <c r="X6" s="175">
        <f t="shared" si="0"/>
        <v>14411</v>
      </c>
      <c r="Y6" s="175">
        <f t="shared" si="0"/>
        <v>4668380</v>
      </c>
      <c r="Z6" s="175">
        <f t="shared" si="0"/>
        <v>20136</v>
      </c>
      <c r="AA6" s="175">
        <f t="shared" si="0"/>
        <v>6854285</v>
      </c>
      <c r="AB6" s="175">
        <f t="shared" ref="AB6:AC6" si="5">AB7+AB41+AB79+AB80</f>
        <v>2571</v>
      </c>
      <c r="AC6" s="175">
        <f t="shared" si="5"/>
        <v>653465</v>
      </c>
      <c r="AD6" s="175">
        <f t="shared" si="0"/>
        <v>15399920</v>
      </c>
      <c r="AE6" s="175">
        <f t="shared" si="0"/>
        <v>8113</v>
      </c>
      <c r="AF6" s="175">
        <f t="shared" si="0"/>
        <v>5689028</v>
      </c>
      <c r="AG6" s="175">
        <f t="shared" si="0"/>
        <v>9249</v>
      </c>
      <c r="AH6" s="175">
        <f t="shared" si="0"/>
        <v>3358951</v>
      </c>
      <c r="AI6" s="175">
        <f t="shared" si="0"/>
        <v>12963</v>
      </c>
      <c r="AJ6" s="175">
        <f t="shared" si="0"/>
        <v>4458781</v>
      </c>
      <c r="AK6" s="175">
        <f t="shared" si="0"/>
        <v>5223</v>
      </c>
      <c r="AL6" s="176">
        <f t="shared" si="0"/>
        <v>1893160</v>
      </c>
      <c r="AM6" s="247">
        <f t="shared" si="0"/>
        <v>8300340</v>
      </c>
      <c r="AN6" s="175">
        <f t="shared" si="0"/>
        <v>1723</v>
      </c>
      <c r="AO6" s="175">
        <f t="shared" si="0"/>
        <v>1055907</v>
      </c>
      <c r="AP6" s="175">
        <f t="shared" si="0"/>
        <v>5988</v>
      </c>
      <c r="AQ6" s="175">
        <f t="shared" si="0"/>
        <v>3593013</v>
      </c>
      <c r="AR6" s="175">
        <f t="shared" si="0"/>
        <v>4801</v>
      </c>
      <c r="AS6" s="175">
        <f t="shared" si="0"/>
        <v>1621980</v>
      </c>
      <c r="AT6" s="175">
        <f t="shared" si="0"/>
        <v>6040</v>
      </c>
      <c r="AU6" s="175">
        <f t="shared" si="0"/>
        <v>2029440</v>
      </c>
      <c r="AV6" s="175">
        <f t="shared" ref="AV6" si="6">AV7+AV41+AV79+AV80</f>
        <v>2559874</v>
      </c>
      <c r="AW6" s="175">
        <f t="shared" si="0"/>
        <v>1677</v>
      </c>
      <c r="AX6" s="175">
        <f t="shared" si="0"/>
        <v>833354</v>
      </c>
      <c r="AY6" s="175">
        <f t="shared" ref="AY6" si="7">AY7+AY41+AY79+AY80</f>
        <v>5862</v>
      </c>
      <c r="AZ6" s="175">
        <f t="shared" ref="AZ6" si="8">AZ7+AZ41+AZ79+AZ80</f>
        <v>1726520</v>
      </c>
      <c r="BA6" s="175">
        <f t="shared" si="0"/>
        <v>8959</v>
      </c>
      <c r="BB6" s="176">
        <f t="shared" si="0"/>
        <v>2996883</v>
      </c>
    </row>
    <row r="7" spans="1:54" s="49" customFormat="1" ht="20.100000000000001" customHeight="1">
      <c r="A7" s="177"/>
      <c r="B7" s="450" t="s">
        <v>96</v>
      </c>
      <c r="C7" s="450"/>
      <c r="D7" s="450"/>
      <c r="E7" s="178"/>
      <c r="F7" s="179"/>
      <c r="G7" s="179"/>
      <c r="H7" s="180">
        <f t="shared" ref="H7:AA7" si="9">H8+H36</f>
        <v>40408604</v>
      </c>
      <c r="I7" s="180">
        <f t="shared" si="9"/>
        <v>17102867</v>
      </c>
      <c r="J7" s="180">
        <f t="shared" ref="J7:K7" si="10">J8+J36</f>
        <v>0</v>
      </c>
      <c r="K7" s="180">
        <f t="shared" si="10"/>
        <v>0</v>
      </c>
      <c r="L7" s="180">
        <f t="shared" ref="L7" si="11">L8+L36</f>
        <v>686112</v>
      </c>
      <c r="M7" s="180">
        <f t="shared" si="9"/>
        <v>0</v>
      </c>
      <c r="N7" s="180">
        <f t="shared" si="9"/>
        <v>0</v>
      </c>
      <c r="O7" s="180">
        <f t="shared" ref="O7" si="12">O8+O36</f>
        <v>2042</v>
      </c>
      <c r="P7" s="180">
        <f t="shared" ref="P7" si="13">P8+P36</f>
        <v>686112</v>
      </c>
      <c r="Q7" s="180">
        <f t="shared" si="9"/>
        <v>5333</v>
      </c>
      <c r="R7" s="180">
        <f t="shared" si="9"/>
        <v>3122950</v>
      </c>
      <c r="S7" s="180">
        <f t="shared" si="9"/>
        <v>0</v>
      </c>
      <c r="T7" s="181">
        <f t="shared" si="9"/>
        <v>0</v>
      </c>
      <c r="U7" s="248">
        <f t="shared" si="9"/>
        <v>5850055</v>
      </c>
      <c r="V7" s="180">
        <f t="shared" si="9"/>
        <v>1966</v>
      </c>
      <c r="W7" s="180">
        <f t="shared" si="9"/>
        <v>1213675</v>
      </c>
      <c r="X7" s="180">
        <f t="shared" si="9"/>
        <v>14410</v>
      </c>
      <c r="Y7" s="180">
        <f t="shared" si="9"/>
        <v>4636380</v>
      </c>
      <c r="Z7" s="180">
        <f t="shared" si="9"/>
        <v>20135</v>
      </c>
      <c r="AA7" s="180">
        <f t="shared" si="9"/>
        <v>6822285</v>
      </c>
      <c r="AB7" s="180">
        <f t="shared" ref="AB7:AC7" si="14">AB8+AB36</f>
        <v>2570</v>
      </c>
      <c r="AC7" s="180">
        <f t="shared" si="14"/>
        <v>621465</v>
      </c>
      <c r="AD7" s="180">
        <f t="shared" ref="AD7:AD69" si="15">AF7+AH7+AJ7+AL7</f>
        <v>11637592</v>
      </c>
      <c r="AE7" s="180">
        <f t="shared" ref="AE7:AL7" si="16">AE8+AE36</f>
        <v>4328</v>
      </c>
      <c r="AF7" s="180">
        <f t="shared" si="16"/>
        <v>2651453</v>
      </c>
      <c r="AG7" s="180">
        <f t="shared" si="16"/>
        <v>8590</v>
      </c>
      <c r="AH7" s="180">
        <f t="shared" si="16"/>
        <v>2973080</v>
      </c>
      <c r="AI7" s="180">
        <f t="shared" si="16"/>
        <v>12770</v>
      </c>
      <c r="AJ7" s="180">
        <f t="shared" si="16"/>
        <v>4308195</v>
      </c>
      <c r="AK7" s="180">
        <f t="shared" si="16"/>
        <v>5074</v>
      </c>
      <c r="AL7" s="181">
        <f t="shared" si="16"/>
        <v>1704864</v>
      </c>
      <c r="AM7" s="248">
        <f t="shared" ref="AM7:AM69" si="17">AO7+AQ7+AS7+AU7</f>
        <v>6848600</v>
      </c>
      <c r="AN7" s="180">
        <f t="shared" ref="AN7:BB7" si="18">AN8+AN36</f>
        <v>1400</v>
      </c>
      <c r="AO7" s="180">
        <f t="shared" si="18"/>
        <v>753030</v>
      </c>
      <c r="AP7" s="180">
        <f t="shared" si="18"/>
        <v>4661</v>
      </c>
      <c r="AQ7" s="180">
        <f t="shared" si="18"/>
        <v>2476150</v>
      </c>
      <c r="AR7" s="180">
        <f t="shared" si="18"/>
        <v>4800</v>
      </c>
      <c r="AS7" s="180">
        <f t="shared" si="18"/>
        <v>1589980</v>
      </c>
      <c r="AT7" s="180">
        <f t="shared" si="18"/>
        <v>6040</v>
      </c>
      <c r="AU7" s="180">
        <f t="shared" si="18"/>
        <v>2029440</v>
      </c>
      <c r="AV7" s="180">
        <f t="shared" si="18"/>
        <v>2038162</v>
      </c>
      <c r="AW7" s="180">
        <f t="shared" si="18"/>
        <v>859</v>
      </c>
      <c r="AX7" s="180">
        <f t="shared" si="18"/>
        <v>375642</v>
      </c>
      <c r="AY7" s="180">
        <f t="shared" ref="AY7" si="19">AY8+AY36</f>
        <v>5860</v>
      </c>
      <c r="AZ7" s="180">
        <f t="shared" ref="AZ7" si="20">AZ8+AZ36</f>
        <v>1662520</v>
      </c>
      <c r="BA7" s="180">
        <f t="shared" si="18"/>
        <v>8630</v>
      </c>
      <c r="BB7" s="181">
        <f t="shared" si="18"/>
        <v>2781383</v>
      </c>
    </row>
    <row r="8" spans="1:54" s="48" customFormat="1" ht="20.100000000000001" customHeight="1">
      <c r="A8" s="182"/>
      <c r="B8" s="183"/>
      <c r="C8" s="451" t="s">
        <v>97</v>
      </c>
      <c r="D8" s="451"/>
      <c r="E8" s="184"/>
      <c r="F8" s="185"/>
      <c r="G8" s="185"/>
      <c r="H8" s="186">
        <f t="shared" ref="H8:AA8" si="21">H9+H18+H27</f>
        <v>8254671</v>
      </c>
      <c r="I8" s="186">
        <f t="shared" si="21"/>
        <v>3734191</v>
      </c>
      <c r="J8" s="186">
        <f t="shared" ref="J8:K8" si="22">J9+J18+J27</f>
        <v>0</v>
      </c>
      <c r="K8" s="186">
        <f t="shared" si="22"/>
        <v>0</v>
      </c>
      <c r="L8" s="186">
        <f t="shared" ref="L8" si="23">L9+L18+L27</f>
        <v>0</v>
      </c>
      <c r="M8" s="186">
        <f t="shared" si="21"/>
        <v>0</v>
      </c>
      <c r="N8" s="186">
        <f t="shared" si="21"/>
        <v>0</v>
      </c>
      <c r="O8" s="186">
        <f t="shared" ref="O8" si="24">O9+O18+O27</f>
        <v>0</v>
      </c>
      <c r="P8" s="186">
        <f t="shared" ref="P8" si="25">P9+P18+P27</f>
        <v>0</v>
      </c>
      <c r="Q8" s="186">
        <f t="shared" si="21"/>
        <v>4170</v>
      </c>
      <c r="R8" s="186">
        <f t="shared" si="21"/>
        <v>2520516</v>
      </c>
      <c r="S8" s="186">
        <f t="shared" si="21"/>
        <v>0</v>
      </c>
      <c r="T8" s="187">
        <f t="shared" si="21"/>
        <v>0</v>
      </c>
      <c r="U8" s="249">
        <f t="shared" si="21"/>
        <v>1213675</v>
      </c>
      <c r="V8" s="186">
        <f t="shared" si="21"/>
        <v>1966</v>
      </c>
      <c r="W8" s="186">
        <f t="shared" si="21"/>
        <v>1213675</v>
      </c>
      <c r="X8" s="186">
        <f t="shared" si="21"/>
        <v>0</v>
      </c>
      <c r="Y8" s="186">
        <f t="shared" si="21"/>
        <v>0</v>
      </c>
      <c r="Z8" s="186">
        <f t="shared" si="21"/>
        <v>0</v>
      </c>
      <c r="AA8" s="186">
        <f t="shared" si="21"/>
        <v>0</v>
      </c>
      <c r="AB8" s="186">
        <f t="shared" ref="AB8:AC8" si="26">AB9+AB18+AB27</f>
        <v>0</v>
      </c>
      <c r="AC8" s="186">
        <f t="shared" si="26"/>
        <v>0</v>
      </c>
      <c r="AD8" s="186">
        <f t="shared" si="15"/>
        <v>2651453</v>
      </c>
      <c r="AE8" s="186">
        <f t="shared" ref="AE8:AL8" si="27">AE9+AE18+AE27</f>
        <v>4328</v>
      </c>
      <c r="AF8" s="186">
        <f t="shared" si="27"/>
        <v>2651453</v>
      </c>
      <c r="AG8" s="186">
        <f t="shared" si="27"/>
        <v>0</v>
      </c>
      <c r="AH8" s="186">
        <f t="shared" si="27"/>
        <v>0</v>
      </c>
      <c r="AI8" s="186">
        <f t="shared" si="27"/>
        <v>0</v>
      </c>
      <c r="AJ8" s="186">
        <f t="shared" si="27"/>
        <v>0</v>
      </c>
      <c r="AK8" s="186">
        <f t="shared" si="27"/>
        <v>0</v>
      </c>
      <c r="AL8" s="187">
        <f t="shared" si="27"/>
        <v>0</v>
      </c>
      <c r="AM8" s="249">
        <f t="shared" si="17"/>
        <v>999708</v>
      </c>
      <c r="AN8" s="186">
        <f t="shared" ref="AN8:BB8" si="28">AN9+AN18+AN27</f>
        <v>546</v>
      </c>
      <c r="AO8" s="186">
        <f t="shared" si="28"/>
        <v>310658</v>
      </c>
      <c r="AP8" s="186">
        <f t="shared" si="28"/>
        <v>1211</v>
      </c>
      <c r="AQ8" s="186">
        <f t="shared" si="28"/>
        <v>689050</v>
      </c>
      <c r="AR8" s="186">
        <f t="shared" si="28"/>
        <v>0</v>
      </c>
      <c r="AS8" s="186">
        <f t="shared" si="28"/>
        <v>0</v>
      </c>
      <c r="AT8" s="186">
        <f t="shared" si="28"/>
        <v>0</v>
      </c>
      <c r="AU8" s="186">
        <f t="shared" si="28"/>
        <v>0</v>
      </c>
      <c r="AV8" s="186">
        <f t="shared" si="28"/>
        <v>375642</v>
      </c>
      <c r="AW8" s="186">
        <f t="shared" si="28"/>
        <v>859</v>
      </c>
      <c r="AX8" s="186">
        <f t="shared" si="28"/>
        <v>375642</v>
      </c>
      <c r="AY8" s="186">
        <f t="shared" ref="AY8" si="29">AY9+AY18+AY27</f>
        <v>0</v>
      </c>
      <c r="AZ8" s="186">
        <f t="shared" ref="AZ8" si="30">AZ9+AZ18+AZ27</f>
        <v>0</v>
      </c>
      <c r="BA8" s="186">
        <f t="shared" si="28"/>
        <v>1409</v>
      </c>
      <c r="BB8" s="187">
        <f t="shared" si="28"/>
        <v>493677</v>
      </c>
    </row>
    <row r="9" spans="1:54" s="47" customFormat="1" ht="20.100000000000001" customHeight="1">
      <c r="A9" s="188"/>
      <c r="B9" s="189"/>
      <c r="C9" s="190"/>
      <c r="D9" s="189" t="s">
        <v>98</v>
      </c>
      <c r="E9" s="191"/>
      <c r="F9" s="192"/>
      <c r="G9" s="192"/>
      <c r="H9" s="193">
        <f t="shared" ref="H9:AA9" si="31">SUM(H10:H17)</f>
        <v>7590280</v>
      </c>
      <c r="I9" s="193">
        <f t="shared" si="31"/>
        <v>3442311</v>
      </c>
      <c r="J9" s="193">
        <f t="shared" ref="J9:K9" si="32">SUM(J10:J17)</f>
        <v>0</v>
      </c>
      <c r="K9" s="193">
        <f t="shared" si="32"/>
        <v>0</v>
      </c>
      <c r="L9" s="193">
        <f t="shared" ref="L9" si="33">SUM(L10:L17)</f>
        <v>0</v>
      </c>
      <c r="M9" s="193">
        <f t="shared" si="31"/>
        <v>0</v>
      </c>
      <c r="N9" s="193">
        <f t="shared" si="31"/>
        <v>0</v>
      </c>
      <c r="O9" s="193">
        <f t="shared" si="31"/>
        <v>0</v>
      </c>
      <c r="P9" s="193">
        <f t="shared" ref="P9" si="34">SUM(P10:P17)</f>
        <v>0</v>
      </c>
      <c r="Q9" s="193">
        <f t="shared" si="31"/>
        <v>3852</v>
      </c>
      <c r="R9" s="193">
        <f t="shared" si="31"/>
        <v>2324011</v>
      </c>
      <c r="S9" s="193">
        <f t="shared" si="31"/>
        <v>0</v>
      </c>
      <c r="T9" s="194">
        <f t="shared" si="31"/>
        <v>0</v>
      </c>
      <c r="U9" s="250">
        <f t="shared" si="31"/>
        <v>1118300</v>
      </c>
      <c r="V9" s="193">
        <f t="shared" si="31"/>
        <v>1816</v>
      </c>
      <c r="W9" s="193">
        <f t="shared" si="31"/>
        <v>1118300</v>
      </c>
      <c r="X9" s="193">
        <f t="shared" si="31"/>
        <v>0</v>
      </c>
      <c r="Y9" s="193">
        <f t="shared" si="31"/>
        <v>0</v>
      </c>
      <c r="Z9" s="193">
        <f t="shared" si="31"/>
        <v>0</v>
      </c>
      <c r="AA9" s="193">
        <f t="shared" si="31"/>
        <v>0</v>
      </c>
      <c r="AB9" s="193">
        <f t="shared" ref="AB9:AC9" si="35">SUM(AB10:AB17)</f>
        <v>0</v>
      </c>
      <c r="AC9" s="193">
        <f t="shared" si="35"/>
        <v>0</v>
      </c>
      <c r="AD9" s="193">
        <f t="shared" si="15"/>
        <v>2446512</v>
      </c>
      <c r="AE9" s="193">
        <f t="shared" ref="AE9:AL9" si="36">SUM(AE10:AE17)</f>
        <v>3998</v>
      </c>
      <c r="AF9" s="193">
        <f t="shared" si="36"/>
        <v>2446512</v>
      </c>
      <c r="AG9" s="193">
        <f t="shared" si="36"/>
        <v>0</v>
      </c>
      <c r="AH9" s="193">
        <f t="shared" si="36"/>
        <v>0</v>
      </c>
      <c r="AI9" s="193">
        <f t="shared" si="36"/>
        <v>0</v>
      </c>
      <c r="AJ9" s="193">
        <f t="shared" si="36"/>
        <v>0</v>
      </c>
      <c r="AK9" s="193">
        <f t="shared" si="36"/>
        <v>0</v>
      </c>
      <c r="AL9" s="194">
        <f t="shared" si="36"/>
        <v>0</v>
      </c>
      <c r="AM9" s="250">
        <f t="shared" si="17"/>
        <v>926162</v>
      </c>
      <c r="AN9" s="193">
        <f t="shared" ref="AN9:BB9" si="37">SUM(AN10:AN17)</f>
        <v>504</v>
      </c>
      <c r="AO9" s="193">
        <f t="shared" si="37"/>
        <v>287784</v>
      </c>
      <c r="AP9" s="193">
        <f t="shared" si="37"/>
        <v>1118</v>
      </c>
      <c r="AQ9" s="193">
        <f t="shared" si="37"/>
        <v>638378</v>
      </c>
      <c r="AR9" s="193">
        <f t="shared" si="37"/>
        <v>0</v>
      </c>
      <c r="AS9" s="193">
        <f t="shared" si="37"/>
        <v>0</v>
      </c>
      <c r="AT9" s="193">
        <f t="shared" si="37"/>
        <v>0</v>
      </c>
      <c r="AU9" s="193">
        <f t="shared" si="37"/>
        <v>0</v>
      </c>
      <c r="AV9" s="193">
        <f t="shared" ref="AV9" si="38">SUM(AV10:AV17)</f>
        <v>335084</v>
      </c>
      <c r="AW9" s="193">
        <f t="shared" si="37"/>
        <v>793</v>
      </c>
      <c r="AX9" s="193">
        <f t="shared" si="37"/>
        <v>335084</v>
      </c>
      <c r="AY9" s="193">
        <f t="shared" ref="AY9" si="39">SUM(AY10:AY17)</f>
        <v>0</v>
      </c>
      <c r="AZ9" s="193">
        <f t="shared" ref="AZ9" si="40">SUM(AZ10:AZ17)</f>
        <v>0</v>
      </c>
      <c r="BA9" s="193">
        <f t="shared" si="37"/>
        <v>1301</v>
      </c>
      <c r="BB9" s="194">
        <f t="shared" si="37"/>
        <v>440211</v>
      </c>
    </row>
    <row r="10" spans="1:54" s="38" customFormat="1" ht="20.100000000000001" customHeight="1">
      <c r="A10" s="195"/>
      <c r="B10" s="196"/>
      <c r="C10" s="196"/>
      <c r="D10" s="196" t="s">
        <v>99</v>
      </c>
      <c r="E10" s="169" t="s">
        <v>100</v>
      </c>
      <c r="F10" s="197">
        <v>518</v>
      </c>
      <c r="G10" s="197">
        <v>336</v>
      </c>
      <c r="H10" s="198">
        <f t="shared" ref="H10:H17" si="41">I10+AD10+AM10+AV10+BB10</f>
        <v>539812</v>
      </c>
      <c r="I10" s="198">
        <f t="shared" ref="I10:I17" si="42">L10+R10+T10+U10+AA10</f>
        <v>116032</v>
      </c>
      <c r="J10" s="199"/>
      <c r="K10" s="199">
        <f>ROUND(J10*$F10,0)</f>
        <v>0</v>
      </c>
      <c r="L10" s="198">
        <f t="shared" ref="L10:L73" si="43">N10+P10</f>
        <v>0</v>
      </c>
      <c r="M10" s="199"/>
      <c r="N10" s="199">
        <f>ROUND(M10*$F10,0)</f>
        <v>0</v>
      </c>
      <c r="O10" s="199"/>
      <c r="P10" s="199">
        <f>ROUND(O10*$G10,0)</f>
        <v>0</v>
      </c>
      <c r="Q10" s="199">
        <v>224</v>
      </c>
      <c r="R10" s="199">
        <f>ROUND(Q10*$F10,0)</f>
        <v>116032</v>
      </c>
      <c r="S10" s="199"/>
      <c r="T10" s="200">
        <f>ROUND(S10*$F10,0)</f>
        <v>0</v>
      </c>
      <c r="U10" s="251">
        <f t="shared" ref="U10:U70" si="44">W10+Y10</f>
        <v>0</v>
      </c>
      <c r="V10" s="199"/>
      <c r="W10" s="199">
        <f>ROUND(V10*$F10,0)</f>
        <v>0</v>
      </c>
      <c r="X10" s="199"/>
      <c r="Y10" s="199">
        <f>ROUND(X10*$G10,0)</f>
        <v>0</v>
      </c>
      <c r="Z10" s="199"/>
      <c r="AA10" s="199">
        <f>ROUND(Z10*$G10,0)</f>
        <v>0</v>
      </c>
      <c r="AB10" s="199"/>
      <c r="AC10" s="199">
        <f t="shared" ref="AC10:AC17" si="45">ROUND(AB10*$G10,0)</f>
        <v>0</v>
      </c>
      <c r="AD10" s="198">
        <f t="shared" si="15"/>
        <v>27972</v>
      </c>
      <c r="AE10" s="199">
        <v>54</v>
      </c>
      <c r="AF10" s="199">
        <f>ROUND(AE10*$F10,0)</f>
        <v>27972</v>
      </c>
      <c r="AG10" s="199"/>
      <c r="AH10" s="199">
        <f>ROUND(AG10*$G10,0)</f>
        <v>0</v>
      </c>
      <c r="AI10" s="199"/>
      <c r="AJ10" s="199">
        <f>ROUND(AI10*$G10,0)</f>
        <v>0</v>
      </c>
      <c r="AK10" s="199"/>
      <c r="AL10" s="200">
        <f>ROUND(AK10*$G10,0)</f>
        <v>0</v>
      </c>
      <c r="AM10" s="251">
        <f t="shared" si="17"/>
        <v>0</v>
      </c>
      <c r="AN10" s="199"/>
      <c r="AO10" s="199">
        <f>ROUND(AN10*$F10,0)</f>
        <v>0</v>
      </c>
      <c r="AP10" s="199"/>
      <c r="AQ10" s="199">
        <f>ROUND(AP10*$F10,0)</f>
        <v>0</v>
      </c>
      <c r="AR10" s="199"/>
      <c r="AS10" s="199">
        <f>ROUND(AR10*$G10,0)</f>
        <v>0</v>
      </c>
      <c r="AT10" s="199"/>
      <c r="AU10" s="199">
        <f>ROUND(AT10*$G10,0)</f>
        <v>0</v>
      </c>
      <c r="AV10" s="198">
        <f t="shared" ref="AV10:AV73" si="46">AX10+AZ10</f>
        <v>0</v>
      </c>
      <c r="AW10" s="199"/>
      <c r="AX10" s="199">
        <f>ROUND(AW10*$G10,0)</f>
        <v>0</v>
      </c>
      <c r="AY10" s="199"/>
      <c r="AZ10" s="199">
        <f>ROUND(AY10*$G10,0)</f>
        <v>0</v>
      </c>
      <c r="BA10" s="199">
        <v>1178</v>
      </c>
      <c r="BB10" s="200">
        <f>ROUND(BA10*$G10,0)</f>
        <v>395808</v>
      </c>
    </row>
    <row r="11" spans="1:54" s="38" customFormat="1" ht="20.100000000000001" customHeight="1">
      <c r="A11" s="195"/>
      <c r="B11" s="196"/>
      <c r="C11" s="196"/>
      <c r="D11" s="196" t="s">
        <v>101</v>
      </c>
      <c r="E11" s="169" t="s">
        <v>100</v>
      </c>
      <c r="F11" s="197">
        <v>544</v>
      </c>
      <c r="G11" s="197">
        <v>361</v>
      </c>
      <c r="H11" s="198">
        <f t="shared" si="41"/>
        <v>71059</v>
      </c>
      <c r="I11" s="198">
        <f t="shared" si="42"/>
        <v>26656</v>
      </c>
      <c r="J11" s="199"/>
      <c r="K11" s="199">
        <f t="shared" ref="K11:K17" si="47">ROUND(J11*$F11,0)</f>
        <v>0</v>
      </c>
      <c r="L11" s="198">
        <f>N11+P11</f>
        <v>0</v>
      </c>
      <c r="M11" s="199"/>
      <c r="N11" s="199">
        <f t="shared" ref="N11:N71" si="48">ROUND(M11*$F11,0)</f>
        <v>0</v>
      </c>
      <c r="O11" s="199"/>
      <c r="P11" s="199">
        <f t="shared" ref="P11:P74" si="49">ROUND(O11*$G11,0)</f>
        <v>0</v>
      </c>
      <c r="Q11" s="199">
        <v>49</v>
      </c>
      <c r="R11" s="199">
        <f t="shared" ref="R11:R71" si="50">ROUND(Q11*$F11,0)</f>
        <v>26656</v>
      </c>
      <c r="S11" s="199"/>
      <c r="T11" s="200">
        <f t="shared" ref="T11:T71" si="51">ROUND(S11*$F11,0)</f>
        <v>0</v>
      </c>
      <c r="U11" s="251">
        <f t="shared" si="44"/>
        <v>0</v>
      </c>
      <c r="V11" s="199"/>
      <c r="W11" s="199">
        <f t="shared" ref="W11:W71" si="52">ROUND(V11*$F11,0)</f>
        <v>0</v>
      </c>
      <c r="X11" s="199"/>
      <c r="Y11" s="199">
        <f t="shared" ref="Y11:Y71" si="53">ROUND(X11*$G11,0)</f>
        <v>0</v>
      </c>
      <c r="Z11" s="199"/>
      <c r="AA11" s="199">
        <f t="shared" ref="AA11:AA71" si="54">ROUND(Z11*$G11,0)</f>
        <v>0</v>
      </c>
      <c r="AB11" s="199"/>
      <c r="AC11" s="199">
        <f t="shared" si="45"/>
        <v>0</v>
      </c>
      <c r="AD11" s="198">
        <f t="shared" si="15"/>
        <v>0</v>
      </c>
      <c r="AE11" s="199"/>
      <c r="AF11" s="199">
        <f t="shared" ref="AF11:AF71" si="55">ROUND(AE11*$F11,0)</f>
        <v>0</v>
      </c>
      <c r="AG11" s="199"/>
      <c r="AH11" s="199">
        <f t="shared" ref="AH11:AH71" si="56">ROUND(AG11*$G11,0)</f>
        <v>0</v>
      </c>
      <c r="AI11" s="199"/>
      <c r="AJ11" s="199">
        <f t="shared" ref="AJ11:AJ71" si="57">ROUND(AI11*$G11,0)</f>
        <v>0</v>
      </c>
      <c r="AK11" s="199"/>
      <c r="AL11" s="200">
        <f t="shared" ref="AL11:AL71" si="58">ROUND(AK11*$G11,0)</f>
        <v>0</v>
      </c>
      <c r="AM11" s="251">
        <f t="shared" si="17"/>
        <v>0</v>
      </c>
      <c r="AN11" s="199"/>
      <c r="AO11" s="199">
        <f t="shared" ref="AO11:AO71" si="59">ROUND(AN11*$F11,0)</f>
        <v>0</v>
      </c>
      <c r="AP11" s="199"/>
      <c r="AQ11" s="199">
        <f t="shared" ref="AQ11:AQ71" si="60">ROUND(AP11*$F11,0)</f>
        <v>0</v>
      </c>
      <c r="AR11" s="199"/>
      <c r="AS11" s="199">
        <f t="shared" ref="AS11:AS71" si="61">ROUND(AR11*$G11,0)</f>
        <v>0</v>
      </c>
      <c r="AT11" s="199"/>
      <c r="AU11" s="199">
        <f t="shared" ref="AU11:AU71" si="62">ROUND(AT11*$G11,0)</f>
        <v>0</v>
      </c>
      <c r="AV11" s="198">
        <f t="shared" si="46"/>
        <v>0</v>
      </c>
      <c r="AW11" s="199"/>
      <c r="AX11" s="199">
        <f t="shared" ref="AX11:AZ71" si="63">ROUND(AW11*$G11,0)</f>
        <v>0</v>
      </c>
      <c r="AY11" s="199"/>
      <c r="AZ11" s="199">
        <f t="shared" si="63"/>
        <v>0</v>
      </c>
      <c r="BA11" s="199">
        <v>123</v>
      </c>
      <c r="BB11" s="200">
        <f t="shared" ref="BB11:BB71" si="64">ROUND(BA11*$G11,0)</f>
        <v>44403</v>
      </c>
    </row>
    <row r="12" spans="1:54" s="38" customFormat="1" ht="20.100000000000001" customHeight="1">
      <c r="A12" s="195"/>
      <c r="B12" s="196"/>
      <c r="C12" s="196"/>
      <c r="D12" s="196" t="s">
        <v>102</v>
      </c>
      <c r="E12" s="169" t="s">
        <v>100</v>
      </c>
      <c r="F12" s="197">
        <v>571</v>
      </c>
      <c r="G12" s="197">
        <v>388</v>
      </c>
      <c r="H12" s="198">
        <f t="shared" si="41"/>
        <v>4839217</v>
      </c>
      <c r="I12" s="198">
        <f t="shared" si="42"/>
        <v>1932264</v>
      </c>
      <c r="J12" s="199"/>
      <c r="K12" s="199">
        <f t="shared" si="47"/>
        <v>0</v>
      </c>
      <c r="L12" s="198">
        <f t="shared" si="43"/>
        <v>0</v>
      </c>
      <c r="M12" s="199"/>
      <c r="N12" s="199">
        <f t="shared" si="48"/>
        <v>0</v>
      </c>
      <c r="O12" s="199"/>
      <c r="P12" s="199">
        <f t="shared" si="49"/>
        <v>0</v>
      </c>
      <c r="Q12" s="199">
        <v>2372</v>
      </c>
      <c r="R12" s="199">
        <f t="shared" si="50"/>
        <v>1354412</v>
      </c>
      <c r="S12" s="199"/>
      <c r="T12" s="200">
        <f t="shared" si="51"/>
        <v>0</v>
      </c>
      <c r="U12" s="251">
        <f t="shared" si="44"/>
        <v>577852</v>
      </c>
      <c r="V12" s="199">
        <v>1012</v>
      </c>
      <c r="W12" s="199">
        <f t="shared" si="52"/>
        <v>577852</v>
      </c>
      <c r="X12" s="199"/>
      <c r="Y12" s="199">
        <f t="shared" si="53"/>
        <v>0</v>
      </c>
      <c r="Z12" s="199"/>
      <c r="AA12" s="199">
        <f t="shared" si="54"/>
        <v>0</v>
      </c>
      <c r="AB12" s="199"/>
      <c r="AC12" s="199">
        <f t="shared" si="45"/>
        <v>0</v>
      </c>
      <c r="AD12" s="198">
        <f t="shared" si="15"/>
        <v>1779807</v>
      </c>
      <c r="AE12" s="199">
        <v>3117</v>
      </c>
      <c r="AF12" s="199">
        <f t="shared" si="55"/>
        <v>1779807</v>
      </c>
      <c r="AG12" s="199"/>
      <c r="AH12" s="199">
        <f t="shared" si="56"/>
        <v>0</v>
      </c>
      <c r="AI12" s="199"/>
      <c r="AJ12" s="199">
        <f t="shared" si="57"/>
        <v>0</v>
      </c>
      <c r="AK12" s="199"/>
      <c r="AL12" s="200">
        <f t="shared" si="58"/>
        <v>0</v>
      </c>
      <c r="AM12" s="251">
        <f t="shared" si="17"/>
        <v>926162</v>
      </c>
      <c r="AN12" s="199">
        <v>504</v>
      </c>
      <c r="AO12" s="199">
        <f t="shared" si="59"/>
        <v>287784</v>
      </c>
      <c r="AP12" s="199">
        <v>1118</v>
      </c>
      <c r="AQ12" s="199">
        <f t="shared" si="60"/>
        <v>638378</v>
      </c>
      <c r="AR12" s="199"/>
      <c r="AS12" s="199">
        <f t="shared" si="61"/>
        <v>0</v>
      </c>
      <c r="AT12" s="199"/>
      <c r="AU12" s="199">
        <f t="shared" si="62"/>
        <v>0</v>
      </c>
      <c r="AV12" s="198">
        <f t="shared" si="46"/>
        <v>200984</v>
      </c>
      <c r="AW12" s="199">
        <v>518</v>
      </c>
      <c r="AX12" s="199">
        <f t="shared" si="63"/>
        <v>200984</v>
      </c>
      <c r="AY12" s="199"/>
      <c r="AZ12" s="199">
        <f t="shared" si="63"/>
        <v>0</v>
      </c>
      <c r="BA12" s="199"/>
      <c r="BB12" s="200">
        <f t="shared" si="64"/>
        <v>0</v>
      </c>
    </row>
    <row r="13" spans="1:54" s="38" customFormat="1" ht="20.100000000000001" customHeight="1">
      <c r="A13" s="195"/>
      <c r="B13" s="196"/>
      <c r="C13" s="196"/>
      <c r="D13" s="196" t="s">
        <v>103</v>
      </c>
      <c r="E13" s="169" t="s">
        <v>100</v>
      </c>
      <c r="F13" s="197">
        <v>645</v>
      </c>
      <c r="G13" s="197">
        <v>460</v>
      </c>
      <c r="H13" s="198">
        <f t="shared" si="41"/>
        <v>1196230</v>
      </c>
      <c r="I13" s="198">
        <f t="shared" si="42"/>
        <v>1040385</v>
      </c>
      <c r="J13" s="199"/>
      <c r="K13" s="199">
        <f t="shared" si="47"/>
        <v>0</v>
      </c>
      <c r="L13" s="198">
        <f t="shared" si="43"/>
        <v>0</v>
      </c>
      <c r="M13" s="199"/>
      <c r="N13" s="199">
        <f t="shared" si="48"/>
        <v>0</v>
      </c>
      <c r="O13" s="199"/>
      <c r="P13" s="199">
        <f t="shared" si="49"/>
        <v>0</v>
      </c>
      <c r="Q13" s="199">
        <v>880</v>
      </c>
      <c r="R13" s="199">
        <f t="shared" si="50"/>
        <v>567600</v>
      </c>
      <c r="S13" s="199"/>
      <c r="T13" s="200">
        <f t="shared" si="51"/>
        <v>0</v>
      </c>
      <c r="U13" s="251">
        <f t="shared" si="44"/>
        <v>472785</v>
      </c>
      <c r="V13" s="199">
        <v>733</v>
      </c>
      <c r="W13" s="199">
        <f t="shared" si="52"/>
        <v>472785</v>
      </c>
      <c r="X13" s="199"/>
      <c r="Y13" s="199">
        <f t="shared" si="53"/>
        <v>0</v>
      </c>
      <c r="Z13" s="199"/>
      <c r="AA13" s="199">
        <f t="shared" si="54"/>
        <v>0</v>
      </c>
      <c r="AB13" s="199"/>
      <c r="AC13" s="199">
        <f t="shared" si="45"/>
        <v>0</v>
      </c>
      <c r="AD13" s="198">
        <f t="shared" si="15"/>
        <v>116745</v>
      </c>
      <c r="AE13" s="199">
        <v>181</v>
      </c>
      <c r="AF13" s="199">
        <f t="shared" si="55"/>
        <v>116745</v>
      </c>
      <c r="AG13" s="199"/>
      <c r="AH13" s="199">
        <f t="shared" si="56"/>
        <v>0</v>
      </c>
      <c r="AI13" s="199"/>
      <c r="AJ13" s="199">
        <f t="shared" si="57"/>
        <v>0</v>
      </c>
      <c r="AK13" s="199"/>
      <c r="AL13" s="200">
        <f t="shared" si="58"/>
        <v>0</v>
      </c>
      <c r="AM13" s="251">
        <f t="shared" si="17"/>
        <v>0</v>
      </c>
      <c r="AN13" s="199"/>
      <c r="AO13" s="199">
        <f t="shared" si="59"/>
        <v>0</v>
      </c>
      <c r="AP13" s="199"/>
      <c r="AQ13" s="199">
        <f t="shared" si="60"/>
        <v>0</v>
      </c>
      <c r="AR13" s="199"/>
      <c r="AS13" s="199">
        <f t="shared" si="61"/>
        <v>0</v>
      </c>
      <c r="AT13" s="199"/>
      <c r="AU13" s="199">
        <f t="shared" si="62"/>
        <v>0</v>
      </c>
      <c r="AV13" s="198">
        <f t="shared" si="46"/>
        <v>39100</v>
      </c>
      <c r="AW13" s="199">
        <v>85</v>
      </c>
      <c r="AX13" s="199">
        <f t="shared" si="63"/>
        <v>39100</v>
      </c>
      <c r="AY13" s="199"/>
      <c r="AZ13" s="199">
        <f t="shared" si="63"/>
        <v>0</v>
      </c>
      <c r="BA13" s="199"/>
      <c r="BB13" s="200">
        <f t="shared" si="64"/>
        <v>0</v>
      </c>
    </row>
    <row r="14" spans="1:54" s="38" customFormat="1" ht="20.100000000000001" customHeight="1">
      <c r="A14" s="195"/>
      <c r="B14" s="196"/>
      <c r="C14" s="196"/>
      <c r="D14" s="196" t="s">
        <v>104</v>
      </c>
      <c r="E14" s="169" t="s">
        <v>100</v>
      </c>
      <c r="F14" s="197">
        <v>682</v>
      </c>
      <c r="G14" s="197">
        <v>500</v>
      </c>
      <c r="H14" s="198">
        <f t="shared" si="41"/>
        <v>193890</v>
      </c>
      <c r="I14" s="198">
        <f t="shared" si="42"/>
        <v>0</v>
      </c>
      <c r="J14" s="199"/>
      <c r="K14" s="199">
        <f t="shared" si="47"/>
        <v>0</v>
      </c>
      <c r="L14" s="198">
        <f t="shared" si="43"/>
        <v>0</v>
      </c>
      <c r="M14" s="199"/>
      <c r="N14" s="199">
        <f t="shared" si="48"/>
        <v>0</v>
      </c>
      <c r="O14" s="199"/>
      <c r="P14" s="199">
        <f t="shared" si="49"/>
        <v>0</v>
      </c>
      <c r="Q14" s="199"/>
      <c r="R14" s="199">
        <f t="shared" si="50"/>
        <v>0</v>
      </c>
      <c r="S14" s="199"/>
      <c r="T14" s="200">
        <f t="shared" si="51"/>
        <v>0</v>
      </c>
      <c r="U14" s="251">
        <f t="shared" si="44"/>
        <v>0</v>
      </c>
      <c r="V14" s="199"/>
      <c r="W14" s="199">
        <f t="shared" si="52"/>
        <v>0</v>
      </c>
      <c r="X14" s="199"/>
      <c r="Y14" s="199">
        <f t="shared" si="53"/>
        <v>0</v>
      </c>
      <c r="Z14" s="199"/>
      <c r="AA14" s="199">
        <f t="shared" si="54"/>
        <v>0</v>
      </c>
      <c r="AB14" s="199"/>
      <c r="AC14" s="199">
        <f t="shared" si="45"/>
        <v>0</v>
      </c>
      <c r="AD14" s="198">
        <f t="shared" si="15"/>
        <v>98890</v>
      </c>
      <c r="AE14" s="199">
        <v>145</v>
      </c>
      <c r="AF14" s="199">
        <f t="shared" si="55"/>
        <v>98890</v>
      </c>
      <c r="AG14" s="199"/>
      <c r="AH14" s="199">
        <f t="shared" si="56"/>
        <v>0</v>
      </c>
      <c r="AI14" s="199"/>
      <c r="AJ14" s="199">
        <f t="shared" si="57"/>
        <v>0</v>
      </c>
      <c r="AK14" s="199"/>
      <c r="AL14" s="200">
        <f t="shared" si="58"/>
        <v>0</v>
      </c>
      <c r="AM14" s="251">
        <f t="shared" si="17"/>
        <v>0</v>
      </c>
      <c r="AN14" s="199"/>
      <c r="AO14" s="199">
        <f t="shared" si="59"/>
        <v>0</v>
      </c>
      <c r="AP14" s="199"/>
      <c r="AQ14" s="199">
        <f t="shared" si="60"/>
        <v>0</v>
      </c>
      <c r="AR14" s="199"/>
      <c r="AS14" s="199">
        <f t="shared" si="61"/>
        <v>0</v>
      </c>
      <c r="AT14" s="199"/>
      <c r="AU14" s="199">
        <f t="shared" si="62"/>
        <v>0</v>
      </c>
      <c r="AV14" s="198">
        <f t="shared" si="46"/>
        <v>95000</v>
      </c>
      <c r="AW14" s="199">
        <v>190</v>
      </c>
      <c r="AX14" s="199">
        <f t="shared" si="63"/>
        <v>95000</v>
      </c>
      <c r="AY14" s="199"/>
      <c r="AZ14" s="199">
        <f t="shared" si="63"/>
        <v>0</v>
      </c>
      <c r="BA14" s="199"/>
      <c r="BB14" s="200">
        <f t="shared" si="64"/>
        <v>0</v>
      </c>
    </row>
    <row r="15" spans="1:54" s="38" customFormat="1" ht="20.100000000000001" customHeight="1">
      <c r="A15" s="195"/>
      <c r="B15" s="196"/>
      <c r="C15" s="196"/>
      <c r="D15" s="196" t="s">
        <v>105</v>
      </c>
      <c r="E15" s="169" t="s">
        <v>100</v>
      </c>
      <c r="F15" s="197">
        <v>726</v>
      </c>
      <c r="G15" s="197">
        <v>545</v>
      </c>
      <c r="H15" s="198">
        <f t="shared" si="41"/>
        <v>199650</v>
      </c>
      <c r="I15" s="198">
        <f t="shared" si="42"/>
        <v>91476</v>
      </c>
      <c r="J15" s="199"/>
      <c r="K15" s="199">
        <f t="shared" si="47"/>
        <v>0</v>
      </c>
      <c r="L15" s="198">
        <f t="shared" si="43"/>
        <v>0</v>
      </c>
      <c r="M15" s="199"/>
      <c r="N15" s="199">
        <f t="shared" si="48"/>
        <v>0</v>
      </c>
      <c r="O15" s="199"/>
      <c r="P15" s="199">
        <f t="shared" si="49"/>
        <v>0</v>
      </c>
      <c r="Q15" s="199">
        <v>126</v>
      </c>
      <c r="R15" s="199">
        <f t="shared" si="50"/>
        <v>91476</v>
      </c>
      <c r="S15" s="199"/>
      <c r="T15" s="200">
        <f t="shared" si="51"/>
        <v>0</v>
      </c>
      <c r="U15" s="251">
        <f t="shared" si="44"/>
        <v>0</v>
      </c>
      <c r="V15" s="199"/>
      <c r="W15" s="199">
        <f t="shared" si="52"/>
        <v>0</v>
      </c>
      <c r="X15" s="199"/>
      <c r="Y15" s="199">
        <f t="shared" si="53"/>
        <v>0</v>
      </c>
      <c r="Z15" s="199"/>
      <c r="AA15" s="199">
        <f t="shared" si="54"/>
        <v>0</v>
      </c>
      <c r="AB15" s="199"/>
      <c r="AC15" s="199">
        <f t="shared" si="45"/>
        <v>0</v>
      </c>
      <c r="AD15" s="198">
        <f t="shared" si="15"/>
        <v>108174</v>
      </c>
      <c r="AE15" s="199">
        <v>149</v>
      </c>
      <c r="AF15" s="199">
        <f t="shared" si="55"/>
        <v>108174</v>
      </c>
      <c r="AG15" s="199"/>
      <c r="AH15" s="199">
        <f t="shared" si="56"/>
        <v>0</v>
      </c>
      <c r="AI15" s="199"/>
      <c r="AJ15" s="199">
        <f t="shared" si="57"/>
        <v>0</v>
      </c>
      <c r="AK15" s="199"/>
      <c r="AL15" s="200">
        <f t="shared" si="58"/>
        <v>0</v>
      </c>
      <c r="AM15" s="251">
        <f t="shared" si="17"/>
        <v>0</v>
      </c>
      <c r="AN15" s="199"/>
      <c r="AO15" s="199">
        <f t="shared" si="59"/>
        <v>0</v>
      </c>
      <c r="AP15" s="199"/>
      <c r="AQ15" s="199">
        <f t="shared" si="60"/>
        <v>0</v>
      </c>
      <c r="AR15" s="199"/>
      <c r="AS15" s="199">
        <f t="shared" si="61"/>
        <v>0</v>
      </c>
      <c r="AT15" s="199"/>
      <c r="AU15" s="199">
        <f t="shared" si="62"/>
        <v>0</v>
      </c>
      <c r="AV15" s="198">
        <f t="shared" si="46"/>
        <v>0</v>
      </c>
      <c r="AW15" s="199"/>
      <c r="AX15" s="199">
        <f t="shared" si="63"/>
        <v>0</v>
      </c>
      <c r="AY15" s="199"/>
      <c r="AZ15" s="199">
        <f t="shared" si="63"/>
        <v>0</v>
      </c>
      <c r="BA15" s="199"/>
      <c r="BB15" s="200">
        <f t="shared" si="64"/>
        <v>0</v>
      </c>
    </row>
    <row r="16" spans="1:54" s="38" customFormat="1" ht="20.100000000000001" customHeight="1">
      <c r="A16" s="195"/>
      <c r="B16" s="196"/>
      <c r="C16" s="196"/>
      <c r="D16" s="196" t="s">
        <v>106</v>
      </c>
      <c r="E16" s="169" t="s">
        <v>100</v>
      </c>
      <c r="F16" s="197">
        <v>835</v>
      </c>
      <c r="G16" s="197">
        <v>634</v>
      </c>
      <c r="H16" s="198">
        <f t="shared" si="41"/>
        <v>313125</v>
      </c>
      <c r="I16" s="198">
        <f t="shared" si="42"/>
        <v>167835</v>
      </c>
      <c r="J16" s="199"/>
      <c r="K16" s="199">
        <f t="shared" si="47"/>
        <v>0</v>
      </c>
      <c r="L16" s="198">
        <f t="shared" si="43"/>
        <v>0</v>
      </c>
      <c r="M16" s="199"/>
      <c r="N16" s="199">
        <f t="shared" si="48"/>
        <v>0</v>
      </c>
      <c r="O16" s="199"/>
      <c r="P16" s="199">
        <f t="shared" si="49"/>
        <v>0</v>
      </c>
      <c r="Q16" s="199">
        <v>201</v>
      </c>
      <c r="R16" s="199">
        <f t="shared" si="50"/>
        <v>167835</v>
      </c>
      <c r="S16" s="199"/>
      <c r="T16" s="200">
        <f t="shared" si="51"/>
        <v>0</v>
      </c>
      <c r="U16" s="251">
        <f t="shared" si="44"/>
        <v>0</v>
      </c>
      <c r="V16" s="199"/>
      <c r="W16" s="199">
        <f t="shared" si="52"/>
        <v>0</v>
      </c>
      <c r="X16" s="199"/>
      <c r="Y16" s="199">
        <f t="shared" si="53"/>
        <v>0</v>
      </c>
      <c r="Z16" s="199"/>
      <c r="AA16" s="199">
        <f t="shared" si="54"/>
        <v>0</v>
      </c>
      <c r="AB16" s="199"/>
      <c r="AC16" s="199">
        <f t="shared" si="45"/>
        <v>0</v>
      </c>
      <c r="AD16" s="198">
        <f t="shared" si="15"/>
        <v>145290</v>
      </c>
      <c r="AE16" s="199">
        <v>174</v>
      </c>
      <c r="AF16" s="199">
        <f t="shared" si="55"/>
        <v>145290</v>
      </c>
      <c r="AG16" s="199"/>
      <c r="AH16" s="199">
        <f t="shared" si="56"/>
        <v>0</v>
      </c>
      <c r="AI16" s="199"/>
      <c r="AJ16" s="199">
        <f t="shared" si="57"/>
        <v>0</v>
      </c>
      <c r="AK16" s="199"/>
      <c r="AL16" s="200">
        <f t="shared" si="58"/>
        <v>0</v>
      </c>
      <c r="AM16" s="251">
        <f t="shared" si="17"/>
        <v>0</v>
      </c>
      <c r="AN16" s="199"/>
      <c r="AO16" s="199">
        <f t="shared" si="59"/>
        <v>0</v>
      </c>
      <c r="AP16" s="199"/>
      <c r="AQ16" s="199">
        <f t="shared" si="60"/>
        <v>0</v>
      </c>
      <c r="AR16" s="199"/>
      <c r="AS16" s="199">
        <f t="shared" si="61"/>
        <v>0</v>
      </c>
      <c r="AT16" s="199"/>
      <c r="AU16" s="199">
        <f t="shared" si="62"/>
        <v>0</v>
      </c>
      <c r="AV16" s="198">
        <f t="shared" si="46"/>
        <v>0</v>
      </c>
      <c r="AW16" s="199"/>
      <c r="AX16" s="199">
        <f t="shared" si="63"/>
        <v>0</v>
      </c>
      <c r="AY16" s="199"/>
      <c r="AZ16" s="199">
        <f t="shared" si="63"/>
        <v>0</v>
      </c>
      <c r="BA16" s="199"/>
      <c r="BB16" s="200">
        <f t="shared" si="64"/>
        <v>0</v>
      </c>
    </row>
    <row r="17" spans="1:54" s="38" customFormat="1" ht="20.100000000000001" customHeight="1">
      <c r="A17" s="195"/>
      <c r="B17" s="196"/>
      <c r="C17" s="196"/>
      <c r="D17" s="196" t="s">
        <v>107</v>
      </c>
      <c r="E17" s="169" t="s">
        <v>100</v>
      </c>
      <c r="F17" s="197">
        <v>953</v>
      </c>
      <c r="G17" s="197">
        <v>738</v>
      </c>
      <c r="H17" s="198">
        <f t="shared" si="41"/>
        <v>237297</v>
      </c>
      <c r="I17" s="198">
        <f t="shared" si="42"/>
        <v>67663</v>
      </c>
      <c r="J17" s="199"/>
      <c r="K17" s="199">
        <f t="shared" si="47"/>
        <v>0</v>
      </c>
      <c r="L17" s="198">
        <f t="shared" si="43"/>
        <v>0</v>
      </c>
      <c r="M17" s="199"/>
      <c r="N17" s="199">
        <f t="shared" si="48"/>
        <v>0</v>
      </c>
      <c r="O17" s="199"/>
      <c r="P17" s="199">
        <f t="shared" si="49"/>
        <v>0</v>
      </c>
      <c r="Q17" s="199"/>
      <c r="R17" s="199">
        <f t="shared" si="50"/>
        <v>0</v>
      </c>
      <c r="S17" s="199"/>
      <c r="T17" s="200">
        <f t="shared" si="51"/>
        <v>0</v>
      </c>
      <c r="U17" s="251">
        <f t="shared" si="44"/>
        <v>67663</v>
      </c>
      <c r="V17" s="199">
        <v>71</v>
      </c>
      <c r="W17" s="199">
        <f t="shared" si="52"/>
        <v>67663</v>
      </c>
      <c r="X17" s="199"/>
      <c r="Y17" s="199">
        <f t="shared" si="53"/>
        <v>0</v>
      </c>
      <c r="Z17" s="199"/>
      <c r="AA17" s="199">
        <f t="shared" si="54"/>
        <v>0</v>
      </c>
      <c r="AB17" s="199"/>
      <c r="AC17" s="199">
        <f t="shared" si="45"/>
        <v>0</v>
      </c>
      <c r="AD17" s="198">
        <f t="shared" si="15"/>
        <v>169634</v>
      </c>
      <c r="AE17" s="199">
        <v>178</v>
      </c>
      <c r="AF17" s="199">
        <f t="shared" si="55"/>
        <v>169634</v>
      </c>
      <c r="AG17" s="199"/>
      <c r="AH17" s="199">
        <f t="shared" si="56"/>
        <v>0</v>
      </c>
      <c r="AI17" s="199"/>
      <c r="AJ17" s="199">
        <f t="shared" si="57"/>
        <v>0</v>
      </c>
      <c r="AK17" s="199"/>
      <c r="AL17" s="200">
        <f t="shared" si="58"/>
        <v>0</v>
      </c>
      <c r="AM17" s="251">
        <f t="shared" si="17"/>
        <v>0</v>
      </c>
      <c r="AN17" s="199"/>
      <c r="AO17" s="199">
        <f t="shared" si="59"/>
        <v>0</v>
      </c>
      <c r="AP17" s="199"/>
      <c r="AQ17" s="199">
        <f t="shared" si="60"/>
        <v>0</v>
      </c>
      <c r="AR17" s="199"/>
      <c r="AS17" s="199">
        <f t="shared" si="61"/>
        <v>0</v>
      </c>
      <c r="AT17" s="199"/>
      <c r="AU17" s="199">
        <f t="shared" si="62"/>
        <v>0</v>
      </c>
      <c r="AV17" s="198">
        <f t="shared" si="46"/>
        <v>0</v>
      </c>
      <c r="AW17" s="199"/>
      <c r="AX17" s="199">
        <f t="shared" si="63"/>
        <v>0</v>
      </c>
      <c r="AY17" s="199"/>
      <c r="AZ17" s="199">
        <f t="shared" si="63"/>
        <v>0</v>
      </c>
      <c r="BA17" s="199"/>
      <c r="BB17" s="200">
        <f t="shared" si="64"/>
        <v>0</v>
      </c>
    </row>
    <row r="18" spans="1:54" s="47" customFormat="1" ht="20.100000000000001" customHeight="1">
      <c r="A18" s="188"/>
      <c r="B18" s="189"/>
      <c r="C18" s="190"/>
      <c r="D18" s="189" t="s">
        <v>112</v>
      </c>
      <c r="E18" s="191"/>
      <c r="F18" s="192"/>
      <c r="G18" s="192"/>
      <c r="H18" s="193">
        <f t="shared" ref="H18:T18" si="65">SUM(H19:H26)</f>
        <v>117460</v>
      </c>
      <c r="I18" s="193">
        <f t="shared" si="65"/>
        <v>50443</v>
      </c>
      <c r="J18" s="193">
        <f t="shared" ref="J18:K18" si="66">SUM(J19:J26)</f>
        <v>0</v>
      </c>
      <c r="K18" s="193">
        <f t="shared" si="66"/>
        <v>0</v>
      </c>
      <c r="L18" s="193">
        <f t="shared" si="43"/>
        <v>0</v>
      </c>
      <c r="M18" s="193">
        <f t="shared" si="65"/>
        <v>0</v>
      </c>
      <c r="N18" s="193">
        <f t="shared" si="65"/>
        <v>0</v>
      </c>
      <c r="O18" s="193"/>
      <c r="P18" s="193">
        <f t="shared" ref="P18" si="67">SUM(P19:P26)</f>
        <v>0</v>
      </c>
      <c r="Q18" s="193">
        <f t="shared" si="65"/>
        <v>74</v>
      </c>
      <c r="R18" s="193">
        <f t="shared" si="65"/>
        <v>33952</v>
      </c>
      <c r="S18" s="193">
        <f t="shared" si="65"/>
        <v>0</v>
      </c>
      <c r="T18" s="194">
        <f t="shared" si="65"/>
        <v>0</v>
      </c>
      <c r="U18" s="250">
        <f t="shared" si="44"/>
        <v>16491</v>
      </c>
      <c r="V18" s="193">
        <f t="shared" ref="V18:AA18" si="68">SUM(V19:V26)</f>
        <v>35</v>
      </c>
      <c r="W18" s="193">
        <f t="shared" si="68"/>
        <v>16491</v>
      </c>
      <c r="X18" s="193">
        <f t="shared" si="68"/>
        <v>0</v>
      </c>
      <c r="Y18" s="193">
        <f t="shared" si="68"/>
        <v>0</v>
      </c>
      <c r="Z18" s="193">
        <f t="shared" si="68"/>
        <v>0</v>
      </c>
      <c r="AA18" s="193">
        <f t="shared" si="68"/>
        <v>0</v>
      </c>
      <c r="AB18" s="193">
        <f t="shared" ref="AB18:AC18" si="69">SUM(AB19:AB26)</f>
        <v>0</v>
      </c>
      <c r="AC18" s="193">
        <f t="shared" si="69"/>
        <v>0</v>
      </c>
      <c r="AD18" s="193">
        <f t="shared" si="15"/>
        <v>36252</v>
      </c>
      <c r="AE18" s="193">
        <f t="shared" ref="AE18:AL18" si="70">SUM(AE19:AE26)</f>
        <v>78</v>
      </c>
      <c r="AF18" s="193">
        <f t="shared" si="70"/>
        <v>36252</v>
      </c>
      <c r="AG18" s="193">
        <f t="shared" si="70"/>
        <v>0</v>
      </c>
      <c r="AH18" s="193">
        <f t="shared" si="70"/>
        <v>0</v>
      </c>
      <c r="AI18" s="193">
        <f t="shared" si="70"/>
        <v>0</v>
      </c>
      <c r="AJ18" s="193">
        <f t="shared" si="70"/>
        <v>0</v>
      </c>
      <c r="AK18" s="193">
        <f t="shared" si="70"/>
        <v>0</v>
      </c>
      <c r="AL18" s="194">
        <f t="shared" si="70"/>
        <v>0</v>
      </c>
      <c r="AM18" s="250">
        <f t="shared" si="17"/>
        <v>13600</v>
      </c>
      <c r="AN18" s="193">
        <f t="shared" ref="AN18:BB18" si="71">SUM(AN19:AN26)</f>
        <v>10</v>
      </c>
      <c r="AO18" s="193">
        <f t="shared" si="71"/>
        <v>4250</v>
      </c>
      <c r="AP18" s="193">
        <f t="shared" si="71"/>
        <v>22</v>
      </c>
      <c r="AQ18" s="193">
        <f t="shared" si="71"/>
        <v>9350</v>
      </c>
      <c r="AR18" s="193">
        <f t="shared" si="71"/>
        <v>0</v>
      </c>
      <c r="AS18" s="193">
        <f t="shared" si="71"/>
        <v>0</v>
      </c>
      <c r="AT18" s="193">
        <f t="shared" si="71"/>
        <v>0</v>
      </c>
      <c r="AU18" s="193">
        <f t="shared" si="71"/>
        <v>0</v>
      </c>
      <c r="AV18" s="193">
        <f t="shared" si="46"/>
        <v>7440</v>
      </c>
      <c r="AW18" s="193">
        <f t="shared" si="71"/>
        <v>16</v>
      </c>
      <c r="AX18" s="193">
        <f t="shared" si="71"/>
        <v>7440</v>
      </c>
      <c r="AY18" s="193">
        <f t="shared" ref="AY18" si="72">SUM(AY19:AY26)</f>
        <v>0</v>
      </c>
      <c r="AZ18" s="193">
        <f t="shared" ref="AZ18" si="73">SUM(AZ19:AZ26)</f>
        <v>0</v>
      </c>
      <c r="BA18" s="193">
        <f t="shared" si="71"/>
        <v>25</v>
      </c>
      <c r="BB18" s="194">
        <f t="shared" si="71"/>
        <v>9725</v>
      </c>
    </row>
    <row r="19" spans="1:54" s="38" customFormat="1" ht="20.100000000000001" customHeight="1">
      <c r="A19" s="201"/>
      <c r="B19" s="196"/>
      <c r="C19" s="196"/>
      <c r="D19" s="196" t="s">
        <v>101</v>
      </c>
      <c r="E19" s="169" t="s">
        <v>100</v>
      </c>
      <c r="F19" s="197">
        <v>389</v>
      </c>
      <c r="G19" s="197">
        <v>389</v>
      </c>
      <c r="H19" s="198">
        <f t="shared" ref="H19:H26" si="74">I19+AD19+AM19+AV19+BB19</f>
        <v>12059</v>
      </c>
      <c r="I19" s="198">
        <f t="shared" ref="I19:I26" si="75">L19+R19+T19+U19+AA19</f>
        <v>1945</v>
      </c>
      <c r="J19" s="199"/>
      <c r="K19" s="199">
        <f t="shared" ref="K19:K26" si="76">ROUND(J19*$F19,0)</f>
        <v>0</v>
      </c>
      <c r="L19" s="198">
        <f t="shared" si="43"/>
        <v>0</v>
      </c>
      <c r="M19" s="199"/>
      <c r="N19" s="199">
        <f t="shared" si="48"/>
        <v>0</v>
      </c>
      <c r="O19" s="199"/>
      <c r="P19" s="199">
        <f t="shared" si="49"/>
        <v>0</v>
      </c>
      <c r="Q19" s="199">
        <v>5</v>
      </c>
      <c r="R19" s="199">
        <f t="shared" si="50"/>
        <v>1945</v>
      </c>
      <c r="S19" s="199"/>
      <c r="T19" s="200">
        <f t="shared" si="51"/>
        <v>0</v>
      </c>
      <c r="U19" s="251">
        <f t="shared" si="44"/>
        <v>0</v>
      </c>
      <c r="V19" s="199"/>
      <c r="W19" s="199">
        <f t="shared" si="52"/>
        <v>0</v>
      </c>
      <c r="X19" s="199"/>
      <c r="Y19" s="199">
        <f t="shared" si="53"/>
        <v>0</v>
      </c>
      <c r="Z19" s="199"/>
      <c r="AA19" s="199">
        <f t="shared" si="54"/>
        <v>0</v>
      </c>
      <c r="AB19" s="199"/>
      <c r="AC19" s="199">
        <f t="shared" ref="AC19:AC26" si="77">ROUND(AB19*$G19,0)</f>
        <v>0</v>
      </c>
      <c r="AD19" s="198">
        <f t="shared" si="15"/>
        <v>389</v>
      </c>
      <c r="AE19" s="199">
        <v>1</v>
      </c>
      <c r="AF19" s="199">
        <f t="shared" si="55"/>
        <v>389</v>
      </c>
      <c r="AG19" s="199"/>
      <c r="AH19" s="199">
        <f t="shared" si="56"/>
        <v>0</v>
      </c>
      <c r="AI19" s="199"/>
      <c r="AJ19" s="199">
        <f t="shared" si="57"/>
        <v>0</v>
      </c>
      <c r="AK19" s="199"/>
      <c r="AL19" s="200">
        <f t="shared" si="58"/>
        <v>0</v>
      </c>
      <c r="AM19" s="251">
        <f t="shared" si="17"/>
        <v>0</v>
      </c>
      <c r="AN19" s="199"/>
      <c r="AO19" s="199">
        <f t="shared" si="59"/>
        <v>0</v>
      </c>
      <c r="AP19" s="199"/>
      <c r="AQ19" s="199">
        <f t="shared" si="60"/>
        <v>0</v>
      </c>
      <c r="AR19" s="199"/>
      <c r="AS19" s="199">
        <f t="shared" si="61"/>
        <v>0</v>
      </c>
      <c r="AT19" s="199"/>
      <c r="AU19" s="199">
        <f t="shared" si="62"/>
        <v>0</v>
      </c>
      <c r="AV19" s="198">
        <f t="shared" si="46"/>
        <v>0</v>
      </c>
      <c r="AW19" s="199"/>
      <c r="AX19" s="199">
        <f t="shared" si="63"/>
        <v>0</v>
      </c>
      <c r="AY19" s="199"/>
      <c r="AZ19" s="199">
        <f t="shared" si="63"/>
        <v>0</v>
      </c>
      <c r="BA19" s="199">
        <v>25</v>
      </c>
      <c r="BB19" s="200">
        <f t="shared" si="64"/>
        <v>9725</v>
      </c>
    </row>
    <row r="20" spans="1:54" s="38" customFormat="1" ht="20.100000000000001" customHeight="1">
      <c r="A20" s="201"/>
      <c r="B20" s="196"/>
      <c r="C20" s="196"/>
      <c r="D20" s="196" t="s">
        <v>102</v>
      </c>
      <c r="E20" s="169" t="s">
        <v>100</v>
      </c>
      <c r="F20" s="197">
        <v>425</v>
      </c>
      <c r="G20" s="197">
        <v>425</v>
      </c>
      <c r="H20" s="198">
        <f t="shared" si="74"/>
        <v>71825</v>
      </c>
      <c r="I20" s="198">
        <f t="shared" si="75"/>
        <v>28050</v>
      </c>
      <c r="J20" s="199"/>
      <c r="K20" s="199">
        <f t="shared" si="76"/>
        <v>0</v>
      </c>
      <c r="L20" s="198">
        <f t="shared" si="43"/>
        <v>0</v>
      </c>
      <c r="M20" s="199"/>
      <c r="N20" s="199">
        <f t="shared" si="48"/>
        <v>0</v>
      </c>
      <c r="O20" s="199"/>
      <c r="P20" s="199">
        <f t="shared" si="49"/>
        <v>0</v>
      </c>
      <c r="Q20" s="199">
        <v>46</v>
      </c>
      <c r="R20" s="199">
        <f t="shared" si="50"/>
        <v>19550</v>
      </c>
      <c r="S20" s="199"/>
      <c r="T20" s="200">
        <f t="shared" si="51"/>
        <v>0</v>
      </c>
      <c r="U20" s="251">
        <f t="shared" si="44"/>
        <v>8500</v>
      </c>
      <c r="V20" s="199">
        <v>20</v>
      </c>
      <c r="W20" s="199">
        <f t="shared" si="52"/>
        <v>8500</v>
      </c>
      <c r="X20" s="199"/>
      <c r="Y20" s="199">
        <f t="shared" si="53"/>
        <v>0</v>
      </c>
      <c r="Z20" s="199"/>
      <c r="AA20" s="199">
        <f t="shared" si="54"/>
        <v>0</v>
      </c>
      <c r="AB20" s="199"/>
      <c r="AC20" s="199">
        <f t="shared" si="77"/>
        <v>0</v>
      </c>
      <c r="AD20" s="198">
        <f t="shared" si="15"/>
        <v>25925</v>
      </c>
      <c r="AE20" s="199">
        <v>61</v>
      </c>
      <c r="AF20" s="199">
        <f t="shared" si="55"/>
        <v>25925</v>
      </c>
      <c r="AG20" s="199"/>
      <c r="AH20" s="199">
        <f t="shared" si="56"/>
        <v>0</v>
      </c>
      <c r="AI20" s="199"/>
      <c r="AJ20" s="199">
        <f t="shared" si="57"/>
        <v>0</v>
      </c>
      <c r="AK20" s="199"/>
      <c r="AL20" s="200">
        <f t="shared" si="58"/>
        <v>0</v>
      </c>
      <c r="AM20" s="251">
        <f t="shared" si="17"/>
        <v>13600</v>
      </c>
      <c r="AN20" s="199">
        <v>10</v>
      </c>
      <c r="AO20" s="199">
        <f t="shared" si="59"/>
        <v>4250</v>
      </c>
      <c r="AP20" s="199">
        <v>22</v>
      </c>
      <c r="AQ20" s="199">
        <f t="shared" si="60"/>
        <v>9350</v>
      </c>
      <c r="AR20" s="199"/>
      <c r="AS20" s="199">
        <f t="shared" si="61"/>
        <v>0</v>
      </c>
      <c r="AT20" s="199"/>
      <c r="AU20" s="199">
        <f t="shared" si="62"/>
        <v>0</v>
      </c>
      <c r="AV20" s="198">
        <f t="shared" si="46"/>
        <v>4250</v>
      </c>
      <c r="AW20" s="199">
        <v>10</v>
      </c>
      <c r="AX20" s="199">
        <f t="shared" si="63"/>
        <v>4250</v>
      </c>
      <c r="AY20" s="199"/>
      <c r="AZ20" s="199">
        <f t="shared" si="63"/>
        <v>0</v>
      </c>
      <c r="BA20" s="199"/>
      <c r="BB20" s="200">
        <f t="shared" si="64"/>
        <v>0</v>
      </c>
    </row>
    <row r="21" spans="1:54" s="38" customFormat="1" ht="20.100000000000001" customHeight="1">
      <c r="A21" s="201"/>
      <c r="B21" s="196"/>
      <c r="C21" s="196"/>
      <c r="D21" s="196" t="s">
        <v>103</v>
      </c>
      <c r="E21" s="169" t="s">
        <v>100</v>
      </c>
      <c r="F21" s="197">
        <v>503</v>
      </c>
      <c r="G21" s="197">
        <v>503</v>
      </c>
      <c r="H21" s="198">
        <f t="shared" si="74"/>
        <v>18611</v>
      </c>
      <c r="I21" s="198">
        <f t="shared" si="75"/>
        <v>15593</v>
      </c>
      <c r="J21" s="199"/>
      <c r="K21" s="199">
        <f t="shared" si="76"/>
        <v>0</v>
      </c>
      <c r="L21" s="198">
        <f t="shared" si="43"/>
        <v>0</v>
      </c>
      <c r="M21" s="199"/>
      <c r="N21" s="199">
        <f t="shared" si="48"/>
        <v>0</v>
      </c>
      <c r="O21" s="199"/>
      <c r="P21" s="199">
        <f t="shared" si="49"/>
        <v>0</v>
      </c>
      <c r="Q21" s="199">
        <v>17</v>
      </c>
      <c r="R21" s="199">
        <f t="shared" si="50"/>
        <v>8551</v>
      </c>
      <c r="S21" s="199"/>
      <c r="T21" s="200">
        <f t="shared" si="51"/>
        <v>0</v>
      </c>
      <c r="U21" s="251">
        <f t="shared" si="44"/>
        <v>7042</v>
      </c>
      <c r="V21" s="199">
        <v>14</v>
      </c>
      <c r="W21" s="199">
        <f t="shared" si="52"/>
        <v>7042</v>
      </c>
      <c r="X21" s="199"/>
      <c r="Y21" s="199">
        <f t="shared" si="53"/>
        <v>0</v>
      </c>
      <c r="Z21" s="199"/>
      <c r="AA21" s="199">
        <f t="shared" si="54"/>
        <v>0</v>
      </c>
      <c r="AB21" s="199"/>
      <c r="AC21" s="199">
        <f t="shared" si="77"/>
        <v>0</v>
      </c>
      <c r="AD21" s="198">
        <f t="shared" si="15"/>
        <v>2012</v>
      </c>
      <c r="AE21" s="199">
        <v>4</v>
      </c>
      <c r="AF21" s="199">
        <f t="shared" si="55"/>
        <v>2012</v>
      </c>
      <c r="AG21" s="199"/>
      <c r="AH21" s="199">
        <f t="shared" si="56"/>
        <v>0</v>
      </c>
      <c r="AI21" s="199"/>
      <c r="AJ21" s="199">
        <f t="shared" si="57"/>
        <v>0</v>
      </c>
      <c r="AK21" s="199"/>
      <c r="AL21" s="200">
        <f t="shared" si="58"/>
        <v>0</v>
      </c>
      <c r="AM21" s="251">
        <f t="shared" si="17"/>
        <v>0</v>
      </c>
      <c r="AN21" s="199"/>
      <c r="AO21" s="199">
        <f t="shared" si="59"/>
        <v>0</v>
      </c>
      <c r="AP21" s="199"/>
      <c r="AQ21" s="199">
        <f t="shared" si="60"/>
        <v>0</v>
      </c>
      <c r="AR21" s="199"/>
      <c r="AS21" s="199">
        <f t="shared" si="61"/>
        <v>0</v>
      </c>
      <c r="AT21" s="199"/>
      <c r="AU21" s="199">
        <f t="shared" si="62"/>
        <v>0</v>
      </c>
      <c r="AV21" s="198">
        <f t="shared" si="46"/>
        <v>1006</v>
      </c>
      <c r="AW21" s="199">
        <v>2</v>
      </c>
      <c r="AX21" s="199">
        <f t="shared" si="63"/>
        <v>1006</v>
      </c>
      <c r="AY21" s="199"/>
      <c r="AZ21" s="199">
        <f t="shared" si="63"/>
        <v>0</v>
      </c>
      <c r="BA21" s="199"/>
      <c r="BB21" s="200">
        <f t="shared" si="64"/>
        <v>0</v>
      </c>
    </row>
    <row r="22" spans="1:54" s="38" customFormat="1" ht="20.100000000000001" customHeight="1">
      <c r="A22" s="201"/>
      <c r="B22" s="196"/>
      <c r="C22" s="196"/>
      <c r="D22" s="196" t="s">
        <v>104</v>
      </c>
      <c r="E22" s="169" t="s">
        <v>100</v>
      </c>
      <c r="F22" s="197">
        <v>546</v>
      </c>
      <c r="G22" s="197">
        <v>546</v>
      </c>
      <c r="H22" s="198">
        <f t="shared" si="74"/>
        <v>3822</v>
      </c>
      <c r="I22" s="198">
        <f t="shared" si="75"/>
        <v>0</v>
      </c>
      <c r="J22" s="199"/>
      <c r="K22" s="199">
        <f t="shared" si="76"/>
        <v>0</v>
      </c>
      <c r="L22" s="198">
        <f t="shared" si="43"/>
        <v>0</v>
      </c>
      <c r="M22" s="199"/>
      <c r="N22" s="199">
        <f t="shared" si="48"/>
        <v>0</v>
      </c>
      <c r="O22" s="199"/>
      <c r="P22" s="199">
        <f t="shared" si="49"/>
        <v>0</v>
      </c>
      <c r="Q22" s="199"/>
      <c r="R22" s="199">
        <f t="shared" si="50"/>
        <v>0</v>
      </c>
      <c r="S22" s="199"/>
      <c r="T22" s="200">
        <f t="shared" si="51"/>
        <v>0</v>
      </c>
      <c r="U22" s="251">
        <f t="shared" si="44"/>
        <v>0</v>
      </c>
      <c r="V22" s="199"/>
      <c r="W22" s="199">
        <f t="shared" si="52"/>
        <v>0</v>
      </c>
      <c r="X22" s="199"/>
      <c r="Y22" s="199">
        <f t="shared" si="53"/>
        <v>0</v>
      </c>
      <c r="Z22" s="199"/>
      <c r="AA22" s="199">
        <f t="shared" si="54"/>
        <v>0</v>
      </c>
      <c r="AB22" s="199"/>
      <c r="AC22" s="199">
        <f t="shared" si="77"/>
        <v>0</v>
      </c>
      <c r="AD22" s="198">
        <f t="shared" si="15"/>
        <v>1638</v>
      </c>
      <c r="AE22" s="199">
        <v>3</v>
      </c>
      <c r="AF22" s="199">
        <f t="shared" si="55"/>
        <v>1638</v>
      </c>
      <c r="AG22" s="199"/>
      <c r="AH22" s="199">
        <f t="shared" si="56"/>
        <v>0</v>
      </c>
      <c r="AI22" s="199"/>
      <c r="AJ22" s="199">
        <f t="shared" si="57"/>
        <v>0</v>
      </c>
      <c r="AK22" s="199"/>
      <c r="AL22" s="200">
        <f t="shared" si="58"/>
        <v>0</v>
      </c>
      <c r="AM22" s="251">
        <f t="shared" si="17"/>
        <v>0</v>
      </c>
      <c r="AN22" s="199"/>
      <c r="AO22" s="199">
        <f t="shared" si="59"/>
        <v>0</v>
      </c>
      <c r="AP22" s="199"/>
      <c r="AQ22" s="199">
        <f t="shared" si="60"/>
        <v>0</v>
      </c>
      <c r="AR22" s="199"/>
      <c r="AS22" s="199">
        <f t="shared" si="61"/>
        <v>0</v>
      </c>
      <c r="AT22" s="199"/>
      <c r="AU22" s="199">
        <f t="shared" si="62"/>
        <v>0</v>
      </c>
      <c r="AV22" s="198">
        <f t="shared" si="46"/>
        <v>2184</v>
      </c>
      <c r="AW22" s="199">
        <v>4</v>
      </c>
      <c r="AX22" s="199">
        <f t="shared" si="63"/>
        <v>2184</v>
      </c>
      <c r="AY22" s="199"/>
      <c r="AZ22" s="199">
        <f t="shared" si="63"/>
        <v>0</v>
      </c>
      <c r="BA22" s="199"/>
      <c r="BB22" s="200">
        <f t="shared" si="64"/>
        <v>0</v>
      </c>
    </row>
    <row r="23" spans="1:54" s="38" customFormat="1" ht="20.100000000000001" customHeight="1">
      <c r="A23" s="201"/>
      <c r="B23" s="196"/>
      <c r="C23" s="196"/>
      <c r="D23" s="196" t="s">
        <v>105</v>
      </c>
      <c r="E23" s="169" t="s">
        <v>100</v>
      </c>
      <c r="F23" s="197">
        <v>599</v>
      </c>
      <c r="G23" s="197">
        <v>599</v>
      </c>
      <c r="H23" s="198">
        <f t="shared" si="74"/>
        <v>2995</v>
      </c>
      <c r="I23" s="198">
        <f t="shared" si="75"/>
        <v>1198</v>
      </c>
      <c r="J23" s="199"/>
      <c r="K23" s="199">
        <f t="shared" si="76"/>
        <v>0</v>
      </c>
      <c r="L23" s="198">
        <f t="shared" si="43"/>
        <v>0</v>
      </c>
      <c r="M23" s="199"/>
      <c r="N23" s="199">
        <f t="shared" si="48"/>
        <v>0</v>
      </c>
      <c r="O23" s="199"/>
      <c r="P23" s="199">
        <f t="shared" si="49"/>
        <v>0</v>
      </c>
      <c r="Q23" s="199">
        <v>2</v>
      </c>
      <c r="R23" s="199">
        <f t="shared" si="50"/>
        <v>1198</v>
      </c>
      <c r="S23" s="199"/>
      <c r="T23" s="200">
        <f t="shared" si="51"/>
        <v>0</v>
      </c>
      <c r="U23" s="251">
        <f t="shared" si="44"/>
        <v>0</v>
      </c>
      <c r="V23" s="199"/>
      <c r="W23" s="199">
        <f t="shared" si="52"/>
        <v>0</v>
      </c>
      <c r="X23" s="199"/>
      <c r="Y23" s="199">
        <f t="shared" si="53"/>
        <v>0</v>
      </c>
      <c r="Z23" s="199"/>
      <c r="AA23" s="199">
        <f t="shared" si="54"/>
        <v>0</v>
      </c>
      <c r="AB23" s="199"/>
      <c r="AC23" s="199">
        <f t="shared" si="77"/>
        <v>0</v>
      </c>
      <c r="AD23" s="198">
        <f t="shared" si="15"/>
        <v>1797</v>
      </c>
      <c r="AE23" s="199">
        <v>3</v>
      </c>
      <c r="AF23" s="199">
        <f t="shared" si="55"/>
        <v>1797</v>
      </c>
      <c r="AG23" s="199"/>
      <c r="AH23" s="199">
        <f t="shared" si="56"/>
        <v>0</v>
      </c>
      <c r="AI23" s="199"/>
      <c r="AJ23" s="199">
        <f t="shared" si="57"/>
        <v>0</v>
      </c>
      <c r="AK23" s="199"/>
      <c r="AL23" s="200">
        <f t="shared" si="58"/>
        <v>0</v>
      </c>
      <c r="AM23" s="251">
        <f t="shared" si="17"/>
        <v>0</v>
      </c>
      <c r="AN23" s="199"/>
      <c r="AO23" s="199">
        <f t="shared" si="59"/>
        <v>0</v>
      </c>
      <c r="AP23" s="199"/>
      <c r="AQ23" s="199">
        <f t="shared" si="60"/>
        <v>0</v>
      </c>
      <c r="AR23" s="199"/>
      <c r="AS23" s="199">
        <f t="shared" si="61"/>
        <v>0</v>
      </c>
      <c r="AT23" s="199"/>
      <c r="AU23" s="199">
        <f t="shared" si="62"/>
        <v>0</v>
      </c>
      <c r="AV23" s="198">
        <f t="shared" si="46"/>
        <v>0</v>
      </c>
      <c r="AW23" s="199"/>
      <c r="AX23" s="199">
        <f t="shared" si="63"/>
        <v>0</v>
      </c>
      <c r="AY23" s="199"/>
      <c r="AZ23" s="199">
        <f t="shared" si="63"/>
        <v>0</v>
      </c>
      <c r="BA23" s="199"/>
      <c r="BB23" s="200">
        <f t="shared" si="64"/>
        <v>0</v>
      </c>
    </row>
    <row r="24" spans="1:54" s="38" customFormat="1" ht="20.100000000000001" customHeight="1">
      <c r="A24" s="201"/>
      <c r="B24" s="196"/>
      <c r="C24" s="196"/>
      <c r="D24" s="196" t="s">
        <v>106</v>
      </c>
      <c r="E24" s="169" t="s">
        <v>100</v>
      </c>
      <c r="F24" s="197">
        <v>677</v>
      </c>
      <c r="G24" s="197">
        <v>677</v>
      </c>
      <c r="H24" s="198">
        <f t="shared" si="74"/>
        <v>4739</v>
      </c>
      <c r="I24" s="198">
        <f t="shared" si="75"/>
        <v>2708</v>
      </c>
      <c r="J24" s="199"/>
      <c r="K24" s="199">
        <f t="shared" si="76"/>
        <v>0</v>
      </c>
      <c r="L24" s="198">
        <f t="shared" si="43"/>
        <v>0</v>
      </c>
      <c r="M24" s="199"/>
      <c r="N24" s="199">
        <f t="shared" si="48"/>
        <v>0</v>
      </c>
      <c r="O24" s="199"/>
      <c r="P24" s="199">
        <f t="shared" si="49"/>
        <v>0</v>
      </c>
      <c r="Q24" s="199">
        <v>4</v>
      </c>
      <c r="R24" s="199">
        <f t="shared" si="50"/>
        <v>2708</v>
      </c>
      <c r="S24" s="199"/>
      <c r="T24" s="200">
        <f t="shared" si="51"/>
        <v>0</v>
      </c>
      <c r="U24" s="251">
        <f t="shared" si="44"/>
        <v>0</v>
      </c>
      <c r="V24" s="199"/>
      <c r="W24" s="199">
        <f t="shared" si="52"/>
        <v>0</v>
      </c>
      <c r="X24" s="199"/>
      <c r="Y24" s="199">
        <f t="shared" si="53"/>
        <v>0</v>
      </c>
      <c r="Z24" s="199"/>
      <c r="AA24" s="199">
        <f t="shared" si="54"/>
        <v>0</v>
      </c>
      <c r="AB24" s="199"/>
      <c r="AC24" s="199">
        <f t="shared" si="77"/>
        <v>0</v>
      </c>
      <c r="AD24" s="198">
        <f t="shared" si="15"/>
        <v>2031</v>
      </c>
      <c r="AE24" s="199">
        <v>3</v>
      </c>
      <c r="AF24" s="199">
        <f t="shared" si="55"/>
        <v>2031</v>
      </c>
      <c r="AG24" s="199"/>
      <c r="AH24" s="199">
        <f t="shared" si="56"/>
        <v>0</v>
      </c>
      <c r="AI24" s="199"/>
      <c r="AJ24" s="199">
        <f t="shared" si="57"/>
        <v>0</v>
      </c>
      <c r="AK24" s="199"/>
      <c r="AL24" s="200">
        <f t="shared" si="58"/>
        <v>0</v>
      </c>
      <c r="AM24" s="251">
        <f t="shared" si="17"/>
        <v>0</v>
      </c>
      <c r="AN24" s="199"/>
      <c r="AO24" s="199">
        <f t="shared" si="59"/>
        <v>0</v>
      </c>
      <c r="AP24" s="199"/>
      <c r="AQ24" s="199">
        <f t="shared" si="60"/>
        <v>0</v>
      </c>
      <c r="AR24" s="199"/>
      <c r="AS24" s="199">
        <f t="shared" si="61"/>
        <v>0</v>
      </c>
      <c r="AT24" s="199"/>
      <c r="AU24" s="199">
        <f t="shared" si="62"/>
        <v>0</v>
      </c>
      <c r="AV24" s="198">
        <f t="shared" si="46"/>
        <v>0</v>
      </c>
      <c r="AW24" s="199"/>
      <c r="AX24" s="199">
        <f t="shared" si="63"/>
        <v>0</v>
      </c>
      <c r="AY24" s="199"/>
      <c r="AZ24" s="199">
        <f t="shared" si="63"/>
        <v>0</v>
      </c>
      <c r="BA24" s="199"/>
      <c r="BB24" s="200">
        <f t="shared" si="64"/>
        <v>0</v>
      </c>
    </row>
    <row r="25" spans="1:54" s="38" customFormat="1" ht="20.100000000000001" customHeight="1">
      <c r="A25" s="201"/>
      <c r="B25" s="196"/>
      <c r="C25" s="196"/>
      <c r="D25" s="196" t="s">
        <v>107</v>
      </c>
      <c r="E25" s="169" t="s">
        <v>100</v>
      </c>
      <c r="F25" s="197">
        <v>820</v>
      </c>
      <c r="G25" s="197">
        <v>820</v>
      </c>
      <c r="H25" s="198">
        <f t="shared" si="74"/>
        <v>2460</v>
      </c>
      <c r="I25" s="198">
        <f t="shared" si="75"/>
        <v>0</v>
      </c>
      <c r="J25" s="199"/>
      <c r="K25" s="199">
        <f t="shared" si="76"/>
        <v>0</v>
      </c>
      <c r="L25" s="198">
        <f t="shared" si="43"/>
        <v>0</v>
      </c>
      <c r="M25" s="199"/>
      <c r="N25" s="199">
        <f t="shared" si="48"/>
        <v>0</v>
      </c>
      <c r="O25" s="199"/>
      <c r="P25" s="199">
        <f t="shared" si="49"/>
        <v>0</v>
      </c>
      <c r="Q25" s="199"/>
      <c r="R25" s="199">
        <f t="shared" si="50"/>
        <v>0</v>
      </c>
      <c r="S25" s="199"/>
      <c r="T25" s="200">
        <f t="shared" si="51"/>
        <v>0</v>
      </c>
      <c r="U25" s="251">
        <f t="shared" si="44"/>
        <v>0</v>
      </c>
      <c r="V25" s="199"/>
      <c r="W25" s="199">
        <f t="shared" si="52"/>
        <v>0</v>
      </c>
      <c r="X25" s="199"/>
      <c r="Y25" s="199">
        <f t="shared" si="53"/>
        <v>0</v>
      </c>
      <c r="Z25" s="199"/>
      <c r="AA25" s="199">
        <f t="shared" si="54"/>
        <v>0</v>
      </c>
      <c r="AB25" s="199"/>
      <c r="AC25" s="199">
        <f t="shared" si="77"/>
        <v>0</v>
      </c>
      <c r="AD25" s="198">
        <f t="shared" si="15"/>
        <v>2460</v>
      </c>
      <c r="AE25" s="199">
        <v>3</v>
      </c>
      <c r="AF25" s="199">
        <f t="shared" si="55"/>
        <v>2460</v>
      </c>
      <c r="AG25" s="199"/>
      <c r="AH25" s="199">
        <f t="shared" si="56"/>
        <v>0</v>
      </c>
      <c r="AI25" s="199"/>
      <c r="AJ25" s="199">
        <f t="shared" si="57"/>
        <v>0</v>
      </c>
      <c r="AK25" s="199"/>
      <c r="AL25" s="200">
        <f t="shared" si="58"/>
        <v>0</v>
      </c>
      <c r="AM25" s="251">
        <f t="shared" si="17"/>
        <v>0</v>
      </c>
      <c r="AN25" s="199"/>
      <c r="AO25" s="199">
        <f t="shared" si="59"/>
        <v>0</v>
      </c>
      <c r="AP25" s="199"/>
      <c r="AQ25" s="199">
        <f t="shared" si="60"/>
        <v>0</v>
      </c>
      <c r="AR25" s="199"/>
      <c r="AS25" s="199">
        <f t="shared" si="61"/>
        <v>0</v>
      </c>
      <c r="AT25" s="199"/>
      <c r="AU25" s="199">
        <f t="shared" si="62"/>
        <v>0</v>
      </c>
      <c r="AV25" s="198">
        <f t="shared" si="46"/>
        <v>0</v>
      </c>
      <c r="AW25" s="199"/>
      <c r="AX25" s="199">
        <f t="shared" si="63"/>
        <v>0</v>
      </c>
      <c r="AY25" s="199"/>
      <c r="AZ25" s="199">
        <f t="shared" si="63"/>
        <v>0</v>
      </c>
      <c r="BA25" s="199"/>
      <c r="BB25" s="200">
        <f t="shared" si="64"/>
        <v>0</v>
      </c>
    </row>
    <row r="26" spans="1:54" s="38" customFormat="1" ht="20.100000000000001" customHeight="1">
      <c r="A26" s="201"/>
      <c r="B26" s="196"/>
      <c r="C26" s="196"/>
      <c r="D26" s="196" t="s">
        <v>108</v>
      </c>
      <c r="E26" s="169" t="s">
        <v>100</v>
      </c>
      <c r="F26" s="197">
        <v>949</v>
      </c>
      <c r="G26" s="197">
        <v>949</v>
      </c>
      <c r="H26" s="198">
        <f t="shared" si="74"/>
        <v>949</v>
      </c>
      <c r="I26" s="198">
        <f t="shared" si="75"/>
        <v>949</v>
      </c>
      <c r="J26" s="199"/>
      <c r="K26" s="199">
        <f t="shared" si="76"/>
        <v>0</v>
      </c>
      <c r="L26" s="198">
        <f t="shared" si="43"/>
        <v>0</v>
      </c>
      <c r="M26" s="199"/>
      <c r="N26" s="199">
        <f t="shared" si="48"/>
        <v>0</v>
      </c>
      <c r="O26" s="199"/>
      <c r="P26" s="199">
        <f t="shared" si="49"/>
        <v>0</v>
      </c>
      <c r="Q26" s="199"/>
      <c r="R26" s="199">
        <f t="shared" si="50"/>
        <v>0</v>
      </c>
      <c r="S26" s="199"/>
      <c r="T26" s="200">
        <f t="shared" si="51"/>
        <v>0</v>
      </c>
      <c r="U26" s="251">
        <f t="shared" si="44"/>
        <v>949</v>
      </c>
      <c r="V26" s="199">
        <v>1</v>
      </c>
      <c r="W26" s="199">
        <f t="shared" si="52"/>
        <v>949</v>
      </c>
      <c r="X26" s="199"/>
      <c r="Y26" s="199">
        <f t="shared" si="53"/>
        <v>0</v>
      </c>
      <c r="Z26" s="199"/>
      <c r="AA26" s="199">
        <f t="shared" si="54"/>
        <v>0</v>
      </c>
      <c r="AB26" s="199"/>
      <c r="AC26" s="199">
        <f t="shared" si="77"/>
        <v>0</v>
      </c>
      <c r="AD26" s="198">
        <f t="shared" si="15"/>
        <v>0</v>
      </c>
      <c r="AE26" s="199"/>
      <c r="AF26" s="199">
        <f t="shared" si="55"/>
        <v>0</v>
      </c>
      <c r="AG26" s="199"/>
      <c r="AH26" s="199">
        <f t="shared" si="56"/>
        <v>0</v>
      </c>
      <c r="AI26" s="199"/>
      <c r="AJ26" s="199">
        <f t="shared" si="57"/>
        <v>0</v>
      </c>
      <c r="AK26" s="199"/>
      <c r="AL26" s="200">
        <f t="shared" si="58"/>
        <v>0</v>
      </c>
      <c r="AM26" s="251">
        <f t="shared" si="17"/>
        <v>0</v>
      </c>
      <c r="AN26" s="199"/>
      <c r="AO26" s="199">
        <f t="shared" si="59"/>
        <v>0</v>
      </c>
      <c r="AP26" s="199"/>
      <c r="AQ26" s="199">
        <f t="shared" si="60"/>
        <v>0</v>
      </c>
      <c r="AR26" s="199"/>
      <c r="AS26" s="199">
        <f t="shared" si="61"/>
        <v>0</v>
      </c>
      <c r="AT26" s="199"/>
      <c r="AU26" s="199">
        <f t="shared" si="62"/>
        <v>0</v>
      </c>
      <c r="AV26" s="198">
        <f t="shared" si="46"/>
        <v>0</v>
      </c>
      <c r="AW26" s="199"/>
      <c r="AX26" s="199">
        <f t="shared" si="63"/>
        <v>0</v>
      </c>
      <c r="AY26" s="199"/>
      <c r="AZ26" s="199">
        <f t="shared" si="63"/>
        <v>0</v>
      </c>
      <c r="BA26" s="199"/>
      <c r="BB26" s="200">
        <f t="shared" si="64"/>
        <v>0</v>
      </c>
    </row>
    <row r="27" spans="1:54" s="47" customFormat="1" ht="20.100000000000001" customHeight="1">
      <c r="A27" s="202"/>
      <c r="B27" s="203"/>
      <c r="C27" s="204"/>
      <c r="D27" s="189" t="s">
        <v>113</v>
      </c>
      <c r="E27" s="191"/>
      <c r="F27" s="192"/>
      <c r="G27" s="192"/>
      <c r="H27" s="193">
        <f t="shared" ref="H27:T27" si="78">SUM(H28:H35)</f>
        <v>546931</v>
      </c>
      <c r="I27" s="193">
        <f t="shared" si="78"/>
        <v>241437</v>
      </c>
      <c r="J27" s="193">
        <f t="shared" ref="J27:K27" si="79">SUM(J28:J35)</f>
        <v>0</v>
      </c>
      <c r="K27" s="193">
        <f t="shared" si="79"/>
        <v>0</v>
      </c>
      <c r="L27" s="193">
        <f t="shared" si="43"/>
        <v>0</v>
      </c>
      <c r="M27" s="193">
        <f t="shared" si="78"/>
        <v>0</v>
      </c>
      <c r="N27" s="193">
        <f t="shared" si="78"/>
        <v>0</v>
      </c>
      <c r="O27" s="193">
        <f t="shared" si="78"/>
        <v>0</v>
      </c>
      <c r="P27" s="193">
        <f t="shared" ref="P27" si="80">SUM(P28:P35)</f>
        <v>0</v>
      </c>
      <c r="Q27" s="193">
        <f t="shared" si="78"/>
        <v>244</v>
      </c>
      <c r="R27" s="193">
        <f t="shared" si="78"/>
        <v>162553</v>
      </c>
      <c r="S27" s="193">
        <f t="shared" si="78"/>
        <v>0</v>
      </c>
      <c r="T27" s="194">
        <f t="shared" si="78"/>
        <v>0</v>
      </c>
      <c r="U27" s="250">
        <f t="shared" si="44"/>
        <v>78884</v>
      </c>
      <c r="V27" s="193">
        <f t="shared" ref="V27:AA27" si="81">SUM(V28:V35)</f>
        <v>115</v>
      </c>
      <c r="W27" s="193">
        <f t="shared" si="81"/>
        <v>78884</v>
      </c>
      <c r="X27" s="193">
        <f t="shared" si="81"/>
        <v>0</v>
      </c>
      <c r="Y27" s="193">
        <f t="shared" si="81"/>
        <v>0</v>
      </c>
      <c r="Z27" s="193">
        <f t="shared" si="81"/>
        <v>0</v>
      </c>
      <c r="AA27" s="193">
        <f t="shared" si="81"/>
        <v>0</v>
      </c>
      <c r="AB27" s="193">
        <f t="shared" ref="AB27:AC27" si="82">SUM(AB28:AB35)</f>
        <v>0</v>
      </c>
      <c r="AC27" s="193">
        <f t="shared" si="82"/>
        <v>0</v>
      </c>
      <c r="AD27" s="193">
        <f t="shared" si="15"/>
        <v>168689</v>
      </c>
      <c r="AE27" s="193">
        <f t="shared" ref="AE27:AL27" si="83">SUM(AE28:AE35)</f>
        <v>252</v>
      </c>
      <c r="AF27" s="193">
        <f t="shared" si="83"/>
        <v>168689</v>
      </c>
      <c r="AG27" s="193">
        <f t="shared" si="83"/>
        <v>0</v>
      </c>
      <c r="AH27" s="193">
        <f t="shared" si="83"/>
        <v>0</v>
      </c>
      <c r="AI27" s="193">
        <f t="shared" si="83"/>
        <v>0</v>
      </c>
      <c r="AJ27" s="193">
        <f t="shared" si="83"/>
        <v>0</v>
      </c>
      <c r="AK27" s="193">
        <f t="shared" si="83"/>
        <v>0</v>
      </c>
      <c r="AL27" s="194">
        <f t="shared" si="83"/>
        <v>0</v>
      </c>
      <c r="AM27" s="250">
        <f t="shared" si="17"/>
        <v>59946</v>
      </c>
      <c r="AN27" s="193">
        <f t="shared" ref="AN27:BB27" si="84">SUM(AN28:AN35)</f>
        <v>32</v>
      </c>
      <c r="AO27" s="193">
        <f t="shared" si="84"/>
        <v>18624</v>
      </c>
      <c r="AP27" s="193">
        <f t="shared" si="84"/>
        <v>71</v>
      </c>
      <c r="AQ27" s="193">
        <f t="shared" si="84"/>
        <v>41322</v>
      </c>
      <c r="AR27" s="193">
        <f t="shared" si="84"/>
        <v>0</v>
      </c>
      <c r="AS27" s="193">
        <f t="shared" si="84"/>
        <v>0</v>
      </c>
      <c r="AT27" s="193">
        <f t="shared" si="84"/>
        <v>0</v>
      </c>
      <c r="AU27" s="193">
        <f t="shared" si="84"/>
        <v>0</v>
      </c>
      <c r="AV27" s="193">
        <f t="shared" si="46"/>
        <v>33118</v>
      </c>
      <c r="AW27" s="193">
        <f t="shared" si="84"/>
        <v>50</v>
      </c>
      <c r="AX27" s="193">
        <f t="shared" si="84"/>
        <v>33118</v>
      </c>
      <c r="AY27" s="193">
        <f t="shared" ref="AY27" si="85">SUM(AY28:AY35)</f>
        <v>0</v>
      </c>
      <c r="AZ27" s="193">
        <f t="shared" ref="AZ27" si="86">SUM(AZ28:AZ35)</f>
        <v>0</v>
      </c>
      <c r="BA27" s="193">
        <f t="shared" si="84"/>
        <v>83</v>
      </c>
      <c r="BB27" s="194">
        <f t="shared" si="84"/>
        <v>43741</v>
      </c>
    </row>
    <row r="28" spans="1:54" s="38" customFormat="1" ht="20.100000000000001" customHeight="1">
      <c r="A28" s="201"/>
      <c r="B28" s="196"/>
      <c r="C28" s="196"/>
      <c r="D28" s="196" t="s">
        <v>101</v>
      </c>
      <c r="E28" s="169" t="s">
        <v>111</v>
      </c>
      <c r="F28" s="197">
        <v>527</v>
      </c>
      <c r="G28" s="197">
        <v>527</v>
      </c>
      <c r="H28" s="198">
        <f t="shared" ref="H28:H34" si="87">I28+AD28+AM28+AV28+BB28</f>
        <v>54281</v>
      </c>
      <c r="I28" s="198">
        <f t="shared" ref="I28:I35" si="88">L28+R28+T28+U28+AA28</f>
        <v>8959</v>
      </c>
      <c r="J28" s="199"/>
      <c r="K28" s="199">
        <f t="shared" ref="K28:K35" si="89">ROUND(J28*$F28,0)</f>
        <v>0</v>
      </c>
      <c r="L28" s="198">
        <f t="shared" si="43"/>
        <v>0</v>
      </c>
      <c r="M28" s="199"/>
      <c r="N28" s="199">
        <f t="shared" si="48"/>
        <v>0</v>
      </c>
      <c r="O28" s="199"/>
      <c r="P28" s="199">
        <f t="shared" si="49"/>
        <v>0</v>
      </c>
      <c r="Q28" s="199">
        <v>17</v>
      </c>
      <c r="R28" s="199">
        <f t="shared" si="50"/>
        <v>8959</v>
      </c>
      <c r="S28" s="199"/>
      <c r="T28" s="200">
        <f t="shared" si="51"/>
        <v>0</v>
      </c>
      <c r="U28" s="251">
        <f t="shared" si="44"/>
        <v>0</v>
      </c>
      <c r="V28" s="199"/>
      <c r="W28" s="199">
        <f t="shared" si="52"/>
        <v>0</v>
      </c>
      <c r="X28" s="199"/>
      <c r="Y28" s="199">
        <f t="shared" si="53"/>
        <v>0</v>
      </c>
      <c r="Z28" s="199"/>
      <c r="AA28" s="199">
        <f t="shared" si="54"/>
        <v>0</v>
      </c>
      <c r="AB28" s="199"/>
      <c r="AC28" s="199">
        <f t="shared" ref="AC28:AC35" si="90">ROUND(AB28*$G28,0)</f>
        <v>0</v>
      </c>
      <c r="AD28" s="198">
        <f t="shared" si="15"/>
        <v>1581</v>
      </c>
      <c r="AE28" s="199">
        <v>3</v>
      </c>
      <c r="AF28" s="199">
        <f t="shared" si="55"/>
        <v>1581</v>
      </c>
      <c r="AG28" s="199"/>
      <c r="AH28" s="199">
        <f t="shared" si="56"/>
        <v>0</v>
      </c>
      <c r="AI28" s="199"/>
      <c r="AJ28" s="199">
        <f t="shared" si="57"/>
        <v>0</v>
      </c>
      <c r="AK28" s="199"/>
      <c r="AL28" s="200">
        <f t="shared" si="58"/>
        <v>0</v>
      </c>
      <c r="AM28" s="251">
        <f t="shared" si="17"/>
        <v>0</v>
      </c>
      <c r="AN28" s="199"/>
      <c r="AO28" s="199">
        <f t="shared" si="59"/>
        <v>0</v>
      </c>
      <c r="AP28" s="199"/>
      <c r="AQ28" s="199">
        <f t="shared" si="60"/>
        <v>0</v>
      </c>
      <c r="AR28" s="199"/>
      <c r="AS28" s="199">
        <f t="shared" si="61"/>
        <v>0</v>
      </c>
      <c r="AT28" s="199"/>
      <c r="AU28" s="199">
        <f t="shared" si="62"/>
        <v>0</v>
      </c>
      <c r="AV28" s="198">
        <f t="shared" si="46"/>
        <v>0</v>
      </c>
      <c r="AW28" s="199"/>
      <c r="AX28" s="199">
        <f t="shared" si="63"/>
        <v>0</v>
      </c>
      <c r="AY28" s="199"/>
      <c r="AZ28" s="199">
        <f t="shared" si="63"/>
        <v>0</v>
      </c>
      <c r="BA28" s="199">
        <v>83</v>
      </c>
      <c r="BB28" s="200">
        <f t="shared" si="64"/>
        <v>43741</v>
      </c>
    </row>
    <row r="29" spans="1:54" s="38" customFormat="1" ht="20.100000000000001" customHeight="1">
      <c r="A29" s="201"/>
      <c r="B29" s="196"/>
      <c r="C29" s="196"/>
      <c r="D29" s="196" t="s">
        <v>102</v>
      </c>
      <c r="E29" s="169" t="s">
        <v>111</v>
      </c>
      <c r="F29" s="197">
        <v>582</v>
      </c>
      <c r="G29" s="197">
        <v>582</v>
      </c>
      <c r="H29" s="198">
        <f t="shared" si="87"/>
        <v>318936</v>
      </c>
      <c r="I29" s="198">
        <f t="shared" si="88"/>
        <v>124548</v>
      </c>
      <c r="J29" s="199"/>
      <c r="K29" s="199">
        <f t="shared" si="89"/>
        <v>0</v>
      </c>
      <c r="L29" s="198">
        <f t="shared" si="43"/>
        <v>0</v>
      </c>
      <c r="M29" s="199"/>
      <c r="N29" s="199">
        <f t="shared" si="48"/>
        <v>0</v>
      </c>
      <c r="O29" s="199"/>
      <c r="P29" s="199">
        <f t="shared" si="49"/>
        <v>0</v>
      </c>
      <c r="Q29" s="199">
        <v>150</v>
      </c>
      <c r="R29" s="199">
        <f t="shared" si="50"/>
        <v>87300</v>
      </c>
      <c r="S29" s="199"/>
      <c r="T29" s="200">
        <f t="shared" si="51"/>
        <v>0</v>
      </c>
      <c r="U29" s="251">
        <f t="shared" si="44"/>
        <v>37248</v>
      </c>
      <c r="V29" s="199">
        <v>64</v>
      </c>
      <c r="W29" s="199">
        <f t="shared" si="52"/>
        <v>37248</v>
      </c>
      <c r="X29" s="199"/>
      <c r="Y29" s="199">
        <f t="shared" si="53"/>
        <v>0</v>
      </c>
      <c r="Z29" s="199"/>
      <c r="AA29" s="199">
        <f t="shared" si="54"/>
        <v>0</v>
      </c>
      <c r="AB29" s="199"/>
      <c r="AC29" s="199">
        <f t="shared" si="90"/>
        <v>0</v>
      </c>
      <c r="AD29" s="198">
        <f t="shared" si="15"/>
        <v>115236</v>
      </c>
      <c r="AE29" s="199">
        <v>198</v>
      </c>
      <c r="AF29" s="199">
        <f t="shared" si="55"/>
        <v>115236</v>
      </c>
      <c r="AG29" s="199"/>
      <c r="AH29" s="199">
        <f t="shared" si="56"/>
        <v>0</v>
      </c>
      <c r="AI29" s="199"/>
      <c r="AJ29" s="199">
        <f t="shared" si="57"/>
        <v>0</v>
      </c>
      <c r="AK29" s="199"/>
      <c r="AL29" s="200">
        <f t="shared" si="58"/>
        <v>0</v>
      </c>
      <c r="AM29" s="251">
        <f t="shared" si="17"/>
        <v>59946</v>
      </c>
      <c r="AN29" s="199">
        <v>32</v>
      </c>
      <c r="AO29" s="199">
        <f t="shared" si="59"/>
        <v>18624</v>
      </c>
      <c r="AP29" s="199">
        <v>71</v>
      </c>
      <c r="AQ29" s="199">
        <f t="shared" si="60"/>
        <v>41322</v>
      </c>
      <c r="AR29" s="199"/>
      <c r="AS29" s="199">
        <f t="shared" si="61"/>
        <v>0</v>
      </c>
      <c r="AT29" s="199"/>
      <c r="AU29" s="199">
        <f t="shared" si="62"/>
        <v>0</v>
      </c>
      <c r="AV29" s="198">
        <f t="shared" si="46"/>
        <v>19206</v>
      </c>
      <c r="AW29" s="199">
        <v>33</v>
      </c>
      <c r="AX29" s="199">
        <f t="shared" si="63"/>
        <v>19206</v>
      </c>
      <c r="AY29" s="199"/>
      <c r="AZ29" s="199">
        <f t="shared" si="63"/>
        <v>0</v>
      </c>
      <c r="BA29" s="199"/>
      <c r="BB29" s="200">
        <f t="shared" si="64"/>
        <v>0</v>
      </c>
    </row>
    <row r="30" spans="1:54" s="38" customFormat="1" ht="20.100000000000001" customHeight="1">
      <c r="A30" s="201"/>
      <c r="B30" s="196"/>
      <c r="C30" s="196"/>
      <c r="D30" s="196" t="s">
        <v>103</v>
      </c>
      <c r="E30" s="169" t="s">
        <v>111</v>
      </c>
      <c r="F30" s="197">
        <v>776</v>
      </c>
      <c r="G30" s="197">
        <v>776</v>
      </c>
      <c r="H30" s="198">
        <f t="shared" si="87"/>
        <v>92344</v>
      </c>
      <c r="I30" s="198">
        <f t="shared" si="88"/>
        <v>79928</v>
      </c>
      <c r="J30" s="199"/>
      <c r="K30" s="199">
        <f t="shared" si="89"/>
        <v>0</v>
      </c>
      <c r="L30" s="198">
        <f t="shared" si="43"/>
        <v>0</v>
      </c>
      <c r="M30" s="199"/>
      <c r="N30" s="199">
        <f t="shared" si="48"/>
        <v>0</v>
      </c>
      <c r="O30" s="199"/>
      <c r="P30" s="199">
        <f t="shared" si="49"/>
        <v>0</v>
      </c>
      <c r="Q30" s="199">
        <v>56</v>
      </c>
      <c r="R30" s="199">
        <f t="shared" si="50"/>
        <v>43456</v>
      </c>
      <c r="S30" s="199"/>
      <c r="T30" s="200">
        <f t="shared" si="51"/>
        <v>0</v>
      </c>
      <c r="U30" s="251">
        <f t="shared" si="44"/>
        <v>36472</v>
      </c>
      <c r="V30" s="199">
        <v>47</v>
      </c>
      <c r="W30" s="199">
        <f t="shared" si="52"/>
        <v>36472</v>
      </c>
      <c r="X30" s="199"/>
      <c r="Y30" s="199">
        <f t="shared" si="53"/>
        <v>0</v>
      </c>
      <c r="Z30" s="199"/>
      <c r="AA30" s="199">
        <f t="shared" si="54"/>
        <v>0</v>
      </c>
      <c r="AB30" s="199"/>
      <c r="AC30" s="199">
        <f t="shared" si="90"/>
        <v>0</v>
      </c>
      <c r="AD30" s="198">
        <f t="shared" si="15"/>
        <v>8536</v>
      </c>
      <c r="AE30" s="199">
        <v>11</v>
      </c>
      <c r="AF30" s="199">
        <f t="shared" si="55"/>
        <v>8536</v>
      </c>
      <c r="AG30" s="199"/>
      <c r="AH30" s="199">
        <f t="shared" si="56"/>
        <v>0</v>
      </c>
      <c r="AI30" s="199"/>
      <c r="AJ30" s="199">
        <f t="shared" si="57"/>
        <v>0</v>
      </c>
      <c r="AK30" s="199"/>
      <c r="AL30" s="200">
        <f t="shared" si="58"/>
        <v>0</v>
      </c>
      <c r="AM30" s="251">
        <f t="shared" si="17"/>
        <v>0</v>
      </c>
      <c r="AN30" s="199"/>
      <c r="AO30" s="199">
        <f t="shared" si="59"/>
        <v>0</v>
      </c>
      <c r="AP30" s="199"/>
      <c r="AQ30" s="199">
        <f t="shared" si="60"/>
        <v>0</v>
      </c>
      <c r="AR30" s="199"/>
      <c r="AS30" s="199">
        <f t="shared" si="61"/>
        <v>0</v>
      </c>
      <c r="AT30" s="199"/>
      <c r="AU30" s="199">
        <f t="shared" si="62"/>
        <v>0</v>
      </c>
      <c r="AV30" s="198">
        <f t="shared" si="46"/>
        <v>3880</v>
      </c>
      <c r="AW30" s="199">
        <v>5</v>
      </c>
      <c r="AX30" s="199">
        <f t="shared" si="63"/>
        <v>3880</v>
      </c>
      <c r="AY30" s="199"/>
      <c r="AZ30" s="199">
        <f t="shared" si="63"/>
        <v>0</v>
      </c>
      <c r="BA30" s="199"/>
      <c r="BB30" s="200">
        <f t="shared" si="64"/>
        <v>0</v>
      </c>
    </row>
    <row r="31" spans="1:54" s="38" customFormat="1" ht="20.100000000000001" customHeight="1">
      <c r="A31" s="201"/>
      <c r="B31" s="196"/>
      <c r="C31" s="196"/>
      <c r="D31" s="196" t="s">
        <v>104</v>
      </c>
      <c r="E31" s="169" t="s">
        <v>111</v>
      </c>
      <c r="F31" s="197">
        <v>836</v>
      </c>
      <c r="G31" s="197">
        <v>836</v>
      </c>
      <c r="H31" s="198">
        <f t="shared" si="87"/>
        <v>17556</v>
      </c>
      <c r="I31" s="198">
        <f t="shared" si="88"/>
        <v>0</v>
      </c>
      <c r="J31" s="199"/>
      <c r="K31" s="199">
        <f t="shared" si="89"/>
        <v>0</v>
      </c>
      <c r="L31" s="198">
        <f t="shared" si="43"/>
        <v>0</v>
      </c>
      <c r="M31" s="199"/>
      <c r="N31" s="199">
        <f t="shared" si="48"/>
        <v>0</v>
      </c>
      <c r="O31" s="199"/>
      <c r="P31" s="199">
        <f t="shared" si="49"/>
        <v>0</v>
      </c>
      <c r="Q31" s="199"/>
      <c r="R31" s="199">
        <f t="shared" si="50"/>
        <v>0</v>
      </c>
      <c r="S31" s="199"/>
      <c r="T31" s="200">
        <f t="shared" si="51"/>
        <v>0</v>
      </c>
      <c r="U31" s="251">
        <f t="shared" si="44"/>
        <v>0</v>
      </c>
      <c r="V31" s="199"/>
      <c r="W31" s="199">
        <f t="shared" si="52"/>
        <v>0</v>
      </c>
      <c r="X31" s="199"/>
      <c r="Y31" s="199">
        <f t="shared" si="53"/>
        <v>0</v>
      </c>
      <c r="Z31" s="199"/>
      <c r="AA31" s="199">
        <f t="shared" si="54"/>
        <v>0</v>
      </c>
      <c r="AB31" s="199"/>
      <c r="AC31" s="199">
        <f t="shared" si="90"/>
        <v>0</v>
      </c>
      <c r="AD31" s="198">
        <f t="shared" si="15"/>
        <v>7524</v>
      </c>
      <c r="AE31" s="199">
        <v>9</v>
      </c>
      <c r="AF31" s="199">
        <f t="shared" si="55"/>
        <v>7524</v>
      </c>
      <c r="AG31" s="199"/>
      <c r="AH31" s="199">
        <f t="shared" si="56"/>
        <v>0</v>
      </c>
      <c r="AI31" s="199"/>
      <c r="AJ31" s="199">
        <f t="shared" si="57"/>
        <v>0</v>
      </c>
      <c r="AK31" s="199"/>
      <c r="AL31" s="200">
        <f t="shared" si="58"/>
        <v>0</v>
      </c>
      <c r="AM31" s="251">
        <f t="shared" si="17"/>
        <v>0</v>
      </c>
      <c r="AN31" s="199"/>
      <c r="AO31" s="199">
        <f t="shared" si="59"/>
        <v>0</v>
      </c>
      <c r="AP31" s="199"/>
      <c r="AQ31" s="199">
        <f t="shared" si="60"/>
        <v>0</v>
      </c>
      <c r="AR31" s="199"/>
      <c r="AS31" s="199">
        <f t="shared" si="61"/>
        <v>0</v>
      </c>
      <c r="AT31" s="199"/>
      <c r="AU31" s="199">
        <f t="shared" si="62"/>
        <v>0</v>
      </c>
      <c r="AV31" s="198">
        <f t="shared" si="46"/>
        <v>10032</v>
      </c>
      <c r="AW31" s="199">
        <v>12</v>
      </c>
      <c r="AX31" s="199">
        <f t="shared" si="63"/>
        <v>10032</v>
      </c>
      <c r="AY31" s="199"/>
      <c r="AZ31" s="199">
        <f t="shared" si="63"/>
        <v>0</v>
      </c>
      <c r="BA31" s="199"/>
      <c r="BB31" s="200">
        <f t="shared" si="64"/>
        <v>0</v>
      </c>
    </row>
    <row r="32" spans="1:54" s="38" customFormat="1" ht="20.100000000000001" customHeight="1">
      <c r="A32" s="201"/>
      <c r="B32" s="196"/>
      <c r="C32" s="196"/>
      <c r="D32" s="196" t="s">
        <v>105</v>
      </c>
      <c r="E32" s="169" t="s">
        <v>111</v>
      </c>
      <c r="F32" s="197">
        <v>1025</v>
      </c>
      <c r="G32" s="197">
        <v>1025</v>
      </c>
      <c r="H32" s="198">
        <f t="shared" si="87"/>
        <v>17425</v>
      </c>
      <c r="I32" s="198">
        <f t="shared" si="88"/>
        <v>8200</v>
      </c>
      <c r="J32" s="199"/>
      <c r="K32" s="199">
        <f t="shared" si="89"/>
        <v>0</v>
      </c>
      <c r="L32" s="198">
        <f t="shared" si="43"/>
        <v>0</v>
      </c>
      <c r="M32" s="199"/>
      <c r="N32" s="199">
        <f t="shared" si="48"/>
        <v>0</v>
      </c>
      <c r="O32" s="199"/>
      <c r="P32" s="199">
        <f t="shared" si="49"/>
        <v>0</v>
      </c>
      <c r="Q32" s="199">
        <v>8</v>
      </c>
      <c r="R32" s="199">
        <f t="shared" si="50"/>
        <v>8200</v>
      </c>
      <c r="S32" s="199"/>
      <c r="T32" s="200">
        <f t="shared" si="51"/>
        <v>0</v>
      </c>
      <c r="U32" s="251">
        <f t="shared" si="44"/>
        <v>0</v>
      </c>
      <c r="V32" s="199"/>
      <c r="W32" s="199">
        <f t="shared" si="52"/>
        <v>0</v>
      </c>
      <c r="X32" s="199"/>
      <c r="Y32" s="199">
        <f t="shared" si="53"/>
        <v>0</v>
      </c>
      <c r="Z32" s="199"/>
      <c r="AA32" s="199">
        <f t="shared" si="54"/>
        <v>0</v>
      </c>
      <c r="AB32" s="199"/>
      <c r="AC32" s="199">
        <f t="shared" si="90"/>
        <v>0</v>
      </c>
      <c r="AD32" s="198">
        <f t="shared" si="15"/>
        <v>9225</v>
      </c>
      <c r="AE32" s="199">
        <v>9</v>
      </c>
      <c r="AF32" s="199">
        <f t="shared" si="55"/>
        <v>9225</v>
      </c>
      <c r="AG32" s="199"/>
      <c r="AH32" s="199">
        <f t="shared" si="56"/>
        <v>0</v>
      </c>
      <c r="AI32" s="199"/>
      <c r="AJ32" s="199">
        <f t="shared" si="57"/>
        <v>0</v>
      </c>
      <c r="AK32" s="199"/>
      <c r="AL32" s="200">
        <f t="shared" si="58"/>
        <v>0</v>
      </c>
      <c r="AM32" s="251">
        <f t="shared" si="17"/>
        <v>0</v>
      </c>
      <c r="AN32" s="199"/>
      <c r="AO32" s="199">
        <f t="shared" si="59"/>
        <v>0</v>
      </c>
      <c r="AP32" s="199"/>
      <c r="AQ32" s="199">
        <f t="shared" si="60"/>
        <v>0</v>
      </c>
      <c r="AR32" s="199"/>
      <c r="AS32" s="199">
        <f t="shared" si="61"/>
        <v>0</v>
      </c>
      <c r="AT32" s="199"/>
      <c r="AU32" s="199">
        <f t="shared" si="62"/>
        <v>0</v>
      </c>
      <c r="AV32" s="198">
        <f t="shared" si="46"/>
        <v>0</v>
      </c>
      <c r="AW32" s="199"/>
      <c r="AX32" s="199">
        <f t="shared" si="63"/>
        <v>0</v>
      </c>
      <c r="AY32" s="199"/>
      <c r="AZ32" s="199">
        <f t="shared" si="63"/>
        <v>0</v>
      </c>
      <c r="BA32" s="199"/>
      <c r="BB32" s="200">
        <f t="shared" si="64"/>
        <v>0</v>
      </c>
    </row>
    <row r="33" spans="1:54" s="38" customFormat="1" ht="20.100000000000001" customHeight="1">
      <c r="A33" s="201"/>
      <c r="B33" s="196"/>
      <c r="C33" s="196"/>
      <c r="D33" s="196" t="s">
        <v>106</v>
      </c>
      <c r="E33" s="169" t="s">
        <v>111</v>
      </c>
      <c r="F33" s="197">
        <v>1126</v>
      </c>
      <c r="G33" s="197">
        <v>1126</v>
      </c>
      <c r="H33" s="198">
        <f t="shared" si="87"/>
        <v>27024</v>
      </c>
      <c r="I33" s="198">
        <f t="shared" si="88"/>
        <v>14638</v>
      </c>
      <c r="J33" s="199"/>
      <c r="K33" s="199">
        <f t="shared" si="89"/>
        <v>0</v>
      </c>
      <c r="L33" s="198">
        <f t="shared" si="43"/>
        <v>0</v>
      </c>
      <c r="M33" s="199"/>
      <c r="N33" s="199">
        <f t="shared" si="48"/>
        <v>0</v>
      </c>
      <c r="O33" s="199"/>
      <c r="P33" s="199">
        <f t="shared" si="49"/>
        <v>0</v>
      </c>
      <c r="Q33" s="199">
        <v>13</v>
      </c>
      <c r="R33" s="199">
        <f t="shared" si="50"/>
        <v>14638</v>
      </c>
      <c r="S33" s="199"/>
      <c r="T33" s="200">
        <f t="shared" si="51"/>
        <v>0</v>
      </c>
      <c r="U33" s="251">
        <f t="shared" si="44"/>
        <v>0</v>
      </c>
      <c r="V33" s="199"/>
      <c r="W33" s="199">
        <f t="shared" si="52"/>
        <v>0</v>
      </c>
      <c r="X33" s="199"/>
      <c r="Y33" s="199">
        <f t="shared" si="53"/>
        <v>0</v>
      </c>
      <c r="Z33" s="199"/>
      <c r="AA33" s="199">
        <f t="shared" si="54"/>
        <v>0</v>
      </c>
      <c r="AB33" s="199"/>
      <c r="AC33" s="199">
        <f t="shared" si="90"/>
        <v>0</v>
      </c>
      <c r="AD33" s="198">
        <f t="shared" si="15"/>
        <v>12386</v>
      </c>
      <c r="AE33" s="199">
        <v>11</v>
      </c>
      <c r="AF33" s="199">
        <f t="shared" si="55"/>
        <v>12386</v>
      </c>
      <c r="AG33" s="199"/>
      <c r="AH33" s="199">
        <f t="shared" si="56"/>
        <v>0</v>
      </c>
      <c r="AI33" s="199"/>
      <c r="AJ33" s="199">
        <f t="shared" si="57"/>
        <v>0</v>
      </c>
      <c r="AK33" s="199"/>
      <c r="AL33" s="200">
        <f t="shared" si="58"/>
        <v>0</v>
      </c>
      <c r="AM33" s="251">
        <f t="shared" si="17"/>
        <v>0</v>
      </c>
      <c r="AN33" s="199"/>
      <c r="AO33" s="199">
        <f t="shared" si="59"/>
        <v>0</v>
      </c>
      <c r="AP33" s="199"/>
      <c r="AQ33" s="199">
        <f t="shared" si="60"/>
        <v>0</v>
      </c>
      <c r="AR33" s="199"/>
      <c r="AS33" s="199">
        <f t="shared" si="61"/>
        <v>0</v>
      </c>
      <c r="AT33" s="199"/>
      <c r="AU33" s="199">
        <f t="shared" si="62"/>
        <v>0</v>
      </c>
      <c r="AV33" s="198">
        <f t="shared" si="46"/>
        <v>0</v>
      </c>
      <c r="AW33" s="199"/>
      <c r="AX33" s="199">
        <f t="shared" si="63"/>
        <v>0</v>
      </c>
      <c r="AY33" s="199"/>
      <c r="AZ33" s="199">
        <f t="shared" si="63"/>
        <v>0</v>
      </c>
      <c r="BA33" s="199"/>
      <c r="BB33" s="200">
        <f t="shared" si="64"/>
        <v>0</v>
      </c>
    </row>
    <row r="34" spans="1:54" s="38" customFormat="1" ht="20.100000000000001" customHeight="1">
      <c r="A34" s="201"/>
      <c r="B34" s="196"/>
      <c r="C34" s="196"/>
      <c r="D34" s="196" t="s">
        <v>107</v>
      </c>
      <c r="E34" s="169" t="s">
        <v>111</v>
      </c>
      <c r="F34" s="197">
        <v>1291</v>
      </c>
      <c r="G34" s="197">
        <v>1291</v>
      </c>
      <c r="H34" s="198">
        <f t="shared" si="87"/>
        <v>19365</v>
      </c>
      <c r="I34" s="198">
        <f t="shared" si="88"/>
        <v>5164</v>
      </c>
      <c r="J34" s="199"/>
      <c r="K34" s="199">
        <f t="shared" si="89"/>
        <v>0</v>
      </c>
      <c r="L34" s="198">
        <f t="shared" si="43"/>
        <v>0</v>
      </c>
      <c r="M34" s="199"/>
      <c r="N34" s="199">
        <f t="shared" si="48"/>
        <v>0</v>
      </c>
      <c r="O34" s="199"/>
      <c r="P34" s="199">
        <f t="shared" si="49"/>
        <v>0</v>
      </c>
      <c r="Q34" s="199"/>
      <c r="R34" s="199">
        <f t="shared" si="50"/>
        <v>0</v>
      </c>
      <c r="S34" s="199"/>
      <c r="T34" s="200">
        <f t="shared" si="51"/>
        <v>0</v>
      </c>
      <c r="U34" s="251">
        <f t="shared" si="44"/>
        <v>5164</v>
      </c>
      <c r="V34" s="199">
        <v>4</v>
      </c>
      <c r="W34" s="199">
        <f t="shared" si="52"/>
        <v>5164</v>
      </c>
      <c r="X34" s="199"/>
      <c r="Y34" s="199">
        <f t="shared" si="53"/>
        <v>0</v>
      </c>
      <c r="Z34" s="199"/>
      <c r="AA34" s="199">
        <f t="shared" si="54"/>
        <v>0</v>
      </c>
      <c r="AB34" s="199"/>
      <c r="AC34" s="199">
        <f t="shared" si="90"/>
        <v>0</v>
      </c>
      <c r="AD34" s="198">
        <f t="shared" si="15"/>
        <v>14201</v>
      </c>
      <c r="AE34" s="199">
        <v>11</v>
      </c>
      <c r="AF34" s="199">
        <f t="shared" si="55"/>
        <v>14201</v>
      </c>
      <c r="AG34" s="199"/>
      <c r="AH34" s="199">
        <f t="shared" si="56"/>
        <v>0</v>
      </c>
      <c r="AI34" s="199"/>
      <c r="AJ34" s="199">
        <f t="shared" si="57"/>
        <v>0</v>
      </c>
      <c r="AK34" s="199"/>
      <c r="AL34" s="200">
        <f t="shared" si="58"/>
        <v>0</v>
      </c>
      <c r="AM34" s="251">
        <f t="shared" si="17"/>
        <v>0</v>
      </c>
      <c r="AN34" s="199"/>
      <c r="AO34" s="199">
        <f t="shared" si="59"/>
        <v>0</v>
      </c>
      <c r="AP34" s="199"/>
      <c r="AQ34" s="199">
        <f t="shared" si="60"/>
        <v>0</v>
      </c>
      <c r="AR34" s="199"/>
      <c r="AS34" s="199">
        <f t="shared" si="61"/>
        <v>0</v>
      </c>
      <c r="AT34" s="199"/>
      <c r="AU34" s="199">
        <f t="shared" si="62"/>
        <v>0</v>
      </c>
      <c r="AV34" s="198">
        <f t="shared" si="46"/>
        <v>0</v>
      </c>
      <c r="AW34" s="199"/>
      <c r="AX34" s="199">
        <f t="shared" si="63"/>
        <v>0</v>
      </c>
      <c r="AY34" s="199"/>
      <c r="AZ34" s="199">
        <f t="shared" si="63"/>
        <v>0</v>
      </c>
      <c r="BA34" s="199"/>
      <c r="BB34" s="200">
        <f t="shared" si="64"/>
        <v>0</v>
      </c>
    </row>
    <row r="35" spans="1:54" s="38" customFormat="1" ht="20.100000000000001" customHeight="1">
      <c r="A35" s="201"/>
      <c r="B35" s="196"/>
      <c r="C35" s="196"/>
      <c r="D35" s="196" t="s">
        <v>108</v>
      </c>
      <c r="E35" s="169" t="s">
        <v>111</v>
      </c>
      <c r="F35" s="197">
        <v>1527</v>
      </c>
      <c r="G35" s="197">
        <v>1527</v>
      </c>
      <c r="H35" s="198">
        <f>I35+AD35+AM35+AX35+BB35</f>
        <v>0</v>
      </c>
      <c r="I35" s="198">
        <f t="shared" si="88"/>
        <v>0</v>
      </c>
      <c r="J35" s="199"/>
      <c r="K35" s="199">
        <f t="shared" si="89"/>
        <v>0</v>
      </c>
      <c r="L35" s="198">
        <f t="shared" si="43"/>
        <v>0</v>
      </c>
      <c r="M35" s="199"/>
      <c r="N35" s="199">
        <f t="shared" si="48"/>
        <v>0</v>
      </c>
      <c r="O35" s="199"/>
      <c r="P35" s="199">
        <f t="shared" si="49"/>
        <v>0</v>
      </c>
      <c r="Q35" s="199"/>
      <c r="R35" s="199">
        <f t="shared" si="50"/>
        <v>0</v>
      </c>
      <c r="S35" s="199"/>
      <c r="T35" s="200">
        <f t="shared" si="51"/>
        <v>0</v>
      </c>
      <c r="U35" s="251">
        <f t="shared" si="44"/>
        <v>0</v>
      </c>
      <c r="V35" s="199"/>
      <c r="W35" s="199">
        <f t="shared" si="52"/>
        <v>0</v>
      </c>
      <c r="X35" s="199"/>
      <c r="Y35" s="199">
        <f t="shared" si="53"/>
        <v>0</v>
      </c>
      <c r="Z35" s="199"/>
      <c r="AA35" s="199">
        <f t="shared" si="54"/>
        <v>0</v>
      </c>
      <c r="AB35" s="199"/>
      <c r="AC35" s="199">
        <f t="shared" si="90"/>
        <v>0</v>
      </c>
      <c r="AD35" s="198">
        <f t="shared" si="15"/>
        <v>0</v>
      </c>
      <c r="AE35" s="199"/>
      <c r="AF35" s="199">
        <f t="shared" si="55"/>
        <v>0</v>
      </c>
      <c r="AG35" s="199"/>
      <c r="AH35" s="199">
        <f t="shared" si="56"/>
        <v>0</v>
      </c>
      <c r="AI35" s="199"/>
      <c r="AJ35" s="199">
        <f t="shared" si="57"/>
        <v>0</v>
      </c>
      <c r="AK35" s="199"/>
      <c r="AL35" s="200">
        <f t="shared" si="58"/>
        <v>0</v>
      </c>
      <c r="AM35" s="251">
        <f t="shared" si="17"/>
        <v>0</v>
      </c>
      <c r="AN35" s="199"/>
      <c r="AO35" s="199">
        <f t="shared" si="59"/>
        <v>0</v>
      </c>
      <c r="AP35" s="199"/>
      <c r="AQ35" s="199">
        <f t="shared" si="60"/>
        <v>0</v>
      </c>
      <c r="AR35" s="199"/>
      <c r="AS35" s="199">
        <f t="shared" si="61"/>
        <v>0</v>
      </c>
      <c r="AT35" s="199"/>
      <c r="AU35" s="199">
        <f t="shared" si="62"/>
        <v>0</v>
      </c>
      <c r="AV35" s="198">
        <f t="shared" si="46"/>
        <v>0</v>
      </c>
      <c r="AW35" s="199"/>
      <c r="AX35" s="199">
        <f t="shared" si="63"/>
        <v>0</v>
      </c>
      <c r="AY35" s="199"/>
      <c r="AZ35" s="199">
        <f t="shared" si="63"/>
        <v>0</v>
      </c>
      <c r="BA35" s="199"/>
      <c r="BB35" s="200">
        <f t="shared" si="64"/>
        <v>0</v>
      </c>
    </row>
    <row r="36" spans="1:54" s="48" customFormat="1" ht="20.100000000000001" customHeight="1">
      <c r="A36" s="182"/>
      <c r="B36" s="183"/>
      <c r="C36" s="451" t="s">
        <v>114</v>
      </c>
      <c r="D36" s="451"/>
      <c r="E36" s="184"/>
      <c r="F36" s="185"/>
      <c r="G36" s="185"/>
      <c r="H36" s="186">
        <f t="shared" ref="H36:T36" si="91">SUM(H37:H40)</f>
        <v>32153933</v>
      </c>
      <c r="I36" s="186">
        <f t="shared" si="91"/>
        <v>13368676</v>
      </c>
      <c r="J36" s="186">
        <f t="shared" ref="J36:K36" si="92">SUM(J37:J40)</f>
        <v>0</v>
      </c>
      <c r="K36" s="186">
        <f t="shared" si="92"/>
        <v>0</v>
      </c>
      <c r="L36" s="205">
        <f t="shared" si="43"/>
        <v>686112</v>
      </c>
      <c r="M36" s="186">
        <f t="shared" si="91"/>
        <v>0</v>
      </c>
      <c r="N36" s="186">
        <f t="shared" si="91"/>
        <v>0</v>
      </c>
      <c r="O36" s="186">
        <f t="shared" si="91"/>
        <v>2042</v>
      </c>
      <c r="P36" s="186">
        <f t="shared" ref="P36" si="93">SUM(P37:P40)</f>
        <v>686112</v>
      </c>
      <c r="Q36" s="186">
        <f t="shared" si="91"/>
        <v>1163</v>
      </c>
      <c r="R36" s="186">
        <f t="shared" si="91"/>
        <v>602434</v>
      </c>
      <c r="S36" s="186">
        <f t="shared" si="91"/>
        <v>0</v>
      </c>
      <c r="T36" s="187">
        <f t="shared" si="91"/>
        <v>0</v>
      </c>
      <c r="U36" s="252">
        <f t="shared" si="44"/>
        <v>4636380</v>
      </c>
      <c r="V36" s="186">
        <f t="shared" ref="V36:AA36" si="94">SUM(V37:V40)</f>
        <v>0</v>
      </c>
      <c r="W36" s="186">
        <f t="shared" si="94"/>
        <v>0</v>
      </c>
      <c r="X36" s="186">
        <f t="shared" si="94"/>
        <v>14410</v>
      </c>
      <c r="Y36" s="186">
        <f t="shared" si="94"/>
        <v>4636380</v>
      </c>
      <c r="Z36" s="186">
        <f t="shared" si="94"/>
        <v>20135</v>
      </c>
      <c r="AA36" s="186">
        <f t="shared" si="94"/>
        <v>6822285</v>
      </c>
      <c r="AB36" s="186">
        <f t="shared" ref="AB36:AC36" si="95">SUM(AB37:AB40)</f>
        <v>2570</v>
      </c>
      <c r="AC36" s="186">
        <f t="shared" si="95"/>
        <v>621465</v>
      </c>
      <c r="AD36" s="205">
        <f t="shared" si="15"/>
        <v>8986139</v>
      </c>
      <c r="AE36" s="186">
        <f t="shared" ref="AE36:AL36" si="96">SUM(AE37:AE40)</f>
        <v>0</v>
      </c>
      <c r="AF36" s="186">
        <f t="shared" si="96"/>
        <v>0</v>
      </c>
      <c r="AG36" s="186">
        <f t="shared" si="96"/>
        <v>8590</v>
      </c>
      <c r="AH36" s="186">
        <f t="shared" si="96"/>
        <v>2973080</v>
      </c>
      <c r="AI36" s="186">
        <f t="shared" si="96"/>
        <v>12770</v>
      </c>
      <c r="AJ36" s="186">
        <f t="shared" si="96"/>
        <v>4308195</v>
      </c>
      <c r="AK36" s="186">
        <f t="shared" si="96"/>
        <v>5074</v>
      </c>
      <c r="AL36" s="187">
        <f t="shared" si="96"/>
        <v>1704864</v>
      </c>
      <c r="AM36" s="252">
        <f t="shared" si="17"/>
        <v>5848892</v>
      </c>
      <c r="AN36" s="186">
        <f t="shared" ref="AN36:BB36" si="97">SUM(AN37:AN40)</f>
        <v>854</v>
      </c>
      <c r="AO36" s="186">
        <f t="shared" si="97"/>
        <v>442372</v>
      </c>
      <c r="AP36" s="186">
        <f t="shared" si="97"/>
        <v>3450</v>
      </c>
      <c r="AQ36" s="186">
        <f t="shared" si="97"/>
        <v>1787100</v>
      </c>
      <c r="AR36" s="186">
        <f t="shared" si="97"/>
        <v>4800</v>
      </c>
      <c r="AS36" s="186">
        <f t="shared" si="97"/>
        <v>1589980</v>
      </c>
      <c r="AT36" s="186">
        <f t="shared" si="97"/>
        <v>6040</v>
      </c>
      <c r="AU36" s="186">
        <f t="shared" si="97"/>
        <v>2029440</v>
      </c>
      <c r="AV36" s="205">
        <f t="shared" si="46"/>
        <v>1662520</v>
      </c>
      <c r="AW36" s="186">
        <f t="shared" si="97"/>
        <v>0</v>
      </c>
      <c r="AX36" s="186">
        <f t="shared" si="97"/>
        <v>0</v>
      </c>
      <c r="AY36" s="186">
        <f t="shared" si="97"/>
        <v>5860</v>
      </c>
      <c r="AZ36" s="186">
        <f t="shared" ref="AZ36" si="98">SUM(AZ37:AZ40)</f>
        <v>1662520</v>
      </c>
      <c r="BA36" s="186">
        <f t="shared" si="97"/>
        <v>7221</v>
      </c>
      <c r="BB36" s="187">
        <f t="shared" si="97"/>
        <v>2287706</v>
      </c>
    </row>
    <row r="37" spans="1:54" s="38" customFormat="1" ht="20.100000000000001" customHeight="1">
      <c r="A37" s="195"/>
      <c r="B37" s="196"/>
      <c r="C37" s="196"/>
      <c r="D37" s="196" t="s">
        <v>132</v>
      </c>
      <c r="E37" s="169"/>
      <c r="F37" s="197">
        <v>0</v>
      </c>
      <c r="G37" s="197">
        <v>173</v>
      </c>
      <c r="H37" s="198">
        <f>I37+AD37+AM37+AV37+BB37</f>
        <v>1070870</v>
      </c>
      <c r="I37" s="198">
        <f>L37+R37+T37+U37+AA37+AC37</f>
        <v>522460</v>
      </c>
      <c r="J37" s="198"/>
      <c r="K37" s="199">
        <f t="shared" ref="K37:K40" si="99">ROUND(J37*$F37,0)</f>
        <v>0</v>
      </c>
      <c r="L37" s="198">
        <f t="shared" si="43"/>
        <v>0</v>
      </c>
      <c r="M37" s="198"/>
      <c r="N37" s="199">
        <f t="shared" si="48"/>
        <v>0</v>
      </c>
      <c r="O37" s="199"/>
      <c r="P37" s="199">
        <f t="shared" si="49"/>
        <v>0</v>
      </c>
      <c r="Q37" s="198"/>
      <c r="R37" s="199">
        <f t="shared" si="50"/>
        <v>0</v>
      </c>
      <c r="S37" s="198"/>
      <c r="T37" s="200">
        <f t="shared" si="51"/>
        <v>0</v>
      </c>
      <c r="U37" s="251">
        <f t="shared" si="44"/>
        <v>217980</v>
      </c>
      <c r="V37" s="198"/>
      <c r="W37" s="199">
        <f t="shared" si="52"/>
        <v>0</v>
      </c>
      <c r="X37" s="198">
        <f>'[22]1. 오수관 신설(처리구역)'!$D$9</f>
        <v>1260</v>
      </c>
      <c r="Y37" s="199">
        <f t="shared" si="53"/>
        <v>217980</v>
      </c>
      <c r="Z37" s="198">
        <f>'[23]1. 오수관 신설(처리구역)'!$K$11</f>
        <v>275</v>
      </c>
      <c r="AA37" s="199">
        <f t="shared" si="54"/>
        <v>47575</v>
      </c>
      <c r="AB37" s="198">
        <f>'[23]1. 오수관 신설(처리구역)'!$D$11</f>
        <v>1485</v>
      </c>
      <c r="AC37" s="199">
        <f>ROUND(AB37*$G37,0)</f>
        <v>256905</v>
      </c>
      <c r="AD37" s="198">
        <f t="shared" si="15"/>
        <v>51900</v>
      </c>
      <c r="AE37" s="198"/>
      <c r="AF37" s="199">
        <f t="shared" si="55"/>
        <v>0</v>
      </c>
      <c r="AG37" s="198"/>
      <c r="AH37" s="199">
        <f t="shared" si="56"/>
        <v>0</v>
      </c>
      <c r="AI37" s="198">
        <f>'[22]1. 오수관 신설(처리구역)'!$K$14</f>
        <v>300</v>
      </c>
      <c r="AJ37" s="199">
        <f t="shared" si="57"/>
        <v>51900</v>
      </c>
      <c r="AK37" s="198">
        <v>0</v>
      </c>
      <c r="AL37" s="200">
        <f t="shared" si="58"/>
        <v>0</v>
      </c>
      <c r="AM37" s="251">
        <f t="shared" si="17"/>
        <v>24220</v>
      </c>
      <c r="AN37" s="198"/>
      <c r="AO37" s="199">
        <f t="shared" si="59"/>
        <v>0</v>
      </c>
      <c r="AP37" s="198"/>
      <c r="AQ37" s="199">
        <f t="shared" si="60"/>
        <v>0</v>
      </c>
      <c r="AR37" s="198">
        <f>'[22]1. 오수관 신설(처리구역)'!$D$19</f>
        <v>140</v>
      </c>
      <c r="AS37" s="199">
        <f t="shared" si="61"/>
        <v>24220</v>
      </c>
      <c r="AT37" s="198"/>
      <c r="AU37" s="199">
        <f t="shared" si="62"/>
        <v>0</v>
      </c>
      <c r="AV37" s="198">
        <f t="shared" si="46"/>
        <v>325240</v>
      </c>
      <c r="AW37" s="198">
        <v>0</v>
      </c>
      <c r="AX37" s="199">
        <f t="shared" si="63"/>
        <v>0</v>
      </c>
      <c r="AY37" s="199">
        <f>'[23]1. 오수관 신설(처리구역)'!$D$22</f>
        <v>1880</v>
      </c>
      <c r="AZ37" s="199">
        <f t="shared" si="63"/>
        <v>325240</v>
      </c>
      <c r="BA37" s="198">
        <f>'[23]1. 오수관 신설(처리구역)'!$D$23</f>
        <v>850</v>
      </c>
      <c r="BB37" s="200">
        <f t="shared" si="64"/>
        <v>147050</v>
      </c>
    </row>
    <row r="38" spans="1:54" s="38" customFormat="1" ht="20.100000000000001" customHeight="1">
      <c r="A38" s="195"/>
      <c r="B38" s="196"/>
      <c r="C38" s="196"/>
      <c r="D38" s="196" t="s">
        <v>99</v>
      </c>
      <c r="E38" s="169" t="s">
        <v>100</v>
      </c>
      <c r="F38" s="197">
        <v>518</v>
      </c>
      <c r="G38" s="197">
        <v>336</v>
      </c>
      <c r="H38" s="198">
        <f>I38+AD38+AM38+AV38+BB38</f>
        <v>28007378</v>
      </c>
      <c r="I38" s="198">
        <f>L38+R38+T38+U38+AA38+AC38</f>
        <v>11376946</v>
      </c>
      <c r="J38" s="199"/>
      <c r="K38" s="199">
        <f t="shared" si="99"/>
        <v>0</v>
      </c>
      <c r="L38" s="198">
        <f t="shared" si="43"/>
        <v>686112</v>
      </c>
      <c r="M38" s="199"/>
      <c r="N38" s="199">
        <f t="shared" si="48"/>
        <v>0</v>
      </c>
      <c r="O38" s="199">
        <f>'[22]1. 오수관 신설(처리구역)'!$S$6</f>
        <v>2042</v>
      </c>
      <c r="P38" s="199">
        <f t="shared" si="49"/>
        <v>686112</v>
      </c>
      <c r="Q38" s="199">
        <f>'[22]1. 오수관 신설(처리구역)'!$Z$7</f>
        <v>1163</v>
      </c>
      <c r="R38" s="199">
        <f t="shared" si="50"/>
        <v>602434</v>
      </c>
      <c r="S38" s="199"/>
      <c r="T38" s="200">
        <f t="shared" si="51"/>
        <v>0</v>
      </c>
      <c r="U38" s="251">
        <f t="shared" si="44"/>
        <v>4418400</v>
      </c>
      <c r="V38" s="199"/>
      <c r="W38" s="199">
        <f t="shared" si="52"/>
        <v>0</v>
      </c>
      <c r="X38" s="199">
        <f>'[22]1. 오수관 신설(처리구역)'!$E$9</f>
        <v>13150</v>
      </c>
      <c r="Y38" s="199">
        <f t="shared" si="53"/>
        <v>4418400</v>
      </c>
      <c r="Z38" s="199">
        <f>'[23]1. 오수관 신설(처리구역)'!$L$11</f>
        <v>15790</v>
      </c>
      <c r="AA38" s="199">
        <f t="shared" si="54"/>
        <v>5305440</v>
      </c>
      <c r="AB38" s="199">
        <f>'[23]1. 오수관 신설(처리구역)'!$E$11</f>
        <v>1085</v>
      </c>
      <c r="AC38" s="199">
        <f>ROUND(AB38*$G38,0)</f>
        <v>364560</v>
      </c>
      <c r="AD38" s="198">
        <f t="shared" si="15"/>
        <v>7327824</v>
      </c>
      <c r="AE38" s="199"/>
      <c r="AF38" s="199">
        <f t="shared" si="55"/>
        <v>0</v>
      </c>
      <c r="AG38" s="199">
        <f>'[22]1. 오수관 신설(처리구역)'!$L$13</f>
        <v>6920</v>
      </c>
      <c r="AH38" s="199">
        <f t="shared" si="56"/>
        <v>2325120</v>
      </c>
      <c r="AI38" s="199">
        <f>'[22]1. 오수관 신설(처리구역)'!$L$14</f>
        <v>9815</v>
      </c>
      <c r="AJ38" s="199">
        <f t="shared" si="57"/>
        <v>3297840</v>
      </c>
      <c r="AK38" s="199">
        <f>'[22]1. 오수관 신설(처리구역)'!$L$15</f>
        <v>5074</v>
      </c>
      <c r="AL38" s="200">
        <f t="shared" si="58"/>
        <v>1704864</v>
      </c>
      <c r="AM38" s="251">
        <f t="shared" si="17"/>
        <v>5824672</v>
      </c>
      <c r="AN38" s="199">
        <f>'[22]1. 오수관 신설(처리구역)'!$E$17</f>
        <v>854</v>
      </c>
      <c r="AO38" s="199">
        <f t="shared" si="59"/>
        <v>442372</v>
      </c>
      <c r="AP38" s="199">
        <f>'[22]1. 오수관 신설(처리구역)'!$E$18</f>
        <v>3450</v>
      </c>
      <c r="AQ38" s="199">
        <f t="shared" si="60"/>
        <v>1787100</v>
      </c>
      <c r="AR38" s="199">
        <f>'[22]1. 오수관 신설(처리구역)'!$E$19</f>
        <v>4660</v>
      </c>
      <c r="AS38" s="199">
        <f t="shared" si="61"/>
        <v>1565760</v>
      </c>
      <c r="AT38" s="199">
        <f>'[22]1. 오수관 신설(처리구역)'!$E$20</f>
        <v>6040</v>
      </c>
      <c r="AU38" s="199">
        <f t="shared" si="62"/>
        <v>2029440</v>
      </c>
      <c r="AV38" s="198">
        <f t="shared" si="46"/>
        <v>1337280</v>
      </c>
      <c r="AW38" s="199">
        <v>0</v>
      </c>
      <c r="AX38" s="199">
        <f t="shared" si="63"/>
        <v>0</v>
      </c>
      <c r="AY38" s="199">
        <f>'[23]1. 오수관 신설(처리구역)'!$E$22</f>
        <v>3980</v>
      </c>
      <c r="AZ38" s="199">
        <f t="shared" si="63"/>
        <v>1337280</v>
      </c>
      <c r="BA38" s="199">
        <f>'[23]1. 오수관 신설(처리구역)'!$E$23</f>
        <v>6371</v>
      </c>
      <c r="BB38" s="200">
        <f t="shared" si="64"/>
        <v>2140656</v>
      </c>
    </row>
    <row r="39" spans="1:54" s="38" customFormat="1" ht="20.100000000000001" customHeight="1">
      <c r="A39" s="195"/>
      <c r="B39" s="196"/>
      <c r="C39" s="196"/>
      <c r="D39" s="196" t="s">
        <v>101</v>
      </c>
      <c r="E39" s="169" t="s">
        <v>100</v>
      </c>
      <c r="F39" s="197">
        <v>544</v>
      </c>
      <c r="G39" s="197">
        <v>361</v>
      </c>
      <c r="H39" s="198">
        <f>I39+AD39+AM39+AV39+BB39</f>
        <v>2427725</v>
      </c>
      <c r="I39" s="198">
        <f>L39+R39+T39+U39+AA39</f>
        <v>1469270</v>
      </c>
      <c r="J39" s="199"/>
      <c r="K39" s="199">
        <f t="shared" si="99"/>
        <v>0</v>
      </c>
      <c r="L39" s="198">
        <f t="shared" si="43"/>
        <v>0</v>
      </c>
      <c r="M39" s="199"/>
      <c r="N39" s="199">
        <f t="shared" si="48"/>
        <v>0</v>
      </c>
      <c r="O39" s="199"/>
      <c r="P39" s="199">
        <f t="shared" si="49"/>
        <v>0</v>
      </c>
      <c r="Q39" s="199"/>
      <c r="R39" s="199">
        <f t="shared" si="50"/>
        <v>0</v>
      </c>
      <c r="S39" s="199"/>
      <c r="T39" s="200">
        <f t="shared" si="51"/>
        <v>0</v>
      </c>
      <c r="U39" s="251">
        <f t="shared" si="44"/>
        <v>0</v>
      </c>
      <c r="V39" s="199"/>
      <c r="W39" s="199">
        <f t="shared" si="52"/>
        <v>0</v>
      </c>
      <c r="X39" s="199"/>
      <c r="Y39" s="199">
        <f t="shared" si="53"/>
        <v>0</v>
      </c>
      <c r="Z39" s="199">
        <f>'[23]1. 오수관 신설(처리구역)'!$M$11</f>
        <v>4070</v>
      </c>
      <c r="AA39" s="199">
        <f t="shared" si="54"/>
        <v>1469270</v>
      </c>
      <c r="AB39" s="199">
        <v>0</v>
      </c>
      <c r="AC39" s="199">
        <f>ROUND(AB39*$G39,0)</f>
        <v>0</v>
      </c>
      <c r="AD39" s="198">
        <f t="shared" si="15"/>
        <v>958455</v>
      </c>
      <c r="AE39" s="199"/>
      <c r="AF39" s="199">
        <f t="shared" si="55"/>
        <v>0</v>
      </c>
      <c r="AG39" s="199"/>
      <c r="AH39" s="199">
        <f t="shared" si="56"/>
        <v>0</v>
      </c>
      <c r="AI39" s="199">
        <f>'[22]1. 오수관 신설(처리구역)'!$M$14</f>
        <v>2655</v>
      </c>
      <c r="AJ39" s="199">
        <f t="shared" si="57"/>
        <v>958455</v>
      </c>
      <c r="AK39" s="199">
        <v>0</v>
      </c>
      <c r="AL39" s="200">
        <f t="shared" si="58"/>
        <v>0</v>
      </c>
      <c r="AM39" s="251">
        <f t="shared" si="17"/>
        <v>0</v>
      </c>
      <c r="AN39" s="199"/>
      <c r="AO39" s="199">
        <f t="shared" si="59"/>
        <v>0</v>
      </c>
      <c r="AP39" s="199"/>
      <c r="AQ39" s="199">
        <f t="shared" si="60"/>
        <v>0</v>
      </c>
      <c r="AR39" s="199">
        <f>'[22]1. 오수관 신설(처리구역)'!$F$19</f>
        <v>0</v>
      </c>
      <c r="AS39" s="199">
        <f t="shared" si="61"/>
        <v>0</v>
      </c>
      <c r="AT39" s="199">
        <f>'[22]1. 오수관 신설(처리구역)'!$F$20</f>
        <v>0</v>
      </c>
      <c r="AU39" s="199">
        <f t="shared" si="62"/>
        <v>0</v>
      </c>
      <c r="AV39" s="198">
        <f t="shared" si="46"/>
        <v>0</v>
      </c>
      <c r="AW39" s="199"/>
      <c r="AX39" s="199">
        <f t="shared" si="63"/>
        <v>0</v>
      </c>
      <c r="AY39" s="199"/>
      <c r="AZ39" s="199">
        <f t="shared" si="63"/>
        <v>0</v>
      </c>
      <c r="BA39" s="199"/>
      <c r="BB39" s="200">
        <f t="shared" si="64"/>
        <v>0</v>
      </c>
    </row>
    <row r="40" spans="1:54" s="38" customFormat="1" ht="20.100000000000001" customHeight="1">
      <c r="A40" s="195"/>
      <c r="B40" s="196"/>
      <c r="C40" s="196"/>
      <c r="D40" s="196" t="s">
        <v>102</v>
      </c>
      <c r="E40" s="169" t="s">
        <v>100</v>
      </c>
      <c r="F40" s="197">
        <v>571</v>
      </c>
      <c r="G40" s="197">
        <v>388</v>
      </c>
      <c r="H40" s="198">
        <f>I40+AD40+AM40+AV40+BB40</f>
        <v>647960</v>
      </c>
      <c r="I40" s="198">
        <f>L40+R40+T40+U40+AA40</f>
        <v>0</v>
      </c>
      <c r="J40" s="199"/>
      <c r="K40" s="199">
        <f t="shared" si="99"/>
        <v>0</v>
      </c>
      <c r="L40" s="198">
        <f t="shared" si="43"/>
        <v>0</v>
      </c>
      <c r="M40" s="199"/>
      <c r="N40" s="199">
        <f t="shared" si="48"/>
        <v>0</v>
      </c>
      <c r="O40" s="199"/>
      <c r="P40" s="199">
        <f t="shared" si="49"/>
        <v>0</v>
      </c>
      <c r="Q40" s="199"/>
      <c r="R40" s="199">
        <f t="shared" si="50"/>
        <v>0</v>
      </c>
      <c r="S40" s="199"/>
      <c r="T40" s="200">
        <f t="shared" si="51"/>
        <v>0</v>
      </c>
      <c r="U40" s="251">
        <f t="shared" si="44"/>
        <v>0</v>
      </c>
      <c r="V40" s="199"/>
      <c r="W40" s="199">
        <f t="shared" si="52"/>
        <v>0</v>
      </c>
      <c r="X40" s="199"/>
      <c r="Y40" s="199">
        <f t="shared" si="53"/>
        <v>0</v>
      </c>
      <c r="Z40" s="199"/>
      <c r="AA40" s="199">
        <f t="shared" si="54"/>
        <v>0</v>
      </c>
      <c r="AB40" s="199"/>
      <c r="AC40" s="199">
        <f>ROUND(AB40*$G40,0)</f>
        <v>0</v>
      </c>
      <c r="AD40" s="198">
        <f t="shared" si="15"/>
        <v>647960</v>
      </c>
      <c r="AE40" s="199"/>
      <c r="AF40" s="199">
        <f t="shared" si="55"/>
        <v>0</v>
      </c>
      <c r="AG40" s="199">
        <f>'[22]1. 오수관 신설(처리구역)'!$N$13</f>
        <v>1670</v>
      </c>
      <c r="AH40" s="199">
        <f t="shared" si="56"/>
        <v>647960</v>
      </c>
      <c r="AI40" s="199"/>
      <c r="AJ40" s="199">
        <f t="shared" si="57"/>
        <v>0</v>
      </c>
      <c r="AK40" s="199">
        <v>0</v>
      </c>
      <c r="AL40" s="200">
        <f t="shared" si="58"/>
        <v>0</v>
      </c>
      <c r="AM40" s="251">
        <f t="shared" si="17"/>
        <v>0</v>
      </c>
      <c r="AN40" s="199"/>
      <c r="AO40" s="199">
        <f t="shared" si="59"/>
        <v>0</v>
      </c>
      <c r="AP40" s="199"/>
      <c r="AQ40" s="199">
        <f t="shared" si="60"/>
        <v>0</v>
      </c>
      <c r="AR40" s="199"/>
      <c r="AS40" s="199">
        <f t="shared" si="61"/>
        <v>0</v>
      </c>
      <c r="AT40" s="199"/>
      <c r="AU40" s="199">
        <f t="shared" si="62"/>
        <v>0</v>
      </c>
      <c r="AV40" s="198">
        <f t="shared" si="46"/>
        <v>0</v>
      </c>
      <c r="AW40" s="199"/>
      <c r="AX40" s="199">
        <f t="shared" si="63"/>
        <v>0</v>
      </c>
      <c r="AY40" s="199"/>
      <c r="AZ40" s="199">
        <f t="shared" si="63"/>
        <v>0</v>
      </c>
      <c r="BA40" s="199"/>
      <c r="BB40" s="200">
        <f t="shared" si="64"/>
        <v>0</v>
      </c>
    </row>
    <row r="41" spans="1:54" s="49" customFormat="1" ht="20.100000000000001" customHeight="1">
      <c r="A41" s="177"/>
      <c r="B41" s="450" t="s">
        <v>136</v>
      </c>
      <c r="C41" s="450"/>
      <c r="D41" s="450"/>
      <c r="E41" s="178"/>
      <c r="F41" s="179"/>
      <c r="G41" s="179"/>
      <c r="H41" s="180">
        <f t="shared" ref="H41:T41" si="100">H42+H55+H67</f>
        <v>11517346</v>
      </c>
      <c r="I41" s="180">
        <f t="shared" si="100"/>
        <v>5726066</v>
      </c>
      <c r="J41" s="180">
        <f t="shared" ref="J41:K41" si="101">J42+J55+J67</f>
        <v>0</v>
      </c>
      <c r="K41" s="180">
        <f t="shared" si="101"/>
        <v>0</v>
      </c>
      <c r="L41" s="206">
        <f t="shared" si="43"/>
        <v>0</v>
      </c>
      <c r="M41" s="180">
        <f t="shared" si="100"/>
        <v>0</v>
      </c>
      <c r="N41" s="180">
        <f t="shared" si="100"/>
        <v>0</v>
      </c>
      <c r="O41" s="180">
        <f t="shared" ref="O41" si="102">O42+O55+O67</f>
        <v>0</v>
      </c>
      <c r="P41" s="180">
        <f t="shared" ref="P41" si="103">P42+P55+P67</f>
        <v>0</v>
      </c>
      <c r="Q41" s="180">
        <f t="shared" si="100"/>
        <v>4975</v>
      </c>
      <c r="R41" s="180">
        <f t="shared" si="100"/>
        <v>4265183</v>
      </c>
      <c r="S41" s="180">
        <f t="shared" si="100"/>
        <v>0</v>
      </c>
      <c r="T41" s="181">
        <f t="shared" si="100"/>
        <v>0</v>
      </c>
      <c r="U41" s="253">
        <f t="shared" si="44"/>
        <v>1460883</v>
      </c>
      <c r="V41" s="180">
        <f t="shared" ref="V41:AA41" si="104">V42+V55+V67</f>
        <v>1831</v>
      </c>
      <c r="W41" s="180">
        <f t="shared" si="104"/>
        <v>1460883</v>
      </c>
      <c r="X41" s="180">
        <f t="shared" si="104"/>
        <v>0</v>
      </c>
      <c r="Y41" s="180">
        <f t="shared" si="104"/>
        <v>0</v>
      </c>
      <c r="Z41" s="180">
        <f t="shared" si="104"/>
        <v>0</v>
      </c>
      <c r="AA41" s="180">
        <f t="shared" si="104"/>
        <v>0</v>
      </c>
      <c r="AB41" s="180">
        <f t="shared" ref="AB41:AC41" si="105">AB42+AB55+AB67</f>
        <v>0</v>
      </c>
      <c r="AC41" s="180">
        <f t="shared" si="105"/>
        <v>0</v>
      </c>
      <c r="AD41" s="206">
        <f t="shared" si="15"/>
        <v>3730328</v>
      </c>
      <c r="AE41" s="180">
        <f t="shared" ref="AE41:AL41" si="106">AE42+AE55+AE67</f>
        <v>3785</v>
      </c>
      <c r="AF41" s="180">
        <f t="shared" si="106"/>
        <v>3037575</v>
      </c>
      <c r="AG41" s="180">
        <f t="shared" si="106"/>
        <v>659</v>
      </c>
      <c r="AH41" s="180">
        <f t="shared" si="106"/>
        <v>385871</v>
      </c>
      <c r="AI41" s="180">
        <f t="shared" si="106"/>
        <v>192</v>
      </c>
      <c r="AJ41" s="180">
        <f t="shared" si="106"/>
        <v>118586</v>
      </c>
      <c r="AK41" s="180">
        <f t="shared" si="106"/>
        <v>149</v>
      </c>
      <c r="AL41" s="181">
        <f t="shared" si="106"/>
        <v>188296</v>
      </c>
      <c r="AM41" s="253">
        <f t="shared" si="17"/>
        <v>1419740</v>
      </c>
      <c r="AN41" s="180">
        <f t="shared" ref="AN41:BB41" si="107">AN42+AN55+AN67</f>
        <v>323</v>
      </c>
      <c r="AO41" s="180">
        <f t="shared" si="107"/>
        <v>302877</v>
      </c>
      <c r="AP41" s="180">
        <f t="shared" si="107"/>
        <v>1327</v>
      </c>
      <c r="AQ41" s="180">
        <f t="shared" si="107"/>
        <v>1116863</v>
      </c>
      <c r="AR41" s="180">
        <f t="shared" si="107"/>
        <v>0</v>
      </c>
      <c r="AS41" s="180">
        <f t="shared" si="107"/>
        <v>0</v>
      </c>
      <c r="AT41" s="180">
        <f t="shared" si="107"/>
        <v>0</v>
      </c>
      <c r="AU41" s="180">
        <f t="shared" si="107"/>
        <v>0</v>
      </c>
      <c r="AV41" s="206">
        <f t="shared" si="46"/>
        <v>457712</v>
      </c>
      <c r="AW41" s="180">
        <f t="shared" si="107"/>
        <v>818</v>
      </c>
      <c r="AX41" s="180">
        <f t="shared" si="107"/>
        <v>457712</v>
      </c>
      <c r="AY41" s="180">
        <f t="shared" ref="AY41" si="108">AY42+AY55+AY67</f>
        <v>0</v>
      </c>
      <c r="AZ41" s="180">
        <f t="shared" ref="AZ41" si="109">AZ42+AZ55+AZ67</f>
        <v>0</v>
      </c>
      <c r="BA41" s="180">
        <f t="shared" si="107"/>
        <v>328</v>
      </c>
      <c r="BB41" s="181">
        <f t="shared" si="107"/>
        <v>183500</v>
      </c>
    </row>
    <row r="42" spans="1:54" s="47" customFormat="1" ht="20.100000000000001" customHeight="1">
      <c r="A42" s="188"/>
      <c r="B42" s="189"/>
      <c r="C42" s="189"/>
      <c r="D42" s="189" t="s">
        <v>135</v>
      </c>
      <c r="E42" s="191"/>
      <c r="F42" s="192"/>
      <c r="G42" s="192"/>
      <c r="H42" s="193">
        <f t="shared" ref="H42:T42" si="110">SUM(H43:H54)</f>
        <v>9214013</v>
      </c>
      <c r="I42" s="193">
        <f t="shared" si="110"/>
        <v>4606024</v>
      </c>
      <c r="J42" s="193">
        <f t="shared" ref="J42:K42" si="111">SUM(J43:J54)</f>
        <v>0</v>
      </c>
      <c r="K42" s="193">
        <f t="shared" si="111"/>
        <v>0</v>
      </c>
      <c r="L42" s="207">
        <f t="shared" si="43"/>
        <v>0</v>
      </c>
      <c r="M42" s="193">
        <f t="shared" si="110"/>
        <v>0</v>
      </c>
      <c r="N42" s="193">
        <f t="shared" si="110"/>
        <v>0</v>
      </c>
      <c r="O42" s="193">
        <f t="shared" ref="O42" si="112">SUM(O43:O54)</f>
        <v>0</v>
      </c>
      <c r="P42" s="193">
        <f t="shared" ref="P42" si="113">SUM(P43:P54)</f>
        <v>0</v>
      </c>
      <c r="Q42" s="193">
        <f t="shared" si="110"/>
        <v>4260</v>
      </c>
      <c r="R42" s="193">
        <f t="shared" si="110"/>
        <v>3430131</v>
      </c>
      <c r="S42" s="193">
        <f t="shared" si="110"/>
        <v>0</v>
      </c>
      <c r="T42" s="194">
        <f t="shared" si="110"/>
        <v>0</v>
      </c>
      <c r="U42" s="254">
        <f t="shared" si="44"/>
        <v>1175893</v>
      </c>
      <c r="V42" s="193">
        <f t="shared" ref="V42:AA42" si="114">SUM(V43:V54)</f>
        <v>1567</v>
      </c>
      <c r="W42" s="193">
        <f t="shared" si="114"/>
        <v>1175893</v>
      </c>
      <c r="X42" s="193">
        <f t="shared" si="114"/>
        <v>0</v>
      </c>
      <c r="Y42" s="193">
        <f t="shared" si="114"/>
        <v>0</v>
      </c>
      <c r="Z42" s="193">
        <f t="shared" si="114"/>
        <v>0</v>
      </c>
      <c r="AA42" s="193">
        <f t="shared" si="114"/>
        <v>0</v>
      </c>
      <c r="AB42" s="193">
        <f t="shared" ref="AB42:AC42" si="115">SUM(AB43:AB54)</f>
        <v>0</v>
      </c>
      <c r="AC42" s="193">
        <f t="shared" si="115"/>
        <v>0</v>
      </c>
      <c r="AD42" s="207">
        <f t="shared" si="15"/>
        <v>2976704</v>
      </c>
      <c r="AE42" s="193">
        <f t="shared" ref="AE42:AL42" si="116">SUM(AE43:AE54)</f>
        <v>3242</v>
      </c>
      <c r="AF42" s="193">
        <f t="shared" si="116"/>
        <v>2447278</v>
      </c>
      <c r="AG42" s="193">
        <f t="shared" si="116"/>
        <v>564</v>
      </c>
      <c r="AH42" s="193">
        <f t="shared" si="116"/>
        <v>292520</v>
      </c>
      <c r="AI42" s="193">
        <f t="shared" si="116"/>
        <v>165</v>
      </c>
      <c r="AJ42" s="193">
        <f t="shared" si="116"/>
        <v>90508</v>
      </c>
      <c r="AK42" s="193">
        <f t="shared" si="116"/>
        <v>128</v>
      </c>
      <c r="AL42" s="194">
        <f t="shared" si="116"/>
        <v>146398</v>
      </c>
      <c r="AM42" s="254">
        <f t="shared" si="17"/>
        <v>1141688</v>
      </c>
      <c r="AN42" s="193">
        <f t="shared" ref="AN42:BB42" si="117">SUM(AN43:AN54)</f>
        <v>277</v>
      </c>
      <c r="AO42" s="193">
        <f t="shared" si="117"/>
        <v>242066</v>
      </c>
      <c r="AP42" s="193">
        <f t="shared" si="117"/>
        <v>1140</v>
      </c>
      <c r="AQ42" s="193">
        <f t="shared" si="117"/>
        <v>899622</v>
      </c>
      <c r="AR42" s="193">
        <f t="shared" si="117"/>
        <v>0</v>
      </c>
      <c r="AS42" s="193">
        <f t="shared" si="117"/>
        <v>0</v>
      </c>
      <c r="AT42" s="193">
        <f t="shared" si="117"/>
        <v>0</v>
      </c>
      <c r="AU42" s="193">
        <f t="shared" si="117"/>
        <v>0</v>
      </c>
      <c r="AV42" s="207">
        <f t="shared" si="46"/>
        <v>351299</v>
      </c>
      <c r="AW42" s="193">
        <f t="shared" si="117"/>
        <v>701</v>
      </c>
      <c r="AX42" s="193">
        <f t="shared" si="117"/>
        <v>351299</v>
      </c>
      <c r="AY42" s="193">
        <f t="shared" ref="AY42" si="118">SUM(AY43:AY54)</f>
        <v>0</v>
      </c>
      <c r="AZ42" s="193">
        <f t="shared" ref="AZ42" si="119">SUM(AZ43:AZ54)</f>
        <v>0</v>
      </c>
      <c r="BA42" s="193">
        <f t="shared" si="117"/>
        <v>280</v>
      </c>
      <c r="BB42" s="194">
        <f t="shared" si="117"/>
        <v>138298</v>
      </c>
    </row>
    <row r="43" spans="1:54" s="38" customFormat="1" ht="20.100000000000001" customHeight="1">
      <c r="A43" s="201"/>
      <c r="B43" s="196"/>
      <c r="C43" s="196"/>
      <c r="D43" s="196" t="s">
        <v>99</v>
      </c>
      <c r="E43" s="169" t="s">
        <v>100</v>
      </c>
      <c r="F43" s="197">
        <v>489</v>
      </c>
      <c r="G43" s="197">
        <v>320</v>
      </c>
      <c r="H43" s="198">
        <f t="shared" ref="H43:H54" si="120">I43+AD43+AM43+AV43+BB43</f>
        <v>4401</v>
      </c>
      <c r="I43" s="198">
        <f t="shared" ref="I43:I54" si="121">L43+R43+T43+U43+AA43</f>
        <v>0</v>
      </c>
      <c r="J43" s="199"/>
      <c r="K43" s="199">
        <f t="shared" ref="K43:K54" si="122">ROUND(J43*$F43,0)</f>
        <v>0</v>
      </c>
      <c r="L43" s="198">
        <f t="shared" si="43"/>
        <v>0</v>
      </c>
      <c r="M43" s="199"/>
      <c r="N43" s="199">
        <f t="shared" si="48"/>
        <v>0</v>
      </c>
      <c r="O43" s="199"/>
      <c r="P43" s="199">
        <f t="shared" si="49"/>
        <v>0</v>
      </c>
      <c r="Q43" s="199"/>
      <c r="R43" s="199">
        <f t="shared" si="50"/>
        <v>0</v>
      </c>
      <c r="S43" s="199"/>
      <c r="T43" s="200">
        <f t="shared" si="51"/>
        <v>0</v>
      </c>
      <c r="U43" s="251">
        <f t="shared" si="44"/>
        <v>0</v>
      </c>
      <c r="V43" s="199"/>
      <c r="W43" s="199">
        <f t="shared" si="52"/>
        <v>0</v>
      </c>
      <c r="X43" s="199"/>
      <c r="Y43" s="199">
        <f t="shared" si="53"/>
        <v>0</v>
      </c>
      <c r="Z43" s="199"/>
      <c r="AA43" s="199">
        <f t="shared" si="54"/>
        <v>0</v>
      </c>
      <c r="AB43" s="199"/>
      <c r="AC43" s="199">
        <f t="shared" ref="AC43:AC54" si="123">ROUND(AB43*$G43,0)</f>
        <v>0</v>
      </c>
      <c r="AD43" s="198">
        <f t="shared" si="15"/>
        <v>0</v>
      </c>
      <c r="AE43" s="199"/>
      <c r="AF43" s="199">
        <f t="shared" si="55"/>
        <v>0</v>
      </c>
      <c r="AG43" s="199"/>
      <c r="AH43" s="199">
        <f t="shared" si="56"/>
        <v>0</v>
      </c>
      <c r="AI43" s="199"/>
      <c r="AJ43" s="199">
        <f t="shared" si="57"/>
        <v>0</v>
      </c>
      <c r="AK43" s="199"/>
      <c r="AL43" s="200">
        <f t="shared" si="58"/>
        <v>0</v>
      </c>
      <c r="AM43" s="251">
        <f t="shared" si="17"/>
        <v>4401</v>
      </c>
      <c r="AN43" s="199"/>
      <c r="AO43" s="199">
        <f t="shared" si="59"/>
        <v>0</v>
      </c>
      <c r="AP43" s="199">
        <v>9</v>
      </c>
      <c r="AQ43" s="199">
        <f t="shared" si="60"/>
        <v>4401</v>
      </c>
      <c r="AR43" s="199"/>
      <c r="AS43" s="199">
        <f t="shared" si="61"/>
        <v>0</v>
      </c>
      <c r="AT43" s="199"/>
      <c r="AU43" s="199">
        <f t="shared" si="62"/>
        <v>0</v>
      </c>
      <c r="AV43" s="198">
        <f t="shared" si="46"/>
        <v>0</v>
      </c>
      <c r="AW43" s="199"/>
      <c r="AX43" s="199">
        <f t="shared" si="63"/>
        <v>0</v>
      </c>
      <c r="AY43" s="199"/>
      <c r="AZ43" s="199">
        <f t="shared" si="63"/>
        <v>0</v>
      </c>
      <c r="BA43" s="199"/>
      <c r="BB43" s="200">
        <f t="shared" si="64"/>
        <v>0</v>
      </c>
    </row>
    <row r="44" spans="1:54" s="38" customFormat="1" ht="20.100000000000001" customHeight="1">
      <c r="A44" s="201"/>
      <c r="B44" s="196"/>
      <c r="C44" s="196"/>
      <c r="D44" s="196" t="s">
        <v>101</v>
      </c>
      <c r="E44" s="169" t="s">
        <v>100</v>
      </c>
      <c r="F44" s="197">
        <v>503</v>
      </c>
      <c r="G44" s="197">
        <v>333</v>
      </c>
      <c r="H44" s="198">
        <f t="shared" si="120"/>
        <v>13078</v>
      </c>
      <c r="I44" s="198">
        <f t="shared" si="121"/>
        <v>5030</v>
      </c>
      <c r="J44" s="199"/>
      <c r="K44" s="199">
        <f t="shared" si="122"/>
        <v>0</v>
      </c>
      <c r="L44" s="198">
        <f t="shared" si="43"/>
        <v>0</v>
      </c>
      <c r="M44" s="199"/>
      <c r="N44" s="199">
        <f t="shared" si="48"/>
        <v>0</v>
      </c>
      <c r="O44" s="199"/>
      <c r="P44" s="199">
        <f t="shared" si="49"/>
        <v>0</v>
      </c>
      <c r="Q44" s="199"/>
      <c r="R44" s="199">
        <f t="shared" si="50"/>
        <v>0</v>
      </c>
      <c r="S44" s="199"/>
      <c r="T44" s="200">
        <f t="shared" si="51"/>
        <v>0</v>
      </c>
      <c r="U44" s="251">
        <f t="shared" si="44"/>
        <v>5030</v>
      </c>
      <c r="V44" s="199">
        <v>10</v>
      </c>
      <c r="W44" s="199">
        <f t="shared" si="52"/>
        <v>5030</v>
      </c>
      <c r="X44" s="199"/>
      <c r="Y44" s="199">
        <f t="shared" si="53"/>
        <v>0</v>
      </c>
      <c r="Z44" s="199"/>
      <c r="AA44" s="199">
        <f t="shared" si="54"/>
        <v>0</v>
      </c>
      <c r="AB44" s="199"/>
      <c r="AC44" s="199">
        <f t="shared" si="123"/>
        <v>0</v>
      </c>
      <c r="AD44" s="198">
        <f t="shared" si="15"/>
        <v>0</v>
      </c>
      <c r="AE44" s="199"/>
      <c r="AF44" s="199">
        <f t="shared" si="55"/>
        <v>0</v>
      </c>
      <c r="AG44" s="199"/>
      <c r="AH44" s="199">
        <f t="shared" si="56"/>
        <v>0</v>
      </c>
      <c r="AI44" s="199"/>
      <c r="AJ44" s="199">
        <f t="shared" si="57"/>
        <v>0</v>
      </c>
      <c r="AK44" s="199"/>
      <c r="AL44" s="200">
        <f t="shared" si="58"/>
        <v>0</v>
      </c>
      <c r="AM44" s="251">
        <f t="shared" si="17"/>
        <v>8048</v>
      </c>
      <c r="AN44" s="199"/>
      <c r="AO44" s="199">
        <f t="shared" si="59"/>
        <v>0</v>
      </c>
      <c r="AP44" s="199">
        <v>16</v>
      </c>
      <c r="AQ44" s="199">
        <f t="shared" si="60"/>
        <v>8048</v>
      </c>
      <c r="AR44" s="199"/>
      <c r="AS44" s="199">
        <f t="shared" si="61"/>
        <v>0</v>
      </c>
      <c r="AT44" s="199"/>
      <c r="AU44" s="199">
        <f t="shared" si="62"/>
        <v>0</v>
      </c>
      <c r="AV44" s="198">
        <f t="shared" si="46"/>
        <v>0</v>
      </c>
      <c r="AW44" s="199"/>
      <c r="AX44" s="199">
        <f t="shared" si="63"/>
        <v>0</v>
      </c>
      <c r="AY44" s="199"/>
      <c r="AZ44" s="199">
        <f t="shared" si="63"/>
        <v>0</v>
      </c>
      <c r="BA44" s="199"/>
      <c r="BB44" s="200">
        <f t="shared" si="64"/>
        <v>0</v>
      </c>
    </row>
    <row r="45" spans="1:54" s="38" customFormat="1" ht="20.100000000000001" customHeight="1">
      <c r="A45" s="201"/>
      <c r="B45" s="196"/>
      <c r="C45" s="196"/>
      <c r="D45" s="196" t="s">
        <v>102</v>
      </c>
      <c r="E45" s="169" t="s">
        <v>100</v>
      </c>
      <c r="F45" s="197">
        <v>520</v>
      </c>
      <c r="G45" s="197">
        <v>349</v>
      </c>
      <c r="H45" s="198">
        <f t="shared" si="120"/>
        <v>322466</v>
      </c>
      <c r="I45" s="198">
        <f t="shared" si="121"/>
        <v>68640</v>
      </c>
      <c r="J45" s="199"/>
      <c r="K45" s="199">
        <f t="shared" si="122"/>
        <v>0</v>
      </c>
      <c r="L45" s="198">
        <f t="shared" si="43"/>
        <v>0</v>
      </c>
      <c r="M45" s="199"/>
      <c r="N45" s="199">
        <f t="shared" si="48"/>
        <v>0</v>
      </c>
      <c r="O45" s="199"/>
      <c r="P45" s="199">
        <f t="shared" si="49"/>
        <v>0</v>
      </c>
      <c r="Q45" s="199">
        <v>108</v>
      </c>
      <c r="R45" s="199">
        <f t="shared" si="50"/>
        <v>56160</v>
      </c>
      <c r="S45" s="199"/>
      <c r="T45" s="200">
        <f t="shared" si="51"/>
        <v>0</v>
      </c>
      <c r="U45" s="251">
        <f t="shared" si="44"/>
        <v>12480</v>
      </c>
      <c r="V45" s="199">
        <v>24</v>
      </c>
      <c r="W45" s="199">
        <f t="shared" si="52"/>
        <v>12480</v>
      </c>
      <c r="X45" s="199"/>
      <c r="Y45" s="199">
        <f t="shared" si="53"/>
        <v>0</v>
      </c>
      <c r="Z45" s="199"/>
      <c r="AA45" s="199">
        <f t="shared" si="54"/>
        <v>0</v>
      </c>
      <c r="AB45" s="199"/>
      <c r="AC45" s="199">
        <f t="shared" si="123"/>
        <v>0</v>
      </c>
      <c r="AD45" s="198">
        <f t="shared" si="15"/>
        <v>75474</v>
      </c>
      <c r="AE45" s="199">
        <v>74</v>
      </c>
      <c r="AF45" s="199">
        <f t="shared" si="55"/>
        <v>38480</v>
      </c>
      <c r="AG45" s="199">
        <v>84</v>
      </c>
      <c r="AH45" s="199">
        <f t="shared" si="56"/>
        <v>29316</v>
      </c>
      <c r="AI45" s="199">
        <v>22</v>
      </c>
      <c r="AJ45" s="199">
        <f t="shared" si="57"/>
        <v>7678</v>
      </c>
      <c r="AK45" s="199"/>
      <c r="AL45" s="200">
        <f t="shared" si="58"/>
        <v>0</v>
      </c>
      <c r="AM45" s="251">
        <f t="shared" si="17"/>
        <v>49920</v>
      </c>
      <c r="AN45" s="199">
        <v>12</v>
      </c>
      <c r="AO45" s="199">
        <f t="shared" si="59"/>
        <v>6240</v>
      </c>
      <c r="AP45" s="199">
        <v>84</v>
      </c>
      <c r="AQ45" s="199">
        <f t="shared" si="60"/>
        <v>43680</v>
      </c>
      <c r="AR45" s="199"/>
      <c r="AS45" s="199">
        <f t="shared" si="61"/>
        <v>0</v>
      </c>
      <c r="AT45" s="199"/>
      <c r="AU45" s="199">
        <f t="shared" si="62"/>
        <v>0</v>
      </c>
      <c r="AV45" s="198">
        <f t="shared" si="46"/>
        <v>119358</v>
      </c>
      <c r="AW45" s="199">
        <v>342</v>
      </c>
      <c r="AX45" s="199">
        <f t="shared" si="63"/>
        <v>119358</v>
      </c>
      <c r="AY45" s="199"/>
      <c r="AZ45" s="199">
        <f t="shared" si="63"/>
        <v>0</v>
      </c>
      <c r="BA45" s="199">
        <v>26</v>
      </c>
      <c r="BB45" s="200">
        <f t="shared" si="64"/>
        <v>9074</v>
      </c>
    </row>
    <row r="46" spans="1:54" s="38" customFormat="1" ht="20.100000000000001" customHeight="1">
      <c r="A46" s="201"/>
      <c r="B46" s="196"/>
      <c r="C46" s="196"/>
      <c r="D46" s="196" t="s">
        <v>103</v>
      </c>
      <c r="E46" s="169" t="s">
        <v>100</v>
      </c>
      <c r="F46" s="197">
        <v>567</v>
      </c>
      <c r="G46" s="197">
        <v>394</v>
      </c>
      <c r="H46" s="198">
        <f t="shared" si="120"/>
        <v>860704</v>
      </c>
      <c r="I46" s="198">
        <f t="shared" si="121"/>
        <v>751842</v>
      </c>
      <c r="J46" s="199"/>
      <c r="K46" s="199">
        <f t="shared" si="122"/>
        <v>0</v>
      </c>
      <c r="L46" s="198">
        <f t="shared" si="43"/>
        <v>0</v>
      </c>
      <c r="M46" s="199"/>
      <c r="N46" s="199">
        <f t="shared" si="48"/>
        <v>0</v>
      </c>
      <c r="O46" s="199"/>
      <c r="P46" s="199">
        <f t="shared" si="49"/>
        <v>0</v>
      </c>
      <c r="Q46" s="199">
        <v>989</v>
      </c>
      <c r="R46" s="199">
        <f t="shared" si="50"/>
        <v>560763</v>
      </c>
      <c r="S46" s="199"/>
      <c r="T46" s="200">
        <f t="shared" si="51"/>
        <v>0</v>
      </c>
      <c r="U46" s="251">
        <f t="shared" si="44"/>
        <v>191079</v>
      </c>
      <c r="V46" s="199">
        <v>337</v>
      </c>
      <c r="W46" s="199">
        <f t="shared" si="52"/>
        <v>191079</v>
      </c>
      <c r="X46" s="199"/>
      <c r="Y46" s="199">
        <f t="shared" si="53"/>
        <v>0</v>
      </c>
      <c r="Z46" s="199"/>
      <c r="AA46" s="199">
        <f t="shared" si="54"/>
        <v>0</v>
      </c>
      <c r="AB46" s="199"/>
      <c r="AC46" s="199">
        <f t="shared" si="123"/>
        <v>0</v>
      </c>
      <c r="AD46" s="198">
        <f t="shared" si="15"/>
        <v>58112</v>
      </c>
      <c r="AE46" s="199">
        <v>74</v>
      </c>
      <c r="AF46" s="199">
        <f t="shared" si="55"/>
        <v>41958</v>
      </c>
      <c r="AG46" s="199">
        <v>41</v>
      </c>
      <c r="AH46" s="199">
        <f t="shared" si="56"/>
        <v>16154</v>
      </c>
      <c r="AI46" s="199"/>
      <c r="AJ46" s="199">
        <f t="shared" si="57"/>
        <v>0</v>
      </c>
      <c r="AK46" s="199"/>
      <c r="AL46" s="200">
        <f t="shared" si="58"/>
        <v>0</v>
      </c>
      <c r="AM46" s="251">
        <f t="shared" si="17"/>
        <v>20412</v>
      </c>
      <c r="AN46" s="199"/>
      <c r="AO46" s="199">
        <f t="shared" si="59"/>
        <v>0</v>
      </c>
      <c r="AP46" s="199">
        <v>36</v>
      </c>
      <c r="AQ46" s="199">
        <f t="shared" si="60"/>
        <v>20412</v>
      </c>
      <c r="AR46" s="199"/>
      <c r="AS46" s="199">
        <f t="shared" si="61"/>
        <v>0</v>
      </c>
      <c r="AT46" s="199"/>
      <c r="AU46" s="199">
        <f t="shared" si="62"/>
        <v>0</v>
      </c>
      <c r="AV46" s="198">
        <f t="shared" si="46"/>
        <v>17730</v>
      </c>
      <c r="AW46" s="199">
        <v>45</v>
      </c>
      <c r="AX46" s="199">
        <f t="shared" si="63"/>
        <v>17730</v>
      </c>
      <c r="AY46" s="199"/>
      <c r="AZ46" s="199">
        <f t="shared" si="63"/>
        <v>0</v>
      </c>
      <c r="BA46" s="199">
        <v>32</v>
      </c>
      <c r="BB46" s="200">
        <f t="shared" si="64"/>
        <v>12608</v>
      </c>
    </row>
    <row r="47" spans="1:54" s="38" customFormat="1" ht="20.100000000000001" customHeight="1">
      <c r="A47" s="201"/>
      <c r="B47" s="196"/>
      <c r="C47" s="196"/>
      <c r="D47" s="196" t="s">
        <v>104</v>
      </c>
      <c r="E47" s="169" t="s">
        <v>100</v>
      </c>
      <c r="F47" s="197">
        <v>597</v>
      </c>
      <c r="G47" s="197">
        <v>427</v>
      </c>
      <c r="H47" s="198">
        <f t="shared" si="120"/>
        <v>899044</v>
      </c>
      <c r="I47" s="198">
        <f t="shared" si="121"/>
        <v>245964</v>
      </c>
      <c r="J47" s="199"/>
      <c r="K47" s="199">
        <f t="shared" si="122"/>
        <v>0</v>
      </c>
      <c r="L47" s="198">
        <f t="shared" si="43"/>
        <v>0</v>
      </c>
      <c r="M47" s="199"/>
      <c r="N47" s="199">
        <f t="shared" si="48"/>
        <v>0</v>
      </c>
      <c r="O47" s="199"/>
      <c r="P47" s="199">
        <f t="shared" si="49"/>
        <v>0</v>
      </c>
      <c r="Q47" s="199">
        <v>273</v>
      </c>
      <c r="R47" s="199">
        <f t="shared" si="50"/>
        <v>162981</v>
      </c>
      <c r="S47" s="199"/>
      <c r="T47" s="200">
        <f t="shared" si="51"/>
        <v>0</v>
      </c>
      <c r="U47" s="251">
        <f t="shared" si="44"/>
        <v>82983</v>
      </c>
      <c r="V47" s="199">
        <v>139</v>
      </c>
      <c r="W47" s="199">
        <f t="shared" si="52"/>
        <v>82983</v>
      </c>
      <c r="X47" s="199"/>
      <c r="Y47" s="199">
        <f t="shared" si="53"/>
        <v>0</v>
      </c>
      <c r="Z47" s="199"/>
      <c r="AA47" s="199">
        <f t="shared" si="54"/>
        <v>0</v>
      </c>
      <c r="AB47" s="199"/>
      <c r="AC47" s="199">
        <f t="shared" si="123"/>
        <v>0</v>
      </c>
      <c r="AD47" s="198">
        <f t="shared" si="15"/>
        <v>602845</v>
      </c>
      <c r="AE47" s="199">
        <v>846</v>
      </c>
      <c r="AF47" s="199">
        <f t="shared" si="55"/>
        <v>505062</v>
      </c>
      <c r="AG47" s="199">
        <v>209</v>
      </c>
      <c r="AH47" s="199">
        <f t="shared" si="56"/>
        <v>89243</v>
      </c>
      <c r="AI47" s="199">
        <v>20</v>
      </c>
      <c r="AJ47" s="199">
        <f t="shared" si="57"/>
        <v>8540</v>
      </c>
      <c r="AK47" s="199"/>
      <c r="AL47" s="200">
        <f t="shared" si="58"/>
        <v>0</v>
      </c>
      <c r="AM47" s="251">
        <f t="shared" si="17"/>
        <v>48954</v>
      </c>
      <c r="AN47" s="199"/>
      <c r="AO47" s="199">
        <f t="shared" si="59"/>
        <v>0</v>
      </c>
      <c r="AP47" s="199">
        <v>82</v>
      </c>
      <c r="AQ47" s="199">
        <f t="shared" si="60"/>
        <v>48954</v>
      </c>
      <c r="AR47" s="199"/>
      <c r="AS47" s="199">
        <f t="shared" si="61"/>
        <v>0</v>
      </c>
      <c r="AT47" s="199"/>
      <c r="AU47" s="199">
        <f t="shared" si="62"/>
        <v>0</v>
      </c>
      <c r="AV47" s="198">
        <f t="shared" si="46"/>
        <v>0</v>
      </c>
      <c r="AW47" s="199"/>
      <c r="AX47" s="199">
        <f t="shared" si="63"/>
        <v>0</v>
      </c>
      <c r="AY47" s="199"/>
      <c r="AZ47" s="199">
        <f t="shared" si="63"/>
        <v>0</v>
      </c>
      <c r="BA47" s="199">
        <v>3</v>
      </c>
      <c r="BB47" s="200">
        <f t="shared" si="64"/>
        <v>1281</v>
      </c>
    </row>
    <row r="48" spans="1:54" s="38" customFormat="1" ht="20.100000000000001" customHeight="1">
      <c r="A48" s="201"/>
      <c r="B48" s="196"/>
      <c r="C48" s="196"/>
      <c r="D48" s="196" t="s">
        <v>105</v>
      </c>
      <c r="E48" s="169" t="s">
        <v>100</v>
      </c>
      <c r="F48" s="197">
        <v>660</v>
      </c>
      <c r="G48" s="197">
        <v>490</v>
      </c>
      <c r="H48" s="198">
        <f t="shared" si="120"/>
        <v>1131730</v>
      </c>
      <c r="I48" s="198">
        <f t="shared" si="121"/>
        <v>364980</v>
      </c>
      <c r="J48" s="199"/>
      <c r="K48" s="199">
        <f t="shared" si="122"/>
        <v>0</v>
      </c>
      <c r="L48" s="198">
        <f t="shared" si="43"/>
        <v>0</v>
      </c>
      <c r="M48" s="199"/>
      <c r="N48" s="199">
        <f t="shared" si="48"/>
        <v>0</v>
      </c>
      <c r="O48" s="199"/>
      <c r="P48" s="199">
        <f t="shared" si="49"/>
        <v>0</v>
      </c>
      <c r="Q48" s="199">
        <v>470</v>
      </c>
      <c r="R48" s="199">
        <f t="shared" si="50"/>
        <v>310200</v>
      </c>
      <c r="S48" s="199"/>
      <c r="T48" s="200">
        <f t="shared" si="51"/>
        <v>0</v>
      </c>
      <c r="U48" s="251">
        <f t="shared" si="44"/>
        <v>54780</v>
      </c>
      <c r="V48" s="199">
        <v>83</v>
      </c>
      <c r="W48" s="199">
        <f t="shared" si="52"/>
        <v>54780</v>
      </c>
      <c r="X48" s="199"/>
      <c r="Y48" s="199">
        <f t="shared" si="53"/>
        <v>0</v>
      </c>
      <c r="Z48" s="199"/>
      <c r="AA48" s="199">
        <f t="shared" si="54"/>
        <v>0</v>
      </c>
      <c r="AB48" s="199"/>
      <c r="AC48" s="199">
        <f t="shared" si="123"/>
        <v>0</v>
      </c>
      <c r="AD48" s="198">
        <f t="shared" si="15"/>
        <v>587690</v>
      </c>
      <c r="AE48" s="199">
        <v>811</v>
      </c>
      <c r="AF48" s="199">
        <f t="shared" si="55"/>
        <v>535260</v>
      </c>
      <c r="AG48" s="199">
        <v>64</v>
      </c>
      <c r="AH48" s="199">
        <f t="shared" si="56"/>
        <v>31360</v>
      </c>
      <c r="AI48" s="199">
        <v>43</v>
      </c>
      <c r="AJ48" s="199">
        <f t="shared" si="57"/>
        <v>21070</v>
      </c>
      <c r="AK48" s="199"/>
      <c r="AL48" s="200">
        <f t="shared" si="58"/>
        <v>0</v>
      </c>
      <c r="AM48" s="251">
        <f t="shared" si="17"/>
        <v>69300</v>
      </c>
      <c r="AN48" s="199">
        <v>15</v>
      </c>
      <c r="AO48" s="199">
        <f t="shared" si="59"/>
        <v>9900</v>
      </c>
      <c r="AP48" s="199">
        <v>90</v>
      </c>
      <c r="AQ48" s="199">
        <f t="shared" si="60"/>
        <v>59400</v>
      </c>
      <c r="AR48" s="199"/>
      <c r="AS48" s="199">
        <f t="shared" si="61"/>
        <v>0</v>
      </c>
      <c r="AT48" s="199"/>
      <c r="AU48" s="199">
        <f t="shared" si="62"/>
        <v>0</v>
      </c>
      <c r="AV48" s="198">
        <f t="shared" si="46"/>
        <v>46060</v>
      </c>
      <c r="AW48" s="199">
        <v>94</v>
      </c>
      <c r="AX48" s="199">
        <f t="shared" si="63"/>
        <v>46060</v>
      </c>
      <c r="AY48" s="199"/>
      <c r="AZ48" s="199">
        <f t="shared" si="63"/>
        <v>0</v>
      </c>
      <c r="BA48" s="199">
        <v>130</v>
      </c>
      <c r="BB48" s="200">
        <f t="shared" si="64"/>
        <v>63700</v>
      </c>
    </row>
    <row r="49" spans="1:54" s="38" customFormat="1" ht="20.100000000000001" customHeight="1">
      <c r="A49" s="201"/>
      <c r="B49" s="196"/>
      <c r="C49" s="196"/>
      <c r="D49" s="196" t="s">
        <v>106</v>
      </c>
      <c r="E49" s="169" t="s">
        <v>100</v>
      </c>
      <c r="F49" s="197">
        <v>744</v>
      </c>
      <c r="G49" s="197">
        <v>553</v>
      </c>
      <c r="H49" s="198">
        <f t="shared" si="120"/>
        <v>2077696</v>
      </c>
      <c r="I49" s="198">
        <f t="shared" si="121"/>
        <v>1146504</v>
      </c>
      <c r="J49" s="199"/>
      <c r="K49" s="199">
        <f t="shared" si="122"/>
        <v>0</v>
      </c>
      <c r="L49" s="198">
        <f t="shared" si="43"/>
        <v>0</v>
      </c>
      <c r="M49" s="199"/>
      <c r="N49" s="199">
        <f t="shared" si="48"/>
        <v>0</v>
      </c>
      <c r="O49" s="199"/>
      <c r="P49" s="199">
        <f t="shared" si="49"/>
        <v>0</v>
      </c>
      <c r="Q49" s="199">
        <v>897</v>
      </c>
      <c r="R49" s="199">
        <f t="shared" si="50"/>
        <v>667368</v>
      </c>
      <c r="S49" s="199"/>
      <c r="T49" s="200">
        <f t="shared" si="51"/>
        <v>0</v>
      </c>
      <c r="U49" s="251">
        <f t="shared" si="44"/>
        <v>479136</v>
      </c>
      <c r="V49" s="199">
        <v>644</v>
      </c>
      <c r="W49" s="199">
        <f t="shared" si="52"/>
        <v>479136</v>
      </c>
      <c r="X49" s="199"/>
      <c r="Y49" s="199">
        <f t="shared" si="53"/>
        <v>0</v>
      </c>
      <c r="Z49" s="199"/>
      <c r="AA49" s="199">
        <f t="shared" si="54"/>
        <v>0</v>
      </c>
      <c r="AB49" s="199"/>
      <c r="AC49" s="199">
        <f t="shared" si="123"/>
        <v>0</v>
      </c>
      <c r="AD49" s="198">
        <f t="shared" si="15"/>
        <v>465917</v>
      </c>
      <c r="AE49" s="199">
        <v>569</v>
      </c>
      <c r="AF49" s="199">
        <f t="shared" si="55"/>
        <v>423336</v>
      </c>
      <c r="AG49" s="199">
        <v>51</v>
      </c>
      <c r="AH49" s="199">
        <f t="shared" si="56"/>
        <v>28203</v>
      </c>
      <c r="AI49" s="199">
        <v>26</v>
      </c>
      <c r="AJ49" s="199">
        <f t="shared" si="57"/>
        <v>14378</v>
      </c>
      <c r="AK49" s="199"/>
      <c r="AL49" s="200">
        <f t="shared" si="58"/>
        <v>0</v>
      </c>
      <c r="AM49" s="251">
        <f t="shared" si="17"/>
        <v>392832</v>
      </c>
      <c r="AN49" s="199">
        <v>99</v>
      </c>
      <c r="AO49" s="199">
        <f t="shared" si="59"/>
        <v>73656</v>
      </c>
      <c r="AP49" s="199">
        <v>429</v>
      </c>
      <c r="AQ49" s="199">
        <f t="shared" si="60"/>
        <v>319176</v>
      </c>
      <c r="AR49" s="199"/>
      <c r="AS49" s="199">
        <f t="shared" si="61"/>
        <v>0</v>
      </c>
      <c r="AT49" s="199"/>
      <c r="AU49" s="199">
        <f t="shared" si="62"/>
        <v>0</v>
      </c>
      <c r="AV49" s="198">
        <f t="shared" si="46"/>
        <v>30968</v>
      </c>
      <c r="AW49" s="199">
        <v>56</v>
      </c>
      <c r="AX49" s="199">
        <f t="shared" si="63"/>
        <v>30968</v>
      </c>
      <c r="AY49" s="199"/>
      <c r="AZ49" s="199">
        <f t="shared" si="63"/>
        <v>0</v>
      </c>
      <c r="BA49" s="199">
        <v>75</v>
      </c>
      <c r="BB49" s="200">
        <f t="shared" si="64"/>
        <v>41475</v>
      </c>
    </row>
    <row r="50" spans="1:54" s="38" customFormat="1" ht="20.100000000000001" customHeight="1">
      <c r="A50" s="201"/>
      <c r="B50" s="196"/>
      <c r="C50" s="196"/>
      <c r="D50" s="196" t="s">
        <v>107</v>
      </c>
      <c r="E50" s="169" t="s">
        <v>100</v>
      </c>
      <c r="F50" s="197">
        <v>823</v>
      </c>
      <c r="G50" s="197">
        <v>620</v>
      </c>
      <c r="H50" s="198">
        <f t="shared" si="120"/>
        <v>367042</v>
      </c>
      <c r="I50" s="198">
        <f t="shared" si="121"/>
        <v>121804</v>
      </c>
      <c r="J50" s="199"/>
      <c r="K50" s="199">
        <f t="shared" si="122"/>
        <v>0</v>
      </c>
      <c r="L50" s="198">
        <f t="shared" si="43"/>
        <v>0</v>
      </c>
      <c r="M50" s="199"/>
      <c r="N50" s="199">
        <f t="shared" si="48"/>
        <v>0</v>
      </c>
      <c r="O50" s="199"/>
      <c r="P50" s="199">
        <f t="shared" si="49"/>
        <v>0</v>
      </c>
      <c r="Q50" s="199">
        <v>125</v>
      </c>
      <c r="R50" s="199">
        <f t="shared" si="50"/>
        <v>102875</v>
      </c>
      <c r="S50" s="199"/>
      <c r="T50" s="200">
        <f t="shared" si="51"/>
        <v>0</v>
      </c>
      <c r="U50" s="251">
        <f t="shared" si="44"/>
        <v>18929</v>
      </c>
      <c r="V50" s="199">
        <v>23</v>
      </c>
      <c r="W50" s="199">
        <f t="shared" si="52"/>
        <v>18929</v>
      </c>
      <c r="X50" s="199"/>
      <c r="Y50" s="199">
        <f t="shared" si="53"/>
        <v>0</v>
      </c>
      <c r="Z50" s="199"/>
      <c r="AA50" s="199">
        <f t="shared" si="54"/>
        <v>0</v>
      </c>
      <c r="AB50" s="199"/>
      <c r="AC50" s="199">
        <f t="shared" si="123"/>
        <v>0</v>
      </c>
      <c r="AD50" s="198">
        <f t="shared" si="15"/>
        <v>177834</v>
      </c>
      <c r="AE50" s="199">
        <v>198</v>
      </c>
      <c r="AF50" s="199">
        <f t="shared" si="55"/>
        <v>162954</v>
      </c>
      <c r="AG50" s="199"/>
      <c r="AH50" s="199">
        <f t="shared" si="56"/>
        <v>0</v>
      </c>
      <c r="AI50" s="199">
        <v>24</v>
      </c>
      <c r="AJ50" s="199">
        <f t="shared" si="57"/>
        <v>14880</v>
      </c>
      <c r="AK50" s="199"/>
      <c r="AL50" s="200">
        <f t="shared" si="58"/>
        <v>0</v>
      </c>
      <c r="AM50" s="251">
        <f t="shared" si="17"/>
        <v>39504</v>
      </c>
      <c r="AN50" s="199"/>
      <c r="AO50" s="199">
        <f t="shared" si="59"/>
        <v>0</v>
      </c>
      <c r="AP50" s="199">
        <v>48</v>
      </c>
      <c r="AQ50" s="199">
        <f t="shared" si="60"/>
        <v>39504</v>
      </c>
      <c r="AR50" s="199"/>
      <c r="AS50" s="199">
        <f t="shared" si="61"/>
        <v>0</v>
      </c>
      <c r="AT50" s="199"/>
      <c r="AU50" s="199">
        <f t="shared" si="62"/>
        <v>0</v>
      </c>
      <c r="AV50" s="198">
        <f t="shared" si="46"/>
        <v>27900</v>
      </c>
      <c r="AW50" s="199">
        <v>45</v>
      </c>
      <c r="AX50" s="199">
        <f t="shared" si="63"/>
        <v>27900</v>
      </c>
      <c r="AY50" s="199"/>
      <c r="AZ50" s="199">
        <f t="shared" si="63"/>
        <v>0</v>
      </c>
      <c r="BA50" s="199"/>
      <c r="BB50" s="200">
        <f t="shared" si="64"/>
        <v>0</v>
      </c>
    </row>
    <row r="51" spans="1:54" s="38" customFormat="1" ht="20.100000000000001" customHeight="1">
      <c r="A51" s="201"/>
      <c r="B51" s="196"/>
      <c r="C51" s="196"/>
      <c r="D51" s="196" t="s">
        <v>108</v>
      </c>
      <c r="E51" s="169" t="s">
        <v>100</v>
      </c>
      <c r="F51" s="197">
        <v>908</v>
      </c>
      <c r="G51" s="197">
        <v>699</v>
      </c>
      <c r="H51" s="198">
        <f t="shared" si="120"/>
        <v>1034268</v>
      </c>
      <c r="I51" s="198">
        <f t="shared" si="121"/>
        <v>494860</v>
      </c>
      <c r="J51" s="199"/>
      <c r="K51" s="199">
        <f t="shared" si="122"/>
        <v>0</v>
      </c>
      <c r="L51" s="198">
        <f t="shared" si="43"/>
        <v>0</v>
      </c>
      <c r="M51" s="199"/>
      <c r="N51" s="199">
        <f t="shared" si="48"/>
        <v>0</v>
      </c>
      <c r="O51" s="199"/>
      <c r="P51" s="199">
        <f t="shared" si="49"/>
        <v>0</v>
      </c>
      <c r="Q51" s="199">
        <v>430</v>
      </c>
      <c r="R51" s="199">
        <f t="shared" si="50"/>
        <v>390440</v>
      </c>
      <c r="S51" s="199"/>
      <c r="T51" s="200">
        <f t="shared" si="51"/>
        <v>0</v>
      </c>
      <c r="U51" s="251">
        <f t="shared" si="44"/>
        <v>104420</v>
      </c>
      <c r="V51" s="199">
        <v>115</v>
      </c>
      <c r="W51" s="199">
        <f t="shared" si="52"/>
        <v>104420</v>
      </c>
      <c r="X51" s="199"/>
      <c r="Y51" s="199">
        <f t="shared" si="53"/>
        <v>0</v>
      </c>
      <c r="Z51" s="199"/>
      <c r="AA51" s="199">
        <f t="shared" si="54"/>
        <v>0</v>
      </c>
      <c r="AB51" s="199"/>
      <c r="AC51" s="199">
        <f t="shared" si="123"/>
        <v>0</v>
      </c>
      <c r="AD51" s="198">
        <f t="shared" si="15"/>
        <v>232476</v>
      </c>
      <c r="AE51" s="199">
        <v>216</v>
      </c>
      <c r="AF51" s="199">
        <f t="shared" si="55"/>
        <v>196128</v>
      </c>
      <c r="AG51" s="199">
        <v>38</v>
      </c>
      <c r="AH51" s="199">
        <f t="shared" si="56"/>
        <v>26562</v>
      </c>
      <c r="AI51" s="199">
        <v>14</v>
      </c>
      <c r="AJ51" s="199">
        <f t="shared" si="57"/>
        <v>9786</v>
      </c>
      <c r="AK51" s="199"/>
      <c r="AL51" s="200">
        <f t="shared" si="58"/>
        <v>0</v>
      </c>
      <c r="AM51" s="251">
        <f t="shared" si="17"/>
        <v>270584</v>
      </c>
      <c r="AN51" s="199">
        <v>109</v>
      </c>
      <c r="AO51" s="199">
        <f t="shared" si="59"/>
        <v>98972</v>
      </c>
      <c r="AP51" s="199">
        <v>189</v>
      </c>
      <c r="AQ51" s="199">
        <f t="shared" si="60"/>
        <v>171612</v>
      </c>
      <c r="AR51" s="199"/>
      <c r="AS51" s="199">
        <f t="shared" si="61"/>
        <v>0</v>
      </c>
      <c r="AT51" s="199"/>
      <c r="AU51" s="199">
        <f t="shared" si="62"/>
        <v>0</v>
      </c>
      <c r="AV51" s="198">
        <f t="shared" si="46"/>
        <v>27960</v>
      </c>
      <c r="AW51" s="199">
        <v>40</v>
      </c>
      <c r="AX51" s="199">
        <f t="shared" si="63"/>
        <v>27960</v>
      </c>
      <c r="AY51" s="199"/>
      <c r="AZ51" s="199">
        <f t="shared" si="63"/>
        <v>0</v>
      </c>
      <c r="BA51" s="199">
        <v>12</v>
      </c>
      <c r="BB51" s="200">
        <f t="shared" si="64"/>
        <v>8388</v>
      </c>
    </row>
    <row r="52" spans="1:54" s="38" customFormat="1" ht="20.100000000000001" customHeight="1">
      <c r="A52" s="201"/>
      <c r="B52" s="196"/>
      <c r="C52" s="196"/>
      <c r="D52" s="196" t="s">
        <v>109</v>
      </c>
      <c r="E52" s="169" t="s">
        <v>100</v>
      </c>
      <c r="F52" s="197">
        <v>1007</v>
      </c>
      <c r="G52" s="197">
        <v>793</v>
      </c>
      <c r="H52" s="198">
        <f t="shared" si="120"/>
        <v>283533</v>
      </c>
      <c r="I52" s="198">
        <f t="shared" si="121"/>
        <v>138966</v>
      </c>
      <c r="J52" s="199"/>
      <c r="K52" s="199">
        <f t="shared" si="122"/>
        <v>0</v>
      </c>
      <c r="L52" s="198">
        <f t="shared" si="43"/>
        <v>0</v>
      </c>
      <c r="M52" s="199"/>
      <c r="N52" s="199">
        <f t="shared" si="48"/>
        <v>0</v>
      </c>
      <c r="O52" s="199"/>
      <c r="P52" s="199">
        <f t="shared" si="49"/>
        <v>0</v>
      </c>
      <c r="Q52" s="199">
        <v>58</v>
      </c>
      <c r="R52" s="199">
        <f t="shared" si="50"/>
        <v>58406</v>
      </c>
      <c r="S52" s="199"/>
      <c r="T52" s="200">
        <f t="shared" si="51"/>
        <v>0</v>
      </c>
      <c r="U52" s="251">
        <f t="shared" si="44"/>
        <v>80560</v>
      </c>
      <c r="V52" s="199">
        <v>80</v>
      </c>
      <c r="W52" s="199">
        <f t="shared" si="52"/>
        <v>80560</v>
      </c>
      <c r="X52" s="199"/>
      <c r="Y52" s="199">
        <f t="shared" si="53"/>
        <v>0</v>
      </c>
      <c r="Z52" s="199"/>
      <c r="AA52" s="199">
        <f t="shared" si="54"/>
        <v>0</v>
      </c>
      <c r="AB52" s="199"/>
      <c r="AC52" s="199">
        <f t="shared" si="123"/>
        <v>0</v>
      </c>
      <c r="AD52" s="198">
        <f t="shared" si="15"/>
        <v>104879</v>
      </c>
      <c r="AE52" s="199">
        <v>101</v>
      </c>
      <c r="AF52" s="199">
        <f t="shared" si="55"/>
        <v>101707</v>
      </c>
      <c r="AG52" s="199">
        <v>1</v>
      </c>
      <c r="AH52" s="199">
        <f t="shared" si="56"/>
        <v>793</v>
      </c>
      <c r="AI52" s="199"/>
      <c r="AJ52" s="199">
        <f t="shared" si="57"/>
        <v>0</v>
      </c>
      <c r="AK52" s="199">
        <v>3</v>
      </c>
      <c r="AL52" s="200">
        <f t="shared" si="58"/>
        <v>2379</v>
      </c>
      <c r="AM52" s="251">
        <f t="shared" si="17"/>
        <v>15105</v>
      </c>
      <c r="AN52" s="199"/>
      <c r="AO52" s="199">
        <f t="shared" si="59"/>
        <v>0</v>
      </c>
      <c r="AP52" s="199">
        <v>15</v>
      </c>
      <c r="AQ52" s="199">
        <f t="shared" si="60"/>
        <v>15105</v>
      </c>
      <c r="AR52" s="199"/>
      <c r="AS52" s="199">
        <f t="shared" si="61"/>
        <v>0</v>
      </c>
      <c r="AT52" s="199"/>
      <c r="AU52" s="199">
        <f t="shared" si="62"/>
        <v>0</v>
      </c>
      <c r="AV52" s="198">
        <f t="shared" si="46"/>
        <v>24583</v>
      </c>
      <c r="AW52" s="199">
        <v>31</v>
      </c>
      <c r="AX52" s="199">
        <f t="shared" si="63"/>
        <v>24583</v>
      </c>
      <c r="AY52" s="199"/>
      <c r="AZ52" s="199">
        <f t="shared" si="63"/>
        <v>0</v>
      </c>
      <c r="BA52" s="199"/>
      <c r="BB52" s="200">
        <f t="shared" si="64"/>
        <v>0</v>
      </c>
    </row>
    <row r="53" spans="1:54" s="38" customFormat="1" ht="20.100000000000001" customHeight="1">
      <c r="A53" s="201"/>
      <c r="B53" s="196"/>
      <c r="C53" s="196"/>
      <c r="D53" s="196" t="s">
        <v>110</v>
      </c>
      <c r="E53" s="169" t="s">
        <v>100</v>
      </c>
      <c r="F53" s="197">
        <v>1113</v>
      </c>
      <c r="G53" s="197">
        <v>886</v>
      </c>
      <c r="H53" s="198">
        <f t="shared" si="120"/>
        <v>1228495</v>
      </c>
      <c r="I53" s="198">
        <f t="shared" si="121"/>
        <v>740145</v>
      </c>
      <c r="J53" s="199"/>
      <c r="K53" s="199">
        <f t="shared" si="122"/>
        <v>0</v>
      </c>
      <c r="L53" s="198">
        <f t="shared" si="43"/>
        <v>0</v>
      </c>
      <c r="M53" s="199"/>
      <c r="N53" s="199">
        <f t="shared" si="48"/>
        <v>0</v>
      </c>
      <c r="O53" s="199"/>
      <c r="P53" s="199">
        <f t="shared" si="49"/>
        <v>0</v>
      </c>
      <c r="Q53" s="199">
        <v>613</v>
      </c>
      <c r="R53" s="199">
        <f t="shared" si="50"/>
        <v>682269</v>
      </c>
      <c r="S53" s="199"/>
      <c r="T53" s="200">
        <f t="shared" si="51"/>
        <v>0</v>
      </c>
      <c r="U53" s="251">
        <f t="shared" si="44"/>
        <v>57876</v>
      </c>
      <c r="V53" s="199">
        <v>52</v>
      </c>
      <c r="W53" s="199">
        <f t="shared" si="52"/>
        <v>57876</v>
      </c>
      <c r="X53" s="199"/>
      <c r="Y53" s="199">
        <f t="shared" si="53"/>
        <v>0</v>
      </c>
      <c r="Z53" s="199"/>
      <c r="AA53" s="199">
        <f t="shared" si="54"/>
        <v>0</v>
      </c>
      <c r="AB53" s="199"/>
      <c r="AC53" s="199">
        <f t="shared" si="123"/>
        <v>0</v>
      </c>
      <c r="AD53" s="198">
        <f t="shared" si="15"/>
        <v>332779</v>
      </c>
      <c r="AE53" s="199">
        <v>217</v>
      </c>
      <c r="AF53" s="199">
        <f t="shared" si="55"/>
        <v>241521</v>
      </c>
      <c r="AG53" s="199">
        <v>65</v>
      </c>
      <c r="AH53" s="199">
        <f t="shared" si="56"/>
        <v>57590</v>
      </c>
      <c r="AI53" s="199">
        <v>16</v>
      </c>
      <c r="AJ53" s="199">
        <f t="shared" si="57"/>
        <v>14176</v>
      </c>
      <c r="AK53" s="199">
        <v>22</v>
      </c>
      <c r="AL53" s="200">
        <f t="shared" si="58"/>
        <v>19492</v>
      </c>
      <c r="AM53" s="251">
        <f t="shared" si="17"/>
        <v>150255</v>
      </c>
      <c r="AN53" s="199">
        <v>24</v>
      </c>
      <c r="AO53" s="199">
        <f t="shared" si="59"/>
        <v>26712</v>
      </c>
      <c r="AP53" s="199">
        <v>111</v>
      </c>
      <c r="AQ53" s="199">
        <f t="shared" si="60"/>
        <v>123543</v>
      </c>
      <c r="AR53" s="199"/>
      <c r="AS53" s="199">
        <f t="shared" si="61"/>
        <v>0</v>
      </c>
      <c r="AT53" s="199"/>
      <c r="AU53" s="199">
        <f t="shared" si="62"/>
        <v>0</v>
      </c>
      <c r="AV53" s="198">
        <f t="shared" si="46"/>
        <v>3544</v>
      </c>
      <c r="AW53" s="199">
        <v>4</v>
      </c>
      <c r="AX53" s="199">
        <f t="shared" si="63"/>
        <v>3544</v>
      </c>
      <c r="AY53" s="199"/>
      <c r="AZ53" s="199">
        <f t="shared" si="63"/>
        <v>0</v>
      </c>
      <c r="BA53" s="199">
        <v>2</v>
      </c>
      <c r="BB53" s="200">
        <f t="shared" si="64"/>
        <v>1772</v>
      </c>
    </row>
    <row r="54" spans="1:54" s="38" customFormat="1" ht="20.100000000000001" customHeight="1">
      <c r="A54" s="208"/>
      <c r="B54" s="209"/>
      <c r="C54" s="209"/>
      <c r="D54" s="209" t="s">
        <v>115</v>
      </c>
      <c r="E54" s="210" t="s">
        <v>100</v>
      </c>
      <c r="F54" s="211">
        <v>1477</v>
      </c>
      <c r="G54" s="211">
        <v>1209</v>
      </c>
      <c r="H54" s="212">
        <f t="shared" si="120"/>
        <v>991556</v>
      </c>
      <c r="I54" s="212">
        <f t="shared" si="121"/>
        <v>527289</v>
      </c>
      <c r="J54" s="213"/>
      <c r="K54" s="213">
        <f t="shared" si="122"/>
        <v>0</v>
      </c>
      <c r="L54" s="212">
        <f t="shared" si="43"/>
        <v>0</v>
      </c>
      <c r="M54" s="213"/>
      <c r="N54" s="213">
        <f t="shared" si="48"/>
        <v>0</v>
      </c>
      <c r="O54" s="213"/>
      <c r="P54" s="213">
        <f t="shared" si="49"/>
        <v>0</v>
      </c>
      <c r="Q54" s="213">
        <v>297</v>
      </c>
      <c r="R54" s="213">
        <f t="shared" si="50"/>
        <v>438669</v>
      </c>
      <c r="S54" s="213"/>
      <c r="T54" s="214">
        <f t="shared" si="51"/>
        <v>0</v>
      </c>
      <c r="U54" s="255">
        <f t="shared" si="44"/>
        <v>88620</v>
      </c>
      <c r="V54" s="213">
        <v>60</v>
      </c>
      <c r="W54" s="213">
        <f t="shared" si="52"/>
        <v>88620</v>
      </c>
      <c r="X54" s="213"/>
      <c r="Y54" s="213">
        <f t="shared" si="53"/>
        <v>0</v>
      </c>
      <c r="Z54" s="213"/>
      <c r="AA54" s="213">
        <f t="shared" si="54"/>
        <v>0</v>
      </c>
      <c r="AB54" s="213"/>
      <c r="AC54" s="213">
        <f t="shared" si="123"/>
        <v>0</v>
      </c>
      <c r="AD54" s="212">
        <f t="shared" si="15"/>
        <v>338698</v>
      </c>
      <c r="AE54" s="213">
        <v>136</v>
      </c>
      <c r="AF54" s="213">
        <f t="shared" si="55"/>
        <v>200872</v>
      </c>
      <c r="AG54" s="213">
        <v>11</v>
      </c>
      <c r="AH54" s="213">
        <f t="shared" si="56"/>
        <v>13299</v>
      </c>
      <c r="AI54" s="213"/>
      <c r="AJ54" s="213">
        <f t="shared" si="57"/>
        <v>0</v>
      </c>
      <c r="AK54" s="213">
        <v>103</v>
      </c>
      <c r="AL54" s="214">
        <f t="shared" si="58"/>
        <v>124527</v>
      </c>
      <c r="AM54" s="255">
        <f t="shared" si="17"/>
        <v>72373</v>
      </c>
      <c r="AN54" s="213">
        <v>18</v>
      </c>
      <c r="AO54" s="213">
        <f t="shared" si="59"/>
        <v>26586</v>
      </c>
      <c r="AP54" s="213">
        <v>31</v>
      </c>
      <c r="AQ54" s="213">
        <f t="shared" si="60"/>
        <v>45787</v>
      </c>
      <c r="AR54" s="213"/>
      <c r="AS54" s="213">
        <f t="shared" si="61"/>
        <v>0</v>
      </c>
      <c r="AT54" s="213"/>
      <c r="AU54" s="213">
        <f t="shared" si="62"/>
        <v>0</v>
      </c>
      <c r="AV54" s="212">
        <f t="shared" si="46"/>
        <v>53196</v>
      </c>
      <c r="AW54" s="213">
        <v>44</v>
      </c>
      <c r="AX54" s="213">
        <f t="shared" si="63"/>
        <v>53196</v>
      </c>
      <c r="AY54" s="213"/>
      <c r="AZ54" s="213">
        <f t="shared" si="63"/>
        <v>0</v>
      </c>
      <c r="BA54" s="213"/>
      <c r="BB54" s="214">
        <f t="shared" si="64"/>
        <v>0</v>
      </c>
    </row>
    <row r="55" spans="1:54" s="47" customFormat="1" ht="20.100000000000001" customHeight="1">
      <c r="A55" s="215"/>
      <c r="B55" s="216"/>
      <c r="C55" s="217"/>
      <c r="D55" s="216" t="s">
        <v>112</v>
      </c>
      <c r="E55" s="218"/>
      <c r="F55" s="219"/>
      <c r="G55" s="219"/>
      <c r="H55" s="220">
        <f t="shared" ref="H55:T55" si="124">SUM(H57:H66)</f>
        <v>221565</v>
      </c>
      <c r="I55" s="220">
        <f t="shared" si="124"/>
        <v>109166</v>
      </c>
      <c r="J55" s="220">
        <f t="shared" ref="J55:K55" si="125">SUM(J57:J66)</f>
        <v>0</v>
      </c>
      <c r="K55" s="220">
        <f t="shared" si="125"/>
        <v>0</v>
      </c>
      <c r="L55" s="221">
        <f t="shared" si="43"/>
        <v>0</v>
      </c>
      <c r="M55" s="220">
        <f t="shared" si="124"/>
        <v>0</v>
      </c>
      <c r="N55" s="220">
        <f t="shared" si="124"/>
        <v>0</v>
      </c>
      <c r="O55" s="220">
        <f t="shared" ref="O55" si="126">SUM(O57:O66)</f>
        <v>0</v>
      </c>
      <c r="P55" s="220">
        <f t="shared" ref="P55" si="127">SUM(P57:P66)</f>
        <v>0</v>
      </c>
      <c r="Q55" s="220">
        <f t="shared" si="124"/>
        <v>102</v>
      </c>
      <c r="R55" s="220">
        <f t="shared" si="124"/>
        <v>79736</v>
      </c>
      <c r="S55" s="220">
        <f t="shared" si="124"/>
        <v>0</v>
      </c>
      <c r="T55" s="222">
        <f t="shared" si="124"/>
        <v>0</v>
      </c>
      <c r="U55" s="256">
        <f t="shared" si="44"/>
        <v>29430</v>
      </c>
      <c r="V55" s="220">
        <f t="shared" ref="V55:AA55" si="128">SUM(V57:V66)</f>
        <v>40</v>
      </c>
      <c r="W55" s="220">
        <f t="shared" si="128"/>
        <v>29430</v>
      </c>
      <c r="X55" s="220">
        <f t="shared" si="128"/>
        <v>0</v>
      </c>
      <c r="Y55" s="220">
        <f t="shared" si="128"/>
        <v>0</v>
      </c>
      <c r="Z55" s="220">
        <f t="shared" si="128"/>
        <v>0</v>
      </c>
      <c r="AA55" s="220">
        <f t="shared" si="128"/>
        <v>0</v>
      </c>
      <c r="AB55" s="220">
        <f t="shared" ref="AB55:AC55" si="129">SUM(AB57:AB66)</f>
        <v>0</v>
      </c>
      <c r="AC55" s="220">
        <f t="shared" si="129"/>
        <v>0</v>
      </c>
      <c r="AD55" s="221">
        <f t="shared" si="15"/>
        <v>71551</v>
      </c>
      <c r="AE55" s="220">
        <f t="shared" ref="AE55:AL55" si="130">SUM(AE57:AE66)</f>
        <v>77</v>
      </c>
      <c r="AF55" s="220">
        <f t="shared" si="130"/>
        <v>55346</v>
      </c>
      <c r="AG55" s="220">
        <f t="shared" si="130"/>
        <v>14</v>
      </c>
      <c r="AH55" s="220">
        <f t="shared" si="130"/>
        <v>9349</v>
      </c>
      <c r="AI55" s="220">
        <f t="shared" si="130"/>
        <v>4</v>
      </c>
      <c r="AJ55" s="220">
        <f t="shared" si="130"/>
        <v>2521</v>
      </c>
      <c r="AK55" s="220">
        <f t="shared" si="130"/>
        <v>3</v>
      </c>
      <c r="AL55" s="222">
        <f t="shared" si="130"/>
        <v>4335</v>
      </c>
      <c r="AM55" s="256">
        <f t="shared" si="17"/>
        <v>26620</v>
      </c>
      <c r="AN55" s="220">
        <f t="shared" ref="AN55:BB55" si="131">SUM(AN57:AN66)</f>
        <v>6</v>
      </c>
      <c r="AO55" s="220">
        <f t="shared" si="131"/>
        <v>5422</v>
      </c>
      <c r="AP55" s="220">
        <f t="shared" si="131"/>
        <v>27</v>
      </c>
      <c r="AQ55" s="220">
        <f t="shared" si="131"/>
        <v>21198</v>
      </c>
      <c r="AR55" s="220">
        <f t="shared" si="131"/>
        <v>0</v>
      </c>
      <c r="AS55" s="220">
        <f t="shared" si="131"/>
        <v>0</v>
      </c>
      <c r="AT55" s="220">
        <f t="shared" si="131"/>
        <v>0</v>
      </c>
      <c r="AU55" s="220">
        <f t="shared" si="131"/>
        <v>0</v>
      </c>
      <c r="AV55" s="221">
        <f t="shared" si="46"/>
        <v>10149</v>
      </c>
      <c r="AW55" s="220">
        <f t="shared" si="131"/>
        <v>16</v>
      </c>
      <c r="AX55" s="220">
        <f t="shared" si="131"/>
        <v>10149</v>
      </c>
      <c r="AY55" s="220">
        <f t="shared" ref="AY55" si="132">SUM(AY57:AY66)</f>
        <v>0</v>
      </c>
      <c r="AZ55" s="220">
        <f t="shared" ref="AZ55" si="133">SUM(AZ57:AZ66)</f>
        <v>0</v>
      </c>
      <c r="BA55" s="220">
        <f t="shared" si="131"/>
        <v>7</v>
      </c>
      <c r="BB55" s="222">
        <f t="shared" si="131"/>
        <v>4079</v>
      </c>
    </row>
    <row r="56" spans="1:54" s="38" customFormat="1" ht="20.100000000000001" customHeight="1">
      <c r="A56" s="201"/>
      <c r="B56" s="196"/>
      <c r="C56" s="196"/>
      <c r="D56" s="196" t="s">
        <v>101</v>
      </c>
      <c r="E56" s="169" t="s">
        <v>100</v>
      </c>
      <c r="F56" s="197">
        <v>389</v>
      </c>
      <c r="G56" s="197">
        <v>389</v>
      </c>
      <c r="H56" s="198">
        <f t="shared" ref="H56:H66" si="134">I56+AD56+AM56+AV56+BB56</f>
        <v>0</v>
      </c>
      <c r="I56" s="198">
        <f t="shared" ref="I56:I66" si="135">L56+R56+T56+U56+AA56</f>
        <v>0</v>
      </c>
      <c r="J56" s="199"/>
      <c r="K56" s="199">
        <f t="shared" ref="K56:K66" si="136">ROUND(J56*$F56,0)</f>
        <v>0</v>
      </c>
      <c r="L56" s="198">
        <f t="shared" si="43"/>
        <v>0</v>
      </c>
      <c r="M56" s="199"/>
      <c r="N56" s="199">
        <f t="shared" si="48"/>
        <v>0</v>
      </c>
      <c r="O56" s="199"/>
      <c r="P56" s="199">
        <f t="shared" si="49"/>
        <v>0</v>
      </c>
      <c r="Q56" s="199"/>
      <c r="R56" s="199">
        <f t="shared" si="50"/>
        <v>0</v>
      </c>
      <c r="S56" s="199"/>
      <c r="T56" s="200">
        <f t="shared" si="51"/>
        <v>0</v>
      </c>
      <c r="U56" s="251">
        <f t="shared" si="44"/>
        <v>0</v>
      </c>
      <c r="V56" s="199"/>
      <c r="W56" s="199">
        <f t="shared" si="52"/>
        <v>0</v>
      </c>
      <c r="X56" s="199"/>
      <c r="Y56" s="199">
        <f t="shared" si="53"/>
        <v>0</v>
      </c>
      <c r="Z56" s="199"/>
      <c r="AA56" s="199">
        <f t="shared" si="54"/>
        <v>0</v>
      </c>
      <c r="AB56" s="199"/>
      <c r="AC56" s="199">
        <f t="shared" ref="AC56:AC66" si="137">ROUND(AB56*$G56,0)</f>
        <v>0</v>
      </c>
      <c r="AD56" s="198">
        <f t="shared" si="15"/>
        <v>0</v>
      </c>
      <c r="AE56" s="199"/>
      <c r="AF56" s="199">
        <f t="shared" si="55"/>
        <v>0</v>
      </c>
      <c r="AG56" s="199"/>
      <c r="AH56" s="199">
        <f t="shared" si="56"/>
        <v>0</v>
      </c>
      <c r="AI56" s="199"/>
      <c r="AJ56" s="199">
        <f t="shared" si="57"/>
        <v>0</v>
      </c>
      <c r="AK56" s="199"/>
      <c r="AL56" s="200">
        <f t="shared" si="58"/>
        <v>0</v>
      </c>
      <c r="AM56" s="251">
        <f t="shared" si="17"/>
        <v>0</v>
      </c>
      <c r="AN56" s="199"/>
      <c r="AO56" s="199">
        <f t="shared" si="59"/>
        <v>0</v>
      </c>
      <c r="AP56" s="199"/>
      <c r="AQ56" s="199">
        <f t="shared" si="60"/>
        <v>0</v>
      </c>
      <c r="AR56" s="199"/>
      <c r="AS56" s="199">
        <f t="shared" si="61"/>
        <v>0</v>
      </c>
      <c r="AT56" s="199"/>
      <c r="AU56" s="199">
        <f t="shared" si="62"/>
        <v>0</v>
      </c>
      <c r="AV56" s="198">
        <f t="shared" si="46"/>
        <v>0</v>
      </c>
      <c r="AW56" s="199"/>
      <c r="AX56" s="199">
        <f t="shared" si="63"/>
        <v>0</v>
      </c>
      <c r="AY56" s="199"/>
      <c r="AZ56" s="199">
        <f t="shared" si="63"/>
        <v>0</v>
      </c>
      <c r="BA56" s="199"/>
      <c r="BB56" s="200">
        <f t="shared" si="64"/>
        <v>0</v>
      </c>
    </row>
    <row r="57" spans="1:54" s="38" customFormat="1" ht="20.100000000000001" customHeight="1">
      <c r="A57" s="201"/>
      <c r="B57" s="196"/>
      <c r="C57" s="196"/>
      <c r="D57" s="196" t="s">
        <v>102</v>
      </c>
      <c r="E57" s="169" t="s">
        <v>100</v>
      </c>
      <c r="F57" s="197">
        <v>425</v>
      </c>
      <c r="G57" s="197">
        <v>425</v>
      </c>
      <c r="H57" s="198">
        <f t="shared" si="134"/>
        <v>8500</v>
      </c>
      <c r="I57" s="198">
        <f t="shared" si="135"/>
        <v>1700</v>
      </c>
      <c r="J57" s="199"/>
      <c r="K57" s="199">
        <f t="shared" si="136"/>
        <v>0</v>
      </c>
      <c r="L57" s="198">
        <f t="shared" si="43"/>
        <v>0</v>
      </c>
      <c r="M57" s="199"/>
      <c r="N57" s="199">
        <f t="shared" si="48"/>
        <v>0</v>
      </c>
      <c r="O57" s="199"/>
      <c r="P57" s="199">
        <f t="shared" si="49"/>
        <v>0</v>
      </c>
      <c r="Q57" s="199">
        <v>3</v>
      </c>
      <c r="R57" s="199">
        <f t="shared" si="50"/>
        <v>1275</v>
      </c>
      <c r="S57" s="199"/>
      <c r="T57" s="200">
        <f t="shared" si="51"/>
        <v>0</v>
      </c>
      <c r="U57" s="251">
        <f t="shared" si="44"/>
        <v>425</v>
      </c>
      <c r="V57" s="199">
        <v>1</v>
      </c>
      <c r="W57" s="199">
        <f t="shared" si="52"/>
        <v>425</v>
      </c>
      <c r="X57" s="199"/>
      <c r="Y57" s="199">
        <f t="shared" si="53"/>
        <v>0</v>
      </c>
      <c r="Z57" s="199"/>
      <c r="AA57" s="199">
        <f t="shared" si="54"/>
        <v>0</v>
      </c>
      <c r="AB57" s="199"/>
      <c r="AC57" s="199">
        <f t="shared" si="137"/>
        <v>0</v>
      </c>
      <c r="AD57" s="198">
        <f t="shared" si="15"/>
        <v>2125</v>
      </c>
      <c r="AE57" s="199">
        <v>2</v>
      </c>
      <c r="AF57" s="199">
        <f t="shared" si="55"/>
        <v>850</v>
      </c>
      <c r="AG57" s="199">
        <v>2</v>
      </c>
      <c r="AH57" s="199">
        <f t="shared" si="56"/>
        <v>850</v>
      </c>
      <c r="AI57" s="199">
        <v>1</v>
      </c>
      <c r="AJ57" s="199">
        <f t="shared" si="57"/>
        <v>425</v>
      </c>
      <c r="AK57" s="199"/>
      <c r="AL57" s="200">
        <f t="shared" si="58"/>
        <v>0</v>
      </c>
      <c r="AM57" s="251">
        <f t="shared" si="17"/>
        <v>850</v>
      </c>
      <c r="AN57" s="199"/>
      <c r="AO57" s="199">
        <f t="shared" si="59"/>
        <v>0</v>
      </c>
      <c r="AP57" s="199">
        <v>2</v>
      </c>
      <c r="AQ57" s="199">
        <f t="shared" si="60"/>
        <v>850</v>
      </c>
      <c r="AR57" s="199"/>
      <c r="AS57" s="199">
        <f t="shared" si="61"/>
        <v>0</v>
      </c>
      <c r="AT57" s="199"/>
      <c r="AU57" s="199">
        <f t="shared" si="62"/>
        <v>0</v>
      </c>
      <c r="AV57" s="198">
        <f t="shared" si="46"/>
        <v>3400</v>
      </c>
      <c r="AW57" s="199">
        <v>8</v>
      </c>
      <c r="AX57" s="199">
        <f t="shared" si="63"/>
        <v>3400</v>
      </c>
      <c r="AY57" s="199"/>
      <c r="AZ57" s="199">
        <f t="shared" si="63"/>
        <v>0</v>
      </c>
      <c r="BA57" s="199">
        <v>1</v>
      </c>
      <c r="BB57" s="200">
        <f t="shared" si="64"/>
        <v>425</v>
      </c>
    </row>
    <row r="58" spans="1:54" s="38" customFormat="1" ht="20.100000000000001" customHeight="1">
      <c r="A58" s="201"/>
      <c r="B58" s="196"/>
      <c r="C58" s="196"/>
      <c r="D58" s="196" t="s">
        <v>103</v>
      </c>
      <c r="E58" s="169" t="s">
        <v>100</v>
      </c>
      <c r="F58" s="197">
        <v>503</v>
      </c>
      <c r="G58" s="197">
        <v>503</v>
      </c>
      <c r="H58" s="198">
        <f t="shared" si="134"/>
        <v>18611</v>
      </c>
      <c r="I58" s="198">
        <f t="shared" si="135"/>
        <v>15593</v>
      </c>
      <c r="J58" s="199"/>
      <c r="K58" s="199">
        <f t="shared" si="136"/>
        <v>0</v>
      </c>
      <c r="L58" s="198">
        <f t="shared" si="43"/>
        <v>0</v>
      </c>
      <c r="M58" s="199"/>
      <c r="N58" s="199">
        <f t="shared" si="48"/>
        <v>0</v>
      </c>
      <c r="O58" s="199"/>
      <c r="P58" s="199">
        <f t="shared" si="49"/>
        <v>0</v>
      </c>
      <c r="Q58" s="199">
        <v>23</v>
      </c>
      <c r="R58" s="199">
        <f t="shared" si="50"/>
        <v>11569</v>
      </c>
      <c r="S58" s="199"/>
      <c r="T58" s="200">
        <f t="shared" si="51"/>
        <v>0</v>
      </c>
      <c r="U58" s="251">
        <f t="shared" si="44"/>
        <v>4024</v>
      </c>
      <c r="V58" s="199">
        <v>8</v>
      </c>
      <c r="W58" s="199">
        <f t="shared" si="52"/>
        <v>4024</v>
      </c>
      <c r="X58" s="199"/>
      <c r="Y58" s="199">
        <f t="shared" si="53"/>
        <v>0</v>
      </c>
      <c r="Z58" s="199"/>
      <c r="AA58" s="199">
        <f t="shared" si="54"/>
        <v>0</v>
      </c>
      <c r="AB58" s="199"/>
      <c r="AC58" s="199">
        <f t="shared" si="137"/>
        <v>0</v>
      </c>
      <c r="AD58" s="198">
        <f t="shared" si="15"/>
        <v>1509</v>
      </c>
      <c r="AE58" s="199">
        <v>2</v>
      </c>
      <c r="AF58" s="199">
        <f t="shared" si="55"/>
        <v>1006</v>
      </c>
      <c r="AG58" s="199">
        <v>1</v>
      </c>
      <c r="AH58" s="199">
        <f t="shared" si="56"/>
        <v>503</v>
      </c>
      <c r="AI58" s="199"/>
      <c r="AJ58" s="199">
        <f t="shared" si="57"/>
        <v>0</v>
      </c>
      <c r="AK58" s="199"/>
      <c r="AL58" s="200">
        <f t="shared" si="58"/>
        <v>0</v>
      </c>
      <c r="AM58" s="251">
        <f t="shared" si="17"/>
        <v>503</v>
      </c>
      <c r="AN58" s="199"/>
      <c r="AO58" s="199">
        <f t="shared" si="59"/>
        <v>0</v>
      </c>
      <c r="AP58" s="199">
        <v>1</v>
      </c>
      <c r="AQ58" s="199">
        <f t="shared" si="60"/>
        <v>503</v>
      </c>
      <c r="AR58" s="199"/>
      <c r="AS58" s="199">
        <f t="shared" si="61"/>
        <v>0</v>
      </c>
      <c r="AT58" s="199"/>
      <c r="AU58" s="199">
        <f t="shared" si="62"/>
        <v>0</v>
      </c>
      <c r="AV58" s="198">
        <f t="shared" si="46"/>
        <v>503</v>
      </c>
      <c r="AW58" s="199">
        <v>1</v>
      </c>
      <c r="AX58" s="199">
        <f t="shared" si="63"/>
        <v>503</v>
      </c>
      <c r="AY58" s="199"/>
      <c r="AZ58" s="199">
        <f t="shared" si="63"/>
        <v>0</v>
      </c>
      <c r="BA58" s="199">
        <v>1</v>
      </c>
      <c r="BB58" s="200">
        <f t="shared" si="64"/>
        <v>503</v>
      </c>
    </row>
    <row r="59" spans="1:54" s="38" customFormat="1" ht="20.100000000000001" customHeight="1">
      <c r="A59" s="201"/>
      <c r="B59" s="196"/>
      <c r="C59" s="196"/>
      <c r="D59" s="196" t="s">
        <v>104</v>
      </c>
      <c r="E59" s="169" t="s">
        <v>100</v>
      </c>
      <c r="F59" s="197">
        <v>546</v>
      </c>
      <c r="G59" s="197">
        <v>546</v>
      </c>
      <c r="H59" s="198">
        <f t="shared" si="134"/>
        <v>20202</v>
      </c>
      <c r="I59" s="198">
        <f t="shared" si="135"/>
        <v>5460</v>
      </c>
      <c r="J59" s="199"/>
      <c r="K59" s="199">
        <f t="shared" si="136"/>
        <v>0</v>
      </c>
      <c r="L59" s="198">
        <f t="shared" si="43"/>
        <v>0</v>
      </c>
      <c r="M59" s="199"/>
      <c r="N59" s="199">
        <f t="shared" si="48"/>
        <v>0</v>
      </c>
      <c r="O59" s="199"/>
      <c r="P59" s="199">
        <f t="shared" si="49"/>
        <v>0</v>
      </c>
      <c r="Q59" s="199">
        <v>7</v>
      </c>
      <c r="R59" s="199">
        <f t="shared" si="50"/>
        <v>3822</v>
      </c>
      <c r="S59" s="199"/>
      <c r="T59" s="200">
        <f t="shared" si="51"/>
        <v>0</v>
      </c>
      <c r="U59" s="251">
        <f t="shared" si="44"/>
        <v>1638</v>
      </c>
      <c r="V59" s="199">
        <v>3</v>
      </c>
      <c r="W59" s="199">
        <f t="shared" si="52"/>
        <v>1638</v>
      </c>
      <c r="X59" s="199"/>
      <c r="Y59" s="199">
        <f t="shared" si="53"/>
        <v>0</v>
      </c>
      <c r="Z59" s="199"/>
      <c r="AA59" s="199">
        <f t="shared" si="54"/>
        <v>0</v>
      </c>
      <c r="AB59" s="199"/>
      <c r="AC59" s="199">
        <f t="shared" si="137"/>
        <v>0</v>
      </c>
      <c r="AD59" s="198">
        <f t="shared" si="15"/>
        <v>13650</v>
      </c>
      <c r="AE59" s="199">
        <v>20</v>
      </c>
      <c r="AF59" s="199">
        <f t="shared" si="55"/>
        <v>10920</v>
      </c>
      <c r="AG59" s="199">
        <v>5</v>
      </c>
      <c r="AH59" s="199">
        <f t="shared" si="56"/>
        <v>2730</v>
      </c>
      <c r="AI59" s="199"/>
      <c r="AJ59" s="199">
        <f t="shared" si="57"/>
        <v>0</v>
      </c>
      <c r="AK59" s="199"/>
      <c r="AL59" s="200">
        <f t="shared" si="58"/>
        <v>0</v>
      </c>
      <c r="AM59" s="251">
        <f t="shared" si="17"/>
        <v>1092</v>
      </c>
      <c r="AN59" s="199"/>
      <c r="AO59" s="199">
        <f t="shared" si="59"/>
        <v>0</v>
      </c>
      <c r="AP59" s="199">
        <v>2</v>
      </c>
      <c r="AQ59" s="199">
        <f t="shared" si="60"/>
        <v>1092</v>
      </c>
      <c r="AR59" s="199"/>
      <c r="AS59" s="199">
        <f t="shared" si="61"/>
        <v>0</v>
      </c>
      <c r="AT59" s="199"/>
      <c r="AU59" s="199">
        <f t="shared" si="62"/>
        <v>0</v>
      </c>
      <c r="AV59" s="198">
        <f t="shared" si="46"/>
        <v>0</v>
      </c>
      <c r="AW59" s="199"/>
      <c r="AX59" s="199">
        <f t="shared" si="63"/>
        <v>0</v>
      </c>
      <c r="AY59" s="199"/>
      <c r="AZ59" s="199">
        <f t="shared" si="63"/>
        <v>0</v>
      </c>
      <c r="BA59" s="199"/>
      <c r="BB59" s="200">
        <f t="shared" si="64"/>
        <v>0</v>
      </c>
    </row>
    <row r="60" spans="1:54" s="38" customFormat="1" ht="20.100000000000001" customHeight="1">
      <c r="A60" s="201"/>
      <c r="B60" s="196"/>
      <c r="C60" s="196"/>
      <c r="D60" s="196" t="s">
        <v>105</v>
      </c>
      <c r="E60" s="169" t="s">
        <v>100</v>
      </c>
      <c r="F60" s="197">
        <v>599</v>
      </c>
      <c r="G60" s="197">
        <v>599</v>
      </c>
      <c r="H60" s="198">
        <f t="shared" si="134"/>
        <v>25757</v>
      </c>
      <c r="I60" s="198">
        <f t="shared" si="135"/>
        <v>8386</v>
      </c>
      <c r="J60" s="199"/>
      <c r="K60" s="199">
        <f t="shared" si="136"/>
        <v>0</v>
      </c>
      <c r="L60" s="198">
        <f t="shared" si="43"/>
        <v>0</v>
      </c>
      <c r="M60" s="199"/>
      <c r="N60" s="199">
        <f t="shared" si="48"/>
        <v>0</v>
      </c>
      <c r="O60" s="199"/>
      <c r="P60" s="199">
        <f t="shared" si="49"/>
        <v>0</v>
      </c>
      <c r="Q60" s="199">
        <v>12</v>
      </c>
      <c r="R60" s="199">
        <f t="shared" si="50"/>
        <v>7188</v>
      </c>
      <c r="S60" s="199"/>
      <c r="T60" s="200">
        <f t="shared" si="51"/>
        <v>0</v>
      </c>
      <c r="U60" s="251">
        <f t="shared" si="44"/>
        <v>1198</v>
      </c>
      <c r="V60" s="199">
        <v>2</v>
      </c>
      <c r="W60" s="199">
        <f t="shared" si="52"/>
        <v>1198</v>
      </c>
      <c r="X60" s="199"/>
      <c r="Y60" s="199">
        <f t="shared" si="53"/>
        <v>0</v>
      </c>
      <c r="Z60" s="199"/>
      <c r="AA60" s="199">
        <f t="shared" si="54"/>
        <v>0</v>
      </c>
      <c r="AB60" s="199"/>
      <c r="AC60" s="199">
        <f t="shared" si="137"/>
        <v>0</v>
      </c>
      <c r="AD60" s="198">
        <f t="shared" si="15"/>
        <v>13178</v>
      </c>
      <c r="AE60" s="199">
        <v>19</v>
      </c>
      <c r="AF60" s="199">
        <f t="shared" si="55"/>
        <v>11381</v>
      </c>
      <c r="AG60" s="199">
        <v>2</v>
      </c>
      <c r="AH60" s="199">
        <f t="shared" si="56"/>
        <v>1198</v>
      </c>
      <c r="AI60" s="199">
        <v>1</v>
      </c>
      <c r="AJ60" s="199">
        <f t="shared" si="57"/>
        <v>599</v>
      </c>
      <c r="AK60" s="199"/>
      <c r="AL60" s="200">
        <f t="shared" si="58"/>
        <v>0</v>
      </c>
      <c r="AM60" s="251">
        <f t="shared" si="17"/>
        <v>1198</v>
      </c>
      <c r="AN60" s="199"/>
      <c r="AO60" s="199">
        <f t="shared" si="59"/>
        <v>0</v>
      </c>
      <c r="AP60" s="199">
        <v>2</v>
      </c>
      <c r="AQ60" s="199">
        <f t="shared" si="60"/>
        <v>1198</v>
      </c>
      <c r="AR60" s="199"/>
      <c r="AS60" s="199">
        <f t="shared" si="61"/>
        <v>0</v>
      </c>
      <c r="AT60" s="199"/>
      <c r="AU60" s="199">
        <f t="shared" si="62"/>
        <v>0</v>
      </c>
      <c r="AV60" s="198">
        <f t="shared" si="46"/>
        <v>1198</v>
      </c>
      <c r="AW60" s="199">
        <v>2</v>
      </c>
      <c r="AX60" s="199">
        <f t="shared" si="63"/>
        <v>1198</v>
      </c>
      <c r="AY60" s="199"/>
      <c r="AZ60" s="199">
        <f t="shared" si="63"/>
        <v>0</v>
      </c>
      <c r="BA60" s="199">
        <v>3</v>
      </c>
      <c r="BB60" s="200">
        <f t="shared" si="64"/>
        <v>1797</v>
      </c>
    </row>
    <row r="61" spans="1:54" s="38" customFormat="1" ht="20.100000000000001" customHeight="1">
      <c r="A61" s="201"/>
      <c r="B61" s="196"/>
      <c r="C61" s="196"/>
      <c r="D61" s="196" t="s">
        <v>106</v>
      </c>
      <c r="E61" s="169" t="s">
        <v>100</v>
      </c>
      <c r="F61" s="197">
        <v>677</v>
      </c>
      <c r="G61" s="197">
        <v>677</v>
      </c>
      <c r="H61" s="198">
        <f t="shared" si="134"/>
        <v>46713</v>
      </c>
      <c r="I61" s="198">
        <f t="shared" si="135"/>
        <v>25726</v>
      </c>
      <c r="J61" s="199"/>
      <c r="K61" s="199">
        <f t="shared" si="136"/>
        <v>0</v>
      </c>
      <c r="L61" s="198">
        <f t="shared" si="43"/>
        <v>0</v>
      </c>
      <c r="M61" s="199"/>
      <c r="N61" s="199">
        <f t="shared" si="48"/>
        <v>0</v>
      </c>
      <c r="O61" s="199"/>
      <c r="P61" s="199">
        <f t="shared" si="49"/>
        <v>0</v>
      </c>
      <c r="Q61" s="199">
        <v>22</v>
      </c>
      <c r="R61" s="199">
        <f t="shared" si="50"/>
        <v>14894</v>
      </c>
      <c r="S61" s="199"/>
      <c r="T61" s="200">
        <f t="shared" si="51"/>
        <v>0</v>
      </c>
      <c r="U61" s="251">
        <f t="shared" si="44"/>
        <v>10832</v>
      </c>
      <c r="V61" s="199">
        <v>16</v>
      </c>
      <c r="W61" s="199">
        <f t="shared" si="52"/>
        <v>10832</v>
      </c>
      <c r="X61" s="199"/>
      <c r="Y61" s="199">
        <f t="shared" si="53"/>
        <v>0</v>
      </c>
      <c r="Z61" s="199"/>
      <c r="AA61" s="199">
        <f t="shared" si="54"/>
        <v>0</v>
      </c>
      <c r="AB61" s="199"/>
      <c r="AC61" s="199">
        <f t="shared" si="137"/>
        <v>0</v>
      </c>
      <c r="AD61" s="198">
        <f t="shared" si="15"/>
        <v>10832</v>
      </c>
      <c r="AE61" s="199">
        <v>14</v>
      </c>
      <c r="AF61" s="199">
        <f t="shared" si="55"/>
        <v>9478</v>
      </c>
      <c r="AG61" s="199">
        <v>1</v>
      </c>
      <c r="AH61" s="199">
        <f t="shared" si="56"/>
        <v>677</v>
      </c>
      <c r="AI61" s="199">
        <v>1</v>
      </c>
      <c r="AJ61" s="199">
        <f t="shared" si="57"/>
        <v>677</v>
      </c>
      <c r="AK61" s="199"/>
      <c r="AL61" s="200">
        <f t="shared" si="58"/>
        <v>0</v>
      </c>
      <c r="AM61" s="251">
        <f t="shared" si="17"/>
        <v>8124</v>
      </c>
      <c r="AN61" s="199">
        <v>2</v>
      </c>
      <c r="AO61" s="199">
        <f t="shared" si="59"/>
        <v>1354</v>
      </c>
      <c r="AP61" s="199">
        <v>10</v>
      </c>
      <c r="AQ61" s="199">
        <f t="shared" si="60"/>
        <v>6770</v>
      </c>
      <c r="AR61" s="199"/>
      <c r="AS61" s="199">
        <f t="shared" si="61"/>
        <v>0</v>
      </c>
      <c r="AT61" s="199"/>
      <c r="AU61" s="199">
        <f t="shared" si="62"/>
        <v>0</v>
      </c>
      <c r="AV61" s="198">
        <f t="shared" si="46"/>
        <v>677</v>
      </c>
      <c r="AW61" s="199">
        <v>1</v>
      </c>
      <c r="AX61" s="199">
        <f t="shared" si="63"/>
        <v>677</v>
      </c>
      <c r="AY61" s="199"/>
      <c r="AZ61" s="199">
        <f t="shared" si="63"/>
        <v>0</v>
      </c>
      <c r="BA61" s="199">
        <v>2</v>
      </c>
      <c r="BB61" s="200">
        <f t="shared" si="64"/>
        <v>1354</v>
      </c>
    </row>
    <row r="62" spans="1:54" s="38" customFormat="1" ht="20.100000000000001" customHeight="1">
      <c r="A62" s="201"/>
      <c r="B62" s="196"/>
      <c r="C62" s="196"/>
      <c r="D62" s="196" t="s">
        <v>107</v>
      </c>
      <c r="E62" s="169" t="s">
        <v>100</v>
      </c>
      <c r="F62" s="197">
        <v>820</v>
      </c>
      <c r="G62" s="197">
        <v>820</v>
      </c>
      <c r="H62" s="198">
        <f t="shared" si="134"/>
        <v>9840</v>
      </c>
      <c r="I62" s="198">
        <f t="shared" si="135"/>
        <v>3280</v>
      </c>
      <c r="J62" s="199"/>
      <c r="K62" s="199">
        <f t="shared" si="136"/>
        <v>0</v>
      </c>
      <c r="L62" s="198">
        <f t="shared" si="43"/>
        <v>0</v>
      </c>
      <c r="M62" s="199"/>
      <c r="N62" s="199">
        <f t="shared" si="48"/>
        <v>0</v>
      </c>
      <c r="O62" s="199"/>
      <c r="P62" s="199">
        <f t="shared" si="49"/>
        <v>0</v>
      </c>
      <c r="Q62" s="199">
        <v>3</v>
      </c>
      <c r="R62" s="199">
        <f t="shared" si="50"/>
        <v>2460</v>
      </c>
      <c r="S62" s="199"/>
      <c r="T62" s="200">
        <f t="shared" si="51"/>
        <v>0</v>
      </c>
      <c r="U62" s="251">
        <f t="shared" si="44"/>
        <v>820</v>
      </c>
      <c r="V62" s="199">
        <v>1</v>
      </c>
      <c r="W62" s="199">
        <f t="shared" si="52"/>
        <v>820</v>
      </c>
      <c r="X62" s="199"/>
      <c r="Y62" s="199">
        <f t="shared" si="53"/>
        <v>0</v>
      </c>
      <c r="Z62" s="199"/>
      <c r="AA62" s="199">
        <f t="shared" si="54"/>
        <v>0</v>
      </c>
      <c r="AB62" s="199"/>
      <c r="AC62" s="199">
        <f t="shared" si="137"/>
        <v>0</v>
      </c>
      <c r="AD62" s="198">
        <f t="shared" si="15"/>
        <v>4920</v>
      </c>
      <c r="AE62" s="199">
        <v>5</v>
      </c>
      <c r="AF62" s="199">
        <f t="shared" si="55"/>
        <v>4100</v>
      </c>
      <c r="AG62" s="199"/>
      <c r="AH62" s="199">
        <f t="shared" si="56"/>
        <v>0</v>
      </c>
      <c r="AI62" s="199">
        <v>1</v>
      </c>
      <c r="AJ62" s="199">
        <f t="shared" si="57"/>
        <v>820</v>
      </c>
      <c r="AK62" s="199"/>
      <c r="AL62" s="200">
        <f t="shared" si="58"/>
        <v>0</v>
      </c>
      <c r="AM62" s="251">
        <f t="shared" si="17"/>
        <v>820</v>
      </c>
      <c r="AN62" s="199"/>
      <c r="AO62" s="199">
        <f t="shared" si="59"/>
        <v>0</v>
      </c>
      <c r="AP62" s="199">
        <v>1</v>
      </c>
      <c r="AQ62" s="199">
        <f t="shared" si="60"/>
        <v>820</v>
      </c>
      <c r="AR62" s="199"/>
      <c r="AS62" s="199">
        <f t="shared" si="61"/>
        <v>0</v>
      </c>
      <c r="AT62" s="199"/>
      <c r="AU62" s="199">
        <f t="shared" si="62"/>
        <v>0</v>
      </c>
      <c r="AV62" s="198">
        <f t="shared" si="46"/>
        <v>820</v>
      </c>
      <c r="AW62" s="199">
        <v>1</v>
      </c>
      <c r="AX62" s="199">
        <f t="shared" si="63"/>
        <v>820</v>
      </c>
      <c r="AY62" s="199"/>
      <c r="AZ62" s="199">
        <f t="shared" si="63"/>
        <v>0</v>
      </c>
      <c r="BA62" s="199"/>
      <c r="BB62" s="200">
        <f t="shared" si="64"/>
        <v>0</v>
      </c>
    </row>
    <row r="63" spans="1:54" s="38" customFormat="1" ht="20.100000000000001" customHeight="1">
      <c r="A63" s="201"/>
      <c r="B63" s="196"/>
      <c r="C63" s="196"/>
      <c r="D63" s="196" t="s">
        <v>108</v>
      </c>
      <c r="E63" s="169" t="s">
        <v>100</v>
      </c>
      <c r="F63" s="197">
        <v>949</v>
      </c>
      <c r="G63" s="197">
        <v>949</v>
      </c>
      <c r="H63" s="198">
        <f t="shared" si="134"/>
        <v>26572</v>
      </c>
      <c r="I63" s="198">
        <f t="shared" si="135"/>
        <v>12337</v>
      </c>
      <c r="J63" s="199"/>
      <c r="K63" s="199">
        <f t="shared" si="136"/>
        <v>0</v>
      </c>
      <c r="L63" s="198">
        <f t="shared" si="43"/>
        <v>0</v>
      </c>
      <c r="M63" s="199"/>
      <c r="N63" s="199">
        <f t="shared" si="48"/>
        <v>0</v>
      </c>
      <c r="O63" s="199"/>
      <c r="P63" s="199">
        <f t="shared" si="49"/>
        <v>0</v>
      </c>
      <c r="Q63" s="199">
        <v>10</v>
      </c>
      <c r="R63" s="199">
        <f t="shared" si="50"/>
        <v>9490</v>
      </c>
      <c r="S63" s="199"/>
      <c r="T63" s="200">
        <f t="shared" si="51"/>
        <v>0</v>
      </c>
      <c r="U63" s="251">
        <f t="shared" si="44"/>
        <v>2847</v>
      </c>
      <c r="V63" s="199">
        <v>3</v>
      </c>
      <c r="W63" s="199">
        <f t="shared" si="52"/>
        <v>2847</v>
      </c>
      <c r="X63" s="199"/>
      <c r="Y63" s="199">
        <f t="shared" si="53"/>
        <v>0</v>
      </c>
      <c r="Z63" s="199"/>
      <c r="AA63" s="199">
        <f t="shared" si="54"/>
        <v>0</v>
      </c>
      <c r="AB63" s="199"/>
      <c r="AC63" s="199">
        <f t="shared" si="137"/>
        <v>0</v>
      </c>
      <c r="AD63" s="198">
        <f t="shared" si="15"/>
        <v>5694</v>
      </c>
      <c r="AE63" s="199">
        <v>5</v>
      </c>
      <c r="AF63" s="199">
        <f t="shared" si="55"/>
        <v>4745</v>
      </c>
      <c r="AG63" s="199">
        <v>1</v>
      </c>
      <c r="AH63" s="199">
        <f t="shared" si="56"/>
        <v>949</v>
      </c>
      <c r="AI63" s="199"/>
      <c r="AJ63" s="199">
        <f t="shared" si="57"/>
        <v>0</v>
      </c>
      <c r="AK63" s="199"/>
      <c r="AL63" s="200">
        <f t="shared" si="58"/>
        <v>0</v>
      </c>
      <c r="AM63" s="251">
        <f t="shared" si="17"/>
        <v>7592</v>
      </c>
      <c r="AN63" s="199">
        <v>3</v>
      </c>
      <c r="AO63" s="199">
        <f t="shared" si="59"/>
        <v>2847</v>
      </c>
      <c r="AP63" s="199">
        <v>5</v>
      </c>
      <c r="AQ63" s="199">
        <f t="shared" si="60"/>
        <v>4745</v>
      </c>
      <c r="AR63" s="199"/>
      <c r="AS63" s="199">
        <f t="shared" si="61"/>
        <v>0</v>
      </c>
      <c r="AT63" s="199"/>
      <c r="AU63" s="199">
        <f t="shared" si="62"/>
        <v>0</v>
      </c>
      <c r="AV63" s="198">
        <f t="shared" si="46"/>
        <v>949</v>
      </c>
      <c r="AW63" s="199">
        <v>1</v>
      </c>
      <c r="AX63" s="199">
        <f t="shared" si="63"/>
        <v>949</v>
      </c>
      <c r="AY63" s="199"/>
      <c r="AZ63" s="199">
        <f t="shared" si="63"/>
        <v>0</v>
      </c>
      <c r="BA63" s="199"/>
      <c r="BB63" s="200">
        <f t="shared" si="64"/>
        <v>0</v>
      </c>
    </row>
    <row r="64" spans="1:54" s="38" customFormat="1" ht="20.100000000000001" customHeight="1">
      <c r="A64" s="201"/>
      <c r="B64" s="196"/>
      <c r="C64" s="196"/>
      <c r="D64" s="196" t="s">
        <v>109</v>
      </c>
      <c r="E64" s="169" t="s">
        <v>100</v>
      </c>
      <c r="F64" s="197">
        <v>1045</v>
      </c>
      <c r="G64" s="197">
        <v>1045</v>
      </c>
      <c r="H64" s="198">
        <f t="shared" si="134"/>
        <v>6270</v>
      </c>
      <c r="I64" s="198">
        <f t="shared" si="135"/>
        <v>3135</v>
      </c>
      <c r="J64" s="199"/>
      <c r="K64" s="199">
        <f t="shared" si="136"/>
        <v>0</v>
      </c>
      <c r="L64" s="198">
        <f t="shared" si="43"/>
        <v>0</v>
      </c>
      <c r="M64" s="199"/>
      <c r="N64" s="199">
        <f t="shared" si="48"/>
        <v>0</v>
      </c>
      <c r="O64" s="199"/>
      <c r="P64" s="199">
        <f t="shared" si="49"/>
        <v>0</v>
      </c>
      <c r="Q64" s="199">
        <v>1</v>
      </c>
      <c r="R64" s="199">
        <f t="shared" si="50"/>
        <v>1045</v>
      </c>
      <c r="S64" s="199"/>
      <c r="T64" s="200">
        <f t="shared" si="51"/>
        <v>0</v>
      </c>
      <c r="U64" s="251">
        <f t="shared" si="44"/>
        <v>2090</v>
      </c>
      <c r="V64" s="199">
        <v>2</v>
      </c>
      <c r="W64" s="199">
        <f t="shared" si="52"/>
        <v>2090</v>
      </c>
      <c r="X64" s="199"/>
      <c r="Y64" s="199">
        <f t="shared" si="53"/>
        <v>0</v>
      </c>
      <c r="Z64" s="199"/>
      <c r="AA64" s="199">
        <f t="shared" si="54"/>
        <v>0</v>
      </c>
      <c r="AB64" s="199"/>
      <c r="AC64" s="199">
        <f t="shared" si="137"/>
        <v>0</v>
      </c>
      <c r="AD64" s="198">
        <f t="shared" si="15"/>
        <v>2090</v>
      </c>
      <c r="AE64" s="199">
        <v>2</v>
      </c>
      <c r="AF64" s="199">
        <f t="shared" si="55"/>
        <v>2090</v>
      </c>
      <c r="AG64" s="199"/>
      <c r="AH64" s="199">
        <f t="shared" si="56"/>
        <v>0</v>
      </c>
      <c r="AI64" s="199"/>
      <c r="AJ64" s="199">
        <f t="shared" si="57"/>
        <v>0</v>
      </c>
      <c r="AK64" s="199"/>
      <c r="AL64" s="200">
        <f t="shared" si="58"/>
        <v>0</v>
      </c>
      <c r="AM64" s="251">
        <f t="shared" si="17"/>
        <v>0</v>
      </c>
      <c r="AN64" s="199"/>
      <c r="AO64" s="199">
        <f t="shared" si="59"/>
        <v>0</v>
      </c>
      <c r="AP64" s="199"/>
      <c r="AQ64" s="199">
        <f t="shared" si="60"/>
        <v>0</v>
      </c>
      <c r="AR64" s="199"/>
      <c r="AS64" s="199">
        <f t="shared" si="61"/>
        <v>0</v>
      </c>
      <c r="AT64" s="199"/>
      <c r="AU64" s="199">
        <f t="shared" si="62"/>
        <v>0</v>
      </c>
      <c r="AV64" s="198">
        <f t="shared" si="46"/>
        <v>1045</v>
      </c>
      <c r="AW64" s="199">
        <v>1</v>
      </c>
      <c r="AX64" s="199">
        <f t="shared" si="63"/>
        <v>1045</v>
      </c>
      <c r="AY64" s="199"/>
      <c r="AZ64" s="199">
        <f t="shared" si="63"/>
        <v>0</v>
      </c>
      <c r="BA64" s="199"/>
      <c r="BB64" s="200">
        <f t="shared" si="64"/>
        <v>0</v>
      </c>
    </row>
    <row r="65" spans="1:54" s="38" customFormat="1" ht="20.100000000000001" customHeight="1">
      <c r="A65" s="201"/>
      <c r="B65" s="196"/>
      <c r="C65" s="196"/>
      <c r="D65" s="196" t="s">
        <v>110</v>
      </c>
      <c r="E65" s="169" t="s">
        <v>100</v>
      </c>
      <c r="F65" s="197">
        <v>1221</v>
      </c>
      <c r="G65" s="197">
        <v>1221</v>
      </c>
      <c r="H65" s="198">
        <f t="shared" si="134"/>
        <v>34188</v>
      </c>
      <c r="I65" s="198">
        <f t="shared" si="135"/>
        <v>19536</v>
      </c>
      <c r="J65" s="199"/>
      <c r="K65" s="199">
        <f t="shared" si="136"/>
        <v>0</v>
      </c>
      <c r="L65" s="198">
        <f t="shared" si="43"/>
        <v>0</v>
      </c>
      <c r="M65" s="199"/>
      <c r="N65" s="199">
        <f t="shared" si="48"/>
        <v>0</v>
      </c>
      <c r="O65" s="199"/>
      <c r="P65" s="199">
        <f t="shared" si="49"/>
        <v>0</v>
      </c>
      <c r="Q65" s="199">
        <v>14</v>
      </c>
      <c r="R65" s="199">
        <f t="shared" si="50"/>
        <v>17094</v>
      </c>
      <c r="S65" s="199"/>
      <c r="T65" s="200">
        <f t="shared" si="51"/>
        <v>0</v>
      </c>
      <c r="U65" s="251">
        <f t="shared" si="44"/>
        <v>2442</v>
      </c>
      <c r="V65" s="199">
        <v>2</v>
      </c>
      <c r="W65" s="199">
        <f t="shared" si="52"/>
        <v>2442</v>
      </c>
      <c r="X65" s="199"/>
      <c r="Y65" s="199">
        <f t="shared" si="53"/>
        <v>0</v>
      </c>
      <c r="Z65" s="199"/>
      <c r="AA65" s="199">
        <f t="shared" si="54"/>
        <v>0</v>
      </c>
      <c r="AB65" s="199"/>
      <c r="AC65" s="199">
        <f t="shared" si="137"/>
        <v>0</v>
      </c>
      <c r="AD65" s="198">
        <f t="shared" si="15"/>
        <v>9768</v>
      </c>
      <c r="AE65" s="199">
        <v>5</v>
      </c>
      <c r="AF65" s="199">
        <f t="shared" si="55"/>
        <v>6105</v>
      </c>
      <c r="AG65" s="199">
        <v>2</v>
      </c>
      <c r="AH65" s="199">
        <f t="shared" si="56"/>
        <v>2442</v>
      </c>
      <c r="AI65" s="199"/>
      <c r="AJ65" s="199">
        <f t="shared" si="57"/>
        <v>0</v>
      </c>
      <c r="AK65" s="199">
        <v>1</v>
      </c>
      <c r="AL65" s="200">
        <f t="shared" si="58"/>
        <v>1221</v>
      </c>
      <c r="AM65" s="251">
        <f t="shared" si="17"/>
        <v>4884</v>
      </c>
      <c r="AN65" s="199">
        <v>1</v>
      </c>
      <c r="AO65" s="199">
        <f t="shared" si="59"/>
        <v>1221</v>
      </c>
      <c r="AP65" s="199">
        <v>3</v>
      </c>
      <c r="AQ65" s="199">
        <f t="shared" si="60"/>
        <v>3663</v>
      </c>
      <c r="AR65" s="199"/>
      <c r="AS65" s="199">
        <f t="shared" si="61"/>
        <v>0</v>
      </c>
      <c r="AT65" s="199"/>
      <c r="AU65" s="199">
        <f t="shared" si="62"/>
        <v>0</v>
      </c>
      <c r="AV65" s="198">
        <f t="shared" si="46"/>
        <v>0</v>
      </c>
      <c r="AW65" s="199"/>
      <c r="AX65" s="199">
        <f t="shared" si="63"/>
        <v>0</v>
      </c>
      <c r="AY65" s="199"/>
      <c r="AZ65" s="199">
        <f t="shared" si="63"/>
        <v>0</v>
      </c>
      <c r="BA65" s="199"/>
      <c r="BB65" s="200">
        <f t="shared" si="64"/>
        <v>0</v>
      </c>
    </row>
    <row r="66" spans="1:54" s="38" customFormat="1" ht="20.100000000000001" customHeight="1">
      <c r="A66" s="201"/>
      <c r="B66" s="196"/>
      <c r="C66" s="196"/>
      <c r="D66" s="196" t="s">
        <v>115</v>
      </c>
      <c r="E66" s="169" t="s">
        <v>100</v>
      </c>
      <c r="F66" s="197">
        <v>1557</v>
      </c>
      <c r="G66" s="197">
        <v>1557</v>
      </c>
      <c r="H66" s="198">
        <f t="shared" si="134"/>
        <v>24912</v>
      </c>
      <c r="I66" s="198">
        <f t="shared" si="135"/>
        <v>14013</v>
      </c>
      <c r="J66" s="199"/>
      <c r="K66" s="199">
        <f t="shared" si="136"/>
        <v>0</v>
      </c>
      <c r="L66" s="198">
        <f t="shared" si="43"/>
        <v>0</v>
      </c>
      <c r="M66" s="199"/>
      <c r="N66" s="199">
        <f t="shared" si="48"/>
        <v>0</v>
      </c>
      <c r="O66" s="199"/>
      <c r="P66" s="199">
        <f t="shared" si="49"/>
        <v>0</v>
      </c>
      <c r="Q66" s="199">
        <v>7</v>
      </c>
      <c r="R66" s="199">
        <f t="shared" si="50"/>
        <v>10899</v>
      </c>
      <c r="S66" s="199"/>
      <c r="T66" s="200">
        <f t="shared" si="51"/>
        <v>0</v>
      </c>
      <c r="U66" s="251">
        <f t="shared" si="44"/>
        <v>3114</v>
      </c>
      <c r="V66" s="199">
        <v>2</v>
      </c>
      <c r="W66" s="199">
        <f t="shared" si="52"/>
        <v>3114</v>
      </c>
      <c r="X66" s="199"/>
      <c r="Y66" s="199">
        <f t="shared" si="53"/>
        <v>0</v>
      </c>
      <c r="Z66" s="199"/>
      <c r="AA66" s="199">
        <f t="shared" si="54"/>
        <v>0</v>
      </c>
      <c r="AB66" s="199"/>
      <c r="AC66" s="199">
        <f t="shared" si="137"/>
        <v>0</v>
      </c>
      <c r="AD66" s="198">
        <f t="shared" si="15"/>
        <v>7785</v>
      </c>
      <c r="AE66" s="199">
        <v>3</v>
      </c>
      <c r="AF66" s="199">
        <f t="shared" si="55"/>
        <v>4671</v>
      </c>
      <c r="AG66" s="199"/>
      <c r="AH66" s="199">
        <f t="shared" si="56"/>
        <v>0</v>
      </c>
      <c r="AI66" s="199"/>
      <c r="AJ66" s="199">
        <f t="shared" si="57"/>
        <v>0</v>
      </c>
      <c r="AK66" s="199">
        <v>2</v>
      </c>
      <c r="AL66" s="200">
        <f t="shared" si="58"/>
        <v>3114</v>
      </c>
      <c r="AM66" s="251">
        <f t="shared" si="17"/>
        <v>1557</v>
      </c>
      <c r="AN66" s="199"/>
      <c r="AO66" s="199">
        <f t="shared" si="59"/>
        <v>0</v>
      </c>
      <c r="AP66" s="199">
        <v>1</v>
      </c>
      <c r="AQ66" s="199">
        <f t="shared" si="60"/>
        <v>1557</v>
      </c>
      <c r="AR66" s="199"/>
      <c r="AS66" s="199">
        <f t="shared" si="61"/>
        <v>0</v>
      </c>
      <c r="AT66" s="199"/>
      <c r="AU66" s="199">
        <f t="shared" si="62"/>
        <v>0</v>
      </c>
      <c r="AV66" s="198">
        <f t="shared" si="46"/>
        <v>1557</v>
      </c>
      <c r="AW66" s="199">
        <v>1</v>
      </c>
      <c r="AX66" s="199">
        <f t="shared" si="63"/>
        <v>1557</v>
      </c>
      <c r="AY66" s="199"/>
      <c r="AZ66" s="199">
        <f t="shared" si="63"/>
        <v>0</v>
      </c>
      <c r="BA66" s="199"/>
      <c r="BB66" s="200">
        <f t="shared" si="64"/>
        <v>0</v>
      </c>
    </row>
    <row r="67" spans="1:54" s="47" customFormat="1" ht="20.100000000000001" customHeight="1">
      <c r="A67" s="202"/>
      <c r="B67" s="203"/>
      <c r="C67" s="204"/>
      <c r="D67" s="189" t="s">
        <v>113</v>
      </c>
      <c r="E67" s="191"/>
      <c r="F67" s="192"/>
      <c r="G67" s="192"/>
      <c r="H67" s="193">
        <f t="shared" ref="H67:T67" si="138">SUM(H69:H78)</f>
        <v>2081768</v>
      </c>
      <c r="I67" s="193">
        <f t="shared" si="138"/>
        <v>1010876</v>
      </c>
      <c r="J67" s="193">
        <f t="shared" ref="J67:K67" si="139">SUM(J69:J78)</f>
        <v>0</v>
      </c>
      <c r="K67" s="193">
        <f t="shared" si="139"/>
        <v>0</v>
      </c>
      <c r="L67" s="207">
        <f t="shared" si="43"/>
        <v>0</v>
      </c>
      <c r="M67" s="193">
        <f t="shared" si="138"/>
        <v>0</v>
      </c>
      <c r="N67" s="193">
        <f t="shared" si="138"/>
        <v>0</v>
      </c>
      <c r="O67" s="193">
        <f t="shared" ref="O67" si="140">SUM(O69:O78)</f>
        <v>0</v>
      </c>
      <c r="P67" s="193">
        <f t="shared" ref="P67" si="141">SUM(P69:P78)</f>
        <v>0</v>
      </c>
      <c r="Q67" s="193">
        <f t="shared" si="138"/>
        <v>613</v>
      </c>
      <c r="R67" s="193">
        <f t="shared" si="138"/>
        <v>755316</v>
      </c>
      <c r="S67" s="193">
        <f t="shared" si="138"/>
        <v>0</v>
      </c>
      <c r="T67" s="194">
        <f t="shared" si="138"/>
        <v>0</v>
      </c>
      <c r="U67" s="254">
        <f t="shared" si="44"/>
        <v>255560</v>
      </c>
      <c r="V67" s="193">
        <f t="shared" ref="V67:AA67" si="142">SUM(V69:V78)</f>
        <v>224</v>
      </c>
      <c r="W67" s="193">
        <f t="shared" si="142"/>
        <v>255560</v>
      </c>
      <c r="X67" s="193">
        <f t="shared" si="142"/>
        <v>0</v>
      </c>
      <c r="Y67" s="193">
        <f t="shared" si="142"/>
        <v>0</v>
      </c>
      <c r="Z67" s="193">
        <f t="shared" si="142"/>
        <v>0</v>
      </c>
      <c r="AA67" s="193">
        <f t="shared" si="142"/>
        <v>0</v>
      </c>
      <c r="AB67" s="193">
        <f t="shared" ref="AB67:AC67" si="143">SUM(AB69:AB78)</f>
        <v>0</v>
      </c>
      <c r="AC67" s="193">
        <f t="shared" si="143"/>
        <v>0</v>
      </c>
      <c r="AD67" s="207">
        <f t="shared" si="15"/>
        <v>682073</v>
      </c>
      <c r="AE67" s="193">
        <f t="shared" ref="AE67:AL67" si="144">SUM(AE69:AE78)</f>
        <v>466</v>
      </c>
      <c r="AF67" s="193">
        <f t="shared" si="144"/>
        <v>534951</v>
      </c>
      <c r="AG67" s="193">
        <f t="shared" si="144"/>
        <v>81</v>
      </c>
      <c r="AH67" s="193">
        <f t="shared" si="144"/>
        <v>84002</v>
      </c>
      <c r="AI67" s="193">
        <f t="shared" si="144"/>
        <v>23</v>
      </c>
      <c r="AJ67" s="193">
        <f t="shared" si="144"/>
        <v>25557</v>
      </c>
      <c r="AK67" s="193">
        <f t="shared" si="144"/>
        <v>18</v>
      </c>
      <c r="AL67" s="194">
        <f t="shared" si="144"/>
        <v>37563</v>
      </c>
      <c r="AM67" s="254">
        <f t="shared" si="17"/>
        <v>251432</v>
      </c>
      <c r="AN67" s="193">
        <f t="shared" ref="AN67:BB67" si="145">SUM(AN69:AN78)</f>
        <v>40</v>
      </c>
      <c r="AO67" s="193">
        <f t="shared" si="145"/>
        <v>55389</v>
      </c>
      <c r="AP67" s="193">
        <f t="shared" si="145"/>
        <v>160</v>
      </c>
      <c r="AQ67" s="193">
        <f t="shared" si="145"/>
        <v>196043</v>
      </c>
      <c r="AR67" s="193">
        <f t="shared" si="145"/>
        <v>0</v>
      </c>
      <c r="AS67" s="193">
        <f t="shared" si="145"/>
        <v>0</v>
      </c>
      <c r="AT67" s="193">
        <f t="shared" si="145"/>
        <v>0</v>
      </c>
      <c r="AU67" s="193">
        <f t="shared" si="145"/>
        <v>0</v>
      </c>
      <c r="AV67" s="207">
        <f t="shared" si="46"/>
        <v>96264</v>
      </c>
      <c r="AW67" s="193">
        <f t="shared" si="145"/>
        <v>101</v>
      </c>
      <c r="AX67" s="193">
        <f t="shared" si="145"/>
        <v>96264</v>
      </c>
      <c r="AY67" s="193">
        <f t="shared" ref="AY67" si="146">SUM(AY69:AY78)</f>
        <v>0</v>
      </c>
      <c r="AZ67" s="193">
        <f t="shared" ref="AZ67" si="147">SUM(AZ69:AZ78)</f>
        <v>0</v>
      </c>
      <c r="BA67" s="193">
        <f t="shared" si="145"/>
        <v>41</v>
      </c>
      <c r="BB67" s="194">
        <f t="shared" si="145"/>
        <v>41123</v>
      </c>
    </row>
    <row r="68" spans="1:54" s="38" customFormat="1" ht="20.100000000000001" customHeight="1">
      <c r="A68" s="201"/>
      <c r="B68" s="196"/>
      <c r="C68" s="196"/>
      <c r="D68" s="196" t="s">
        <v>101</v>
      </c>
      <c r="E68" s="169" t="s">
        <v>111</v>
      </c>
      <c r="F68" s="197">
        <v>527</v>
      </c>
      <c r="G68" s="197">
        <v>527</v>
      </c>
      <c r="H68" s="198">
        <f t="shared" ref="H68:H80" si="148">I68+AD68+AM68+AV68+BB68</f>
        <v>2635</v>
      </c>
      <c r="I68" s="198">
        <f t="shared" ref="I68:I78" si="149">L68+R68+T68+U68+AA68</f>
        <v>527</v>
      </c>
      <c r="J68" s="199"/>
      <c r="K68" s="199">
        <f t="shared" ref="K68:K79" si="150">ROUND(J68*$F68,0)</f>
        <v>0</v>
      </c>
      <c r="L68" s="198">
        <f t="shared" si="43"/>
        <v>0</v>
      </c>
      <c r="M68" s="199"/>
      <c r="N68" s="199">
        <f t="shared" si="48"/>
        <v>0</v>
      </c>
      <c r="O68" s="199"/>
      <c r="P68" s="199">
        <f t="shared" si="49"/>
        <v>0</v>
      </c>
      <c r="Q68" s="199"/>
      <c r="R68" s="199">
        <f t="shared" si="50"/>
        <v>0</v>
      </c>
      <c r="S68" s="199"/>
      <c r="T68" s="200">
        <f t="shared" si="51"/>
        <v>0</v>
      </c>
      <c r="U68" s="251">
        <f t="shared" si="44"/>
        <v>527</v>
      </c>
      <c r="V68" s="199">
        <v>1</v>
      </c>
      <c r="W68" s="199">
        <f t="shared" si="52"/>
        <v>527</v>
      </c>
      <c r="X68" s="199"/>
      <c r="Y68" s="199">
        <f t="shared" si="53"/>
        <v>0</v>
      </c>
      <c r="Z68" s="199"/>
      <c r="AA68" s="199">
        <f t="shared" si="54"/>
        <v>0</v>
      </c>
      <c r="AB68" s="199"/>
      <c r="AC68" s="199">
        <f t="shared" ref="AC68:AC80" si="151">ROUND(AB68*$G68,0)</f>
        <v>0</v>
      </c>
      <c r="AD68" s="198">
        <f t="shared" si="15"/>
        <v>527</v>
      </c>
      <c r="AE68" s="199"/>
      <c r="AF68" s="199">
        <f t="shared" si="55"/>
        <v>0</v>
      </c>
      <c r="AG68" s="199">
        <v>1</v>
      </c>
      <c r="AH68" s="199">
        <f t="shared" si="56"/>
        <v>527</v>
      </c>
      <c r="AI68" s="199"/>
      <c r="AJ68" s="199">
        <f t="shared" si="57"/>
        <v>0</v>
      </c>
      <c r="AK68" s="199"/>
      <c r="AL68" s="200">
        <f t="shared" si="58"/>
        <v>0</v>
      </c>
      <c r="AM68" s="251">
        <f t="shared" si="17"/>
        <v>1581</v>
      </c>
      <c r="AN68" s="199"/>
      <c r="AO68" s="199">
        <f t="shared" si="59"/>
        <v>0</v>
      </c>
      <c r="AP68" s="199">
        <v>3</v>
      </c>
      <c r="AQ68" s="199">
        <f t="shared" si="60"/>
        <v>1581</v>
      </c>
      <c r="AR68" s="199"/>
      <c r="AS68" s="199">
        <f t="shared" si="61"/>
        <v>0</v>
      </c>
      <c r="AT68" s="199"/>
      <c r="AU68" s="199">
        <f t="shared" si="62"/>
        <v>0</v>
      </c>
      <c r="AV68" s="198">
        <f t="shared" si="46"/>
        <v>0</v>
      </c>
      <c r="AW68" s="199"/>
      <c r="AX68" s="199">
        <f t="shared" si="63"/>
        <v>0</v>
      </c>
      <c r="AY68" s="199"/>
      <c r="AZ68" s="199">
        <f t="shared" si="63"/>
        <v>0</v>
      </c>
      <c r="BA68" s="199"/>
      <c r="BB68" s="200">
        <f t="shared" si="64"/>
        <v>0</v>
      </c>
    </row>
    <row r="69" spans="1:54" s="38" customFormat="1" ht="20.100000000000001" customHeight="1">
      <c r="A69" s="201"/>
      <c r="B69" s="196"/>
      <c r="C69" s="196"/>
      <c r="D69" s="196" t="s">
        <v>102</v>
      </c>
      <c r="E69" s="169" t="s">
        <v>111</v>
      </c>
      <c r="F69" s="197">
        <v>582</v>
      </c>
      <c r="G69" s="197">
        <v>582</v>
      </c>
      <c r="H69" s="198">
        <f t="shared" si="148"/>
        <v>64602</v>
      </c>
      <c r="I69" s="198">
        <f t="shared" si="149"/>
        <v>10476</v>
      </c>
      <c r="J69" s="199"/>
      <c r="K69" s="199">
        <f t="shared" si="150"/>
        <v>0</v>
      </c>
      <c r="L69" s="198">
        <f t="shared" si="43"/>
        <v>0</v>
      </c>
      <c r="M69" s="199"/>
      <c r="N69" s="199">
        <f t="shared" si="48"/>
        <v>0</v>
      </c>
      <c r="O69" s="199"/>
      <c r="P69" s="199">
        <f t="shared" si="49"/>
        <v>0</v>
      </c>
      <c r="Q69" s="199">
        <v>15</v>
      </c>
      <c r="R69" s="199">
        <f t="shared" si="50"/>
        <v>8730</v>
      </c>
      <c r="S69" s="199"/>
      <c r="T69" s="200">
        <f t="shared" si="51"/>
        <v>0</v>
      </c>
      <c r="U69" s="251">
        <f t="shared" si="44"/>
        <v>1746</v>
      </c>
      <c r="V69" s="199">
        <v>3</v>
      </c>
      <c r="W69" s="199">
        <f t="shared" si="52"/>
        <v>1746</v>
      </c>
      <c r="X69" s="199"/>
      <c r="Y69" s="199">
        <f t="shared" si="53"/>
        <v>0</v>
      </c>
      <c r="Z69" s="199"/>
      <c r="AA69" s="199">
        <f t="shared" si="54"/>
        <v>0</v>
      </c>
      <c r="AB69" s="199"/>
      <c r="AC69" s="199">
        <f t="shared" si="151"/>
        <v>0</v>
      </c>
      <c r="AD69" s="198">
        <f t="shared" si="15"/>
        <v>15132</v>
      </c>
      <c r="AE69" s="199">
        <v>11</v>
      </c>
      <c r="AF69" s="199">
        <f t="shared" si="55"/>
        <v>6402</v>
      </c>
      <c r="AG69" s="199">
        <v>12</v>
      </c>
      <c r="AH69" s="199">
        <f t="shared" si="56"/>
        <v>6984</v>
      </c>
      <c r="AI69" s="199">
        <v>3</v>
      </c>
      <c r="AJ69" s="199">
        <f t="shared" si="57"/>
        <v>1746</v>
      </c>
      <c r="AK69" s="199"/>
      <c r="AL69" s="200">
        <f t="shared" si="58"/>
        <v>0</v>
      </c>
      <c r="AM69" s="251">
        <f t="shared" si="17"/>
        <v>8148</v>
      </c>
      <c r="AN69" s="199">
        <v>2</v>
      </c>
      <c r="AO69" s="199">
        <f t="shared" si="59"/>
        <v>1164</v>
      </c>
      <c r="AP69" s="199">
        <v>12</v>
      </c>
      <c r="AQ69" s="199">
        <f t="shared" si="60"/>
        <v>6984</v>
      </c>
      <c r="AR69" s="199"/>
      <c r="AS69" s="199">
        <f t="shared" si="61"/>
        <v>0</v>
      </c>
      <c r="AT69" s="199"/>
      <c r="AU69" s="199">
        <f t="shared" si="62"/>
        <v>0</v>
      </c>
      <c r="AV69" s="198">
        <f t="shared" si="46"/>
        <v>28518</v>
      </c>
      <c r="AW69" s="199">
        <v>49</v>
      </c>
      <c r="AX69" s="199">
        <f t="shared" si="63"/>
        <v>28518</v>
      </c>
      <c r="AY69" s="199"/>
      <c r="AZ69" s="199">
        <f t="shared" si="63"/>
        <v>0</v>
      </c>
      <c r="BA69" s="199">
        <v>4</v>
      </c>
      <c r="BB69" s="200">
        <f t="shared" si="64"/>
        <v>2328</v>
      </c>
    </row>
    <row r="70" spans="1:54" s="38" customFormat="1" ht="20.100000000000001" customHeight="1">
      <c r="A70" s="201"/>
      <c r="B70" s="196"/>
      <c r="C70" s="196"/>
      <c r="D70" s="196" t="s">
        <v>103</v>
      </c>
      <c r="E70" s="169" t="s">
        <v>111</v>
      </c>
      <c r="F70" s="197">
        <v>776</v>
      </c>
      <c r="G70" s="197">
        <v>776</v>
      </c>
      <c r="H70" s="198">
        <f t="shared" si="148"/>
        <v>173048</v>
      </c>
      <c r="I70" s="198">
        <f t="shared" si="149"/>
        <v>147440</v>
      </c>
      <c r="J70" s="199"/>
      <c r="K70" s="199">
        <f t="shared" si="150"/>
        <v>0</v>
      </c>
      <c r="L70" s="198">
        <f t="shared" si="43"/>
        <v>0</v>
      </c>
      <c r="M70" s="199"/>
      <c r="N70" s="199">
        <f t="shared" si="48"/>
        <v>0</v>
      </c>
      <c r="O70" s="199"/>
      <c r="P70" s="199">
        <f t="shared" si="49"/>
        <v>0</v>
      </c>
      <c r="Q70" s="199">
        <v>142</v>
      </c>
      <c r="R70" s="199">
        <f t="shared" si="50"/>
        <v>110192</v>
      </c>
      <c r="S70" s="199"/>
      <c r="T70" s="200">
        <f t="shared" si="51"/>
        <v>0</v>
      </c>
      <c r="U70" s="251">
        <f t="shared" si="44"/>
        <v>37248</v>
      </c>
      <c r="V70" s="199">
        <v>48</v>
      </c>
      <c r="W70" s="199">
        <f t="shared" si="52"/>
        <v>37248</v>
      </c>
      <c r="X70" s="199"/>
      <c r="Y70" s="199">
        <f t="shared" si="53"/>
        <v>0</v>
      </c>
      <c r="Z70" s="199"/>
      <c r="AA70" s="199">
        <f t="shared" si="54"/>
        <v>0</v>
      </c>
      <c r="AB70" s="199"/>
      <c r="AC70" s="199">
        <f t="shared" si="151"/>
        <v>0</v>
      </c>
      <c r="AD70" s="198">
        <f t="shared" ref="AD70:AD96" si="152">AF70+AH70+AJ70+AL70</f>
        <v>13192</v>
      </c>
      <c r="AE70" s="199">
        <v>11</v>
      </c>
      <c r="AF70" s="199">
        <f t="shared" si="55"/>
        <v>8536</v>
      </c>
      <c r="AG70" s="199">
        <v>6</v>
      </c>
      <c r="AH70" s="199">
        <f t="shared" si="56"/>
        <v>4656</v>
      </c>
      <c r="AI70" s="199"/>
      <c r="AJ70" s="199">
        <f t="shared" si="57"/>
        <v>0</v>
      </c>
      <c r="AK70" s="199"/>
      <c r="AL70" s="200">
        <f t="shared" si="58"/>
        <v>0</v>
      </c>
      <c r="AM70" s="251">
        <f t="shared" ref="AM70:AM96" si="153">AO70+AQ70+AS70+AU70</f>
        <v>3880</v>
      </c>
      <c r="AN70" s="199"/>
      <c r="AO70" s="199">
        <f t="shared" si="59"/>
        <v>0</v>
      </c>
      <c r="AP70" s="199">
        <v>5</v>
      </c>
      <c r="AQ70" s="199">
        <f t="shared" si="60"/>
        <v>3880</v>
      </c>
      <c r="AR70" s="199"/>
      <c r="AS70" s="199">
        <f t="shared" si="61"/>
        <v>0</v>
      </c>
      <c r="AT70" s="199"/>
      <c r="AU70" s="199">
        <f t="shared" si="62"/>
        <v>0</v>
      </c>
      <c r="AV70" s="198">
        <f t="shared" si="46"/>
        <v>4656</v>
      </c>
      <c r="AW70" s="199">
        <v>6</v>
      </c>
      <c r="AX70" s="199">
        <f t="shared" si="63"/>
        <v>4656</v>
      </c>
      <c r="AY70" s="199"/>
      <c r="AZ70" s="199">
        <f t="shared" si="63"/>
        <v>0</v>
      </c>
      <c r="BA70" s="199">
        <v>5</v>
      </c>
      <c r="BB70" s="200">
        <f t="shared" si="64"/>
        <v>3880</v>
      </c>
    </row>
    <row r="71" spans="1:54" s="38" customFormat="1" ht="20.100000000000001" customHeight="1">
      <c r="A71" s="201"/>
      <c r="B71" s="196"/>
      <c r="C71" s="196"/>
      <c r="D71" s="196" t="s">
        <v>104</v>
      </c>
      <c r="E71" s="169" t="s">
        <v>111</v>
      </c>
      <c r="F71" s="197">
        <v>836</v>
      </c>
      <c r="G71" s="197">
        <v>836</v>
      </c>
      <c r="H71" s="198">
        <f t="shared" si="148"/>
        <v>188936</v>
      </c>
      <c r="I71" s="198">
        <f t="shared" si="149"/>
        <v>49324</v>
      </c>
      <c r="J71" s="199"/>
      <c r="K71" s="199">
        <f t="shared" si="150"/>
        <v>0</v>
      </c>
      <c r="L71" s="198">
        <f t="shared" si="43"/>
        <v>0</v>
      </c>
      <c r="M71" s="199"/>
      <c r="N71" s="199">
        <f t="shared" si="48"/>
        <v>0</v>
      </c>
      <c r="O71" s="199"/>
      <c r="P71" s="199">
        <f t="shared" si="49"/>
        <v>0</v>
      </c>
      <c r="Q71" s="199">
        <v>39</v>
      </c>
      <c r="R71" s="199">
        <f t="shared" si="50"/>
        <v>32604</v>
      </c>
      <c r="S71" s="199"/>
      <c r="T71" s="200">
        <f t="shared" si="51"/>
        <v>0</v>
      </c>
      <c r="U71" s="251">
        <f t="shared" ref="U71:U96" si="154">W71+Y71</f>
        <v>16720</v>
      </c>
      <c r="V71" s="199">
        <v>20</v>
      </c>
      <c r="W71" s="199">
        <f t="shared" si="52"/>
        <v>16720</v>
      </c>
      <c r="X71" s="199"/>
      <c r="Y71" s="199">
        <f t="shared" si="53"/>
        <v>0</v>
      </c>
      <c r="Z71" s="199"/>
      <c r="AA71" s="199">
        <f t="shared" si="54"/>
        <v>0</v>
      </c>
      <c r="AB71" s="199"/>
      <c r="AC71" s="199">
        <f t="shared" si="151"/>
        <v>0</v>
      </c>
      <c r="AD71" s="198">
        <f t="shared" si="152"/>
        <v>129580</v>
      </c>
      <c r="AE71" s="199">
        <v>122</v>
      </c>
      <c r="AF71" s="199">
        <f t="shared" si="55"/>
        <v>101992</v>
      </c>
      <c r="AG71" s="199">
        <v>30</v>
      </c>
      <c r="AH71" s="199">
        <f t="shared" si="56"/>
        <v>25080</v>
      </c>
      <c r="AI71" s="199">
        <v>3</v>
      </c>
      <c r="AJ71" s="199">
        <f t="shared" si="57"/>
        <v>2508</v>
      </c>
      <c r="AK71" s="199"/>
      <c r="AL71" s="200">
        <f t="shared" si="58"/>
        <v>0</v>
      </c>
      <c r="AM71" s="251">
        <f t="shared" si="153"/>
        <v>10032</v>
      </c>
      <c r="AN71" s="199"/>
      <c r="AO71" s="199">
        <f t="shared" si="59"/>
        <v>0</v>
      </c>
      <c r="AP71" s="199">
        <v>12</v>
      </c>
      <c r="AQ71" s="199">
        <f t="shared" si="60"/>
        <v>10032</v>
      </c>
      <c r="AR71" s="199"/>
      <c r="AS71" s="199">
        <f t="shared" si="61"/>
        <v>0</v>
      </c>
      <c r="AT71" s="199"/>
      <c r="AU71" s="199">
        <f t="shared" si="62"/>
        <v>0</v>
      </c>
      <c r="AV71" s="198">
        <f t="shared" si="46"/>
        <v>0</v>
      </c>
      <c r="AW71" s="199"/>
      <c r="AX71" s="199">
        <f t="shared" si="63"/>
        <v>0</v>
      </c>
      <c r="AY71" s="199"/>
      <c r="AZ71" s="199">
        <f t="shared" si="63"/>
        <v>0</v>
      </c>
      <c r="BA71" s="199"/>
      <c r="BB71" s="200">
        <f t="shared" si="64"/>
        <v>0</v>
      </c>
    </row>
    <row r="72" spans="1:54" s="38" customFormat="1" ht="20.100000000000001" customHeight="1">
      <c r="A72" s="201"/>
      <c r="B72" s="196"/>
      <c r="C72" s="196"/>
      <c r="D72" s="196" t="s">
        <v>105</v>
      </c>
      <c r="E72" s="169" t="s">
        <v>111</v>
      </c>
      <c r="F72" s="197">
        <v>1025</v>
      </c>
      <c r="G72" s="197">
        <v>1025</v>
      </c>
      <c r="H72" s="198">
        <f t="shared" si="148"/>
        <v>266500</v>
      </c>
      <c r="I72" s="198">
        <f t="shared" si="149"/>
        <v>82000</v>
      </c>
      <c r="J72" s="199"/>
      <c r="K72" s="199">
        <f t="shared" si="150"/>
        <v>0</v>
      </c>
      <c r="L72" s="198">
        <f t="shared" si="43"/>
        <v>0</v>
      </c>
      <c r="M72" s="199"/>
      <c r="N72" s="199">
        <f t="shared" ref="N72:N95" si="155">ROUND(M72*$F72,0)</f>
        <v>0</v>
      </c>
      <c r="O72" s="199"/>
      <c r="P72" s="199">
        <f t="shared" si="49"/>
        <v>0</v>
      </c>
      <c r="Q72" s="199">
        <v>68</v>
      </c>
      <c r="R72" s="199">
        <f t="shared" ref="R72:R95" si="156">ROUND(Q72*$F72,0)</f>
        <v>69700</v>
      </c>
      <c r="S72" s="199"/>
      <c r="T72" s="200">
        <f t="shared" ref="T72:T95" si="157">ROUND(S72*$F72,0)</f>
        <v>0</v>
      </c>
      <c r="U72" s="251">
        <f t="shared" si="154"/>
        <v>12300</v>
      </c>
      <c r="V72" s="199">
        <v>12</v>
      </c>
      <c r="W72" s="199">
        <f t="shared" ref="W72:W95" si="158">ROUND(V72*$F72,0)</f>
        <v>12300</v>
      </c>
      <c r="X72" s="199"/>
      <c r="Y72" s="199">
        <f t="shared" ref="Y72:Y95" si="159">ROUND(X72*$G72,0)</f>
        <v>0</v>
      </c>
      <c r="Z72" s="199"/>
      <c r="AA72" s="199">
        <f t="shared" ref="AA72:AA95" si="160">ROUND(Z72*$G72,0)</f>
        <v>0</v>
      </c>
      <c r="AB72" s="199"/>
      <c r="AC72" s="199">
        <f t="shared" si="151"/>
        <v>0</v>
      </c>
      <c r="AD72" s="198">
        <f t="shared" si="152"/>
        <v>135300</v>
      </c>
      <c r="AE72" s="199">
        <v>117</v>
      </c>
      <c r="AF72" s="199">
        <f t="shared" ref="AF72:AF95" si="161">ROUND(AE72*$F72,0)</f>
        <v>119925</v>
      </c>
      <c r="AG72" s="199">
        <v>9</v>
      </c>
      <c r="AH72" s="199">
        <f t="shared" ref="AH72:AH95" si="162">ROUND(AG72*$G72,0)</f>
        <v>9225</v>
      </c>
      <c r="AI72" s="199">
        <v>6</v>
      </c>
      <c r="AJ72" s="199">
        <f t="shared" ref="AJ72:AJ95" si="163">ROUND(AI72*$G72,0)</f>
        <v>6150</v>
      </c>
      <c r="AK72" s="199"/>
      <c r="AL72" s="200">
        <f t="shared" ref="AL72:AL95" si="164">ROUND(AK72*$G72,0)</f>
        <v>0</v>
      </c>
      <c r="AM72" s="251">
        <f t="shared" si="153"/>
        <v>15375</v>
      </c>
      <c r="AN72" s="199">
        <v>2</v>
      </c>
      <c r="AO72" s="199">
        <f t="shared" ref="AO72:AO95" si="165">ROUND(AN72*$F72,0)</f>
        <v>2050</v>
      </c>
      <c r="AP72" s="199">
        <v>13</v>
      </c>
      <c r="AQ72" s="199">
        <f t="shared" ref="AQ72:AQ95" si="166">ROUND(AP72*$F72,0)</f>
        <v>13325</v>
      </c>
      <c r="AR72" s="199"/>
      <c r="AS72" s="199">
        <f t="shared" ref="AS72:AS95" si="167">ROUND(AR72*$G72,0)</f>
        <v>0</v>
      </c>
      <c r="AT72" s="199"/>
      <c r="AU72" s="199">
        <f t="shared" ref="AU72:AU95" si="168">ROUND(AT72*$G72,0)</f>
        <v>0</v>
      </c>
      <c r="AV72" s="198">
        <f t="shared" si="46"/>
        <v>14350</v>
      </c>
      <c r="AW72" s="199">
        <v>14</v>
      </c>
      <c r="AX72" s="199">
        <f t="shared" ref="AX72:AZ95" si="169">ROUND(AW72*$G72,0)</f>
        <v>14350</v>
      </c>
      <c r="AY72" s="199"/>
      <c r="AZ72" s="199">
        <f t="shared" si="169"/>
        <v>0</v>
      </c>
      <c r="BA72" s="199">
        <v>19</v>
      </c>
      <c r="BB72" s="200">
        <f t="shared" ref="BB72:BB95" si="170">ROUND(BA72*$G72,0)</f>
        <v>19475</v>
      </c>
    </row>
    <row r="73" spans="1:54" s="38" customFormat="1" ht="20.100000000000001" customHeight="1">
      <c r="A73" s="201"/>
      <c r="B73" s="196"/>
      <c r="C73" s="196"/>
      <c r="D73" s="196" t="s">
        <v>106</v>
      </c>
      <c r="E73" s="169" t="s">
        <v>111</v>
      </c>
      <c r="F73" s="197">
        <v>1126</v>
      </c>
      <c r="G73" s="197">
        <v>1126</v>
      </c>
      <c r="H73" s="198">
        <f t="shared" si="148"/>
        <v>461660</v>
      </c>
      <c r="I73" s="198">
        <f t="shared" si="149"/>
        <v>249972</v>
      </c>
      <c r="J73" s="199"/>
      <c r="K73" s="199">
        <f t="shared" si="150"/>
        <v>0</v>
      </c>
      <c r="L73" s="198">
        <f t="shared" si="43"/>
        <v>0</v>
      </c>
      <c r="M73" s="199"/>
      <c r="N73" s="199">
        <f t="shared" si="155"/>
        <v>0</v>
      </c>
      <c r="O73" s="199"/>
      <c r="P73" s="199">
        <f t="shared" si="49"/>
        <v>0</v>
      </c>
      <c r="Q73" s="199">
        <v>129</v>
      </c>
      <c r="R73" s="199">
        <f t="shared" si="156"/>
        <v>145254</v>
      </c>
      <c r="S73" s="199"/>
      <c r="T73" s="200">
        <f t="shared" si="157"/>
        <v>0</v>
      </c>
      <c r="U73" s="251">
        <f t="shared" si="154"/>
        <v>104718</v>
      </c>
      <c r="V73" s="199">
        <v>93</v>
      </c>
      <c r="W73" s="199">
        <f t="shared" si="158"/>
        <v>104718</v>
      </c>
      <c r="X73" s="199"/>
      <c r="Y73" s="199">
        <f t="shared" si="159"/>
        <v>0</v>
      </c>
      <c r="Z73" s="199"/>
      <c r="AA73" s="199">
        <f t="shared" si="160"/>
        <v>0</v>
      </c>
      <c r="AB73" s="199"/>
      <c r="AC73" s="199">
        <f t="shared" si="151"/>
        <v>0</v>
      </c>
      <c r="AD73" s="198">
        <f t="shared" si="152"/>
        <v>104718</v>
      </c>
      <c r="AE73" s="199">
        <v>82</v>
      </c>
      <c r="AF73" s="199">
        <f t="shared" si="161"/>
        <v>92332</v>
      </c>
      <c r="AG73" s="199">
        <v>7</v>
      </c>
      <c r="AH73" s="199">
        <f t="shared" si="162"/>
        <v>7882</v>
      </c>
      <c r="AI73" s="199">
        <v>4</v>
      </c>
      <c r="AJ73" s="199">
        <f t="shared" si="163"/>
        <v>4504</v>
      </c>
      <c r="AK73" s="199"/>
      <c r="AL73" s="200">
        <f t="shared" si="164"/>
        <v>0</v>
      </c>
      <c r="AM73" s="251">
        <f t="shared" si="153"/>
        <v>85576</v>
      </c>
      <c r="AN73" s="199">
        <v>14</v>
      </c>
      <c r="AO73" s="199">
        <f t="shared" si="165"/>
        <v>15764</v>
      </c>
      <c r="AP73" s="199">
        <v>62</v>
      </c>
      <c r="AQ73" s="199">
        <f t="shared" si="166"/>
        <v>69812</v>
      </c>
      <c r="AR73" s="199"/>
      <c r="AS73" s="199">
        <f t="shared" si="167"/>
        <v>0</v>
      </c>
      <c r="AT73" s="199"/>
      <c r="AU73" s="199">
        <f t="shared" si="168"/>
        <v>0</v>
      </c>
      <c r="AV73" s="198">
        <f t="shared" si="46"/>
        <v>9008</v>
      </c>
      <c r="AW73" s="199">
        <v>8</v>
      </c>
      <c r="AX73" s="199">
        <f t="shared" si="169"/>
        <v>9008</v>
      </c>
      <c r="AY73" s="199"/>
      <c r="AZ73" s="199">
        <f t="shared" si="169"/>
        <v>0</v>
      </c>
      <c r="BA73" s="199">
        <v>11</v>
      </c>
      <c r="BB73" s="200">
        <f t="shared" si="170"/>
        <v>12386</v>
      </c>
    </row>
    <row r="74" spans="1:54" s="38" customFormat="1" ht="20.100000000000001" customHeight="1">
      <c r="A74" s="201"/>
      <c r="B74" s="196"/>
      <c r="C74" s="196"/>
      <c r="D74" s="196" t="s">
        <v>107</v>
      </c>
      <c r="E74" s="169" t="s">
        <v>111</v>
      </c>
      <c r="F74" s="197">
        <v>1291</v>
      </c>
      <c r="G74" s="197">
        <v>1291</v>
      </c>
      <c r="H74" s="198">
        <f t="shared" si="148"/>
        <v>85206</v>
      </c>
      <c r="I74" s="198">
        <f t="shared" si="149"/>
        <v>27111</v>
      </c>
      <c r="J74" s="199"/>
      <c r="K74" s="199">
        <f t="shared" si="150"/>
        <v>0</v>
      </c>
      <c r="L74" s="198">
        <f t="shared" ref="L74:L96" si="171">N74+P74</f>
        <v>0</v>
      </c>
      <c r="M74" s="199"/>
      <c r="N74" s="199">
        <f t="shared" si="155"/>
        <v>0</v>
      </c>
      <c r="O74" s="199"/>
      <c r="P74" s="199">
        <f t="shared" si="49"/>
        <v>0</v>
      </c>
      <c r="Q74" s="199">
        <v>18</v>
      </c>
      <c r="R74" s="199">
        <f t="shared" si="156"/>
        <v>23238</v>
      </c>
      <c r="S74" s="199"/>
      <c r="T74" s="200">
        <f t="shared" si="157"/>
        <v>0</v>
      </c>
      <c r="U74" s="251">
        <f t="shared" si="154"/>
        <v>3873</v>
      </c>
      <c r="V74" s="199">
        <v>3</v>
      </c>
      <c r="W74" s="199">
        <f t="shared" si="158"/>
        <v>3873</v>
      </c>
      <c r="X74" s="199"/>
      <c r="Y74" s="199">
        <f t="shared" si="159"/>
        <v>0</v>
      </c>
      <c r="Z74" s="199"/>
      <c r="AA74" s="199">
        <f t="shared" si="160"/>
        <v>0</v>
      </c>
      <c r="AB74" s="199"/>
      <c r="AC74" s="199">
        <f t="shared" si="151"/>
        <v>0</v>
      </c>
      <c r="AD74" s="198">
        <f t="shared" si="152"/>
        <v>40021</v>
      </c>
      <c r="AE74" s="199">
        <v>28</v>
      </c>
      <c r="AF74" s="199">
        <f t="shared" si="161"/>
        <v>36148</v>
      </c>
      <c r="AG74" s="199"/>
      <c r="AH74" s="199">
        <f t="shared" si="162"/>
        <v>0</v>
      </c>
      <c r="AI74" s="199">
        <v>3</v>
      </c>
      <c r="AJ74" s="199">
        <f t="shared" si="163"/>
        <v>3873</v>
      </c>
      <c r="AK74" s="199"/>
      <c r="AL74" s="200">
        <f t="shared" si="164"/>
        <v>0</v>
      </c>
      <c r="AM74" s="251">
        <f t="shared" si="153"/>
        <v>9037</v>
      </c>
      <c r="AN74" s="199"/>
      <c r="AO74" s="199">
        <f t="shared" si="165"/>
        <v>0</v>
      </c>
      <c r="AP74" s="199">
        <v>7</v>
      </c>
      <c r="AQ74" s="199">
        <f t="shared" si="166"/>
        <v>9037</v>
      </c>
      <c r="AR74" s="199"/>
      <c r="AS74" s="199">
        <f t="shared" si="167"/>
        <v>0</v>
      </c>
      <c r="AT74" s="199"/>
      <c r="AU74" s="199">
        <f t="shared" si="168"/>
        <v>0</v>
      </c>
      <c r="AV74" s="198">
        <f t="shared" ref="AV74:AV96" si="172">AX74+AZ74</f>
        <v>9037</v>
      </c>
      <c r="AW74" s="199">
        <v>7</v>
      </c>
      <c r="AX74" s="199">
        <f t="shared" si="169"/>
        <v>9037</v>
      </c>
      <c r="AY74" s="199"/>
      <c r="AZ74" s="199">
        <f t="shared" si="169"/>
        <v>0</v>
      </c>
      <c r="BA74" s="199"/>
      <c r="BB74" s="200">
        <f t="shared" si="170"/>
        <v>0</v>
      </c>
    </row>
    <row r="75" spans="1:54" s="38" customFormat="1" ht="20.100000000000001" customHeight="1">
      <c r="A75" s="201"/>
      <c r="B75" s="196"/>
      <c r="C75" s="196"/>
      <c r="D75" s="196" t="s">
        <v>108</v>
      </c>
      <c r="E75" s="169" t="s">
        <v>111</v>
      </c>
      <c r="F75" s="197">
        <v>1527</v>
      </c>
      <c r="G75" s="197">
        <v>1527</v>
      </c>
      <c r="H75" s="198">
        <f t="shared" si="148"/>
        <v>258063</v>
      </c>
      <c r="I75" s="198">
        <f t="shared" si="149"/>
        <v>120633</v>
      </c>
      <c r="J75" s="199"/>
      <c r="K75" s="199">
        <f t="shared" si="150"/>
        <v>0</v>
      </c>
      <c r="L75" s="198">
        <f t="shared" si="171"/>
        <v>0</v>
      </c>
      <c r="M75" s="199"/>
      <c r="N75" s="199">
        <f t="shared" si="155"/>
        <v>0</v>
      </c>
      <c r="O75" s="199"/>
      <c r="P75" s="199">
        <f t="shared" ref="P75:P95" si="173">ROUND(O75*$G75,0)</f>
        <v>0</v>
      </c>
      <c r="Q75" s="199">
        <v>62</v>
      </c>
      <c r="R75" s="199">
        <f t="shared" si="156"/>
        <v>94674</v>
      </c>
      <c r="S75" s="199"/>
      <c r="T75" s="200">
        <f t="shared" si="157"/>
        <v>0</v>
      </c>
      <c r="U75" s="251">
        <f t="shared" si="154"/>
        <v>25959</v>
      </c>
      <c r="V75" s="199">
        <v>17</v>
      </c>
      <c r="W75" s="199">
        <f t="shared" si="158"/>
        <v>25959</v>
      </c>
      <c r="X75" s="199"/>
      <c r="Y75" s="199">
        <f t="shared" si="159"/>
        <v>0</v>
      </c>
      <c r="Z75" s="199"/>
      <c r="AA75" s="199">
        <f t="shared" si="160"/>
        <v>0</v>
      </c>
      <c r="AB75" s="199"/>
      <c r="AC75" s="199">
        <f t="shared" si="151"/>
        <v>0</v>
      </c>
      <c r="AD75" s="198">
        <f t="shared" si="152"/>
        <v>59553</v>
      </c>
      <c r="AE75" s="199">
        <v>31</v>
      </c>
      <c r="AF75" s="199">
        <f t="shared" si="161"/>
        <v>47337</v>
      </c>
      <c r="AG75" s="199">
        <v>6</v>
      </c>
      <c r="AH75" s="199">
        <f t="shared" si="162"/>
        <v>9162</v>
      </c>
      <c r="AI75" s="199">
        <v>2</v>
      </c>
      <c r="AJ75" s="199">
        <f t="shared" si="163"/>
        <v>3054</v>
      </c>
      <c r="AK75" s="199"/>
      <c r="AL75" s="200">
        <f t="shared" si="164"/>
        <v>0</v>
      </c>
      <c r="AM75" s="251">
        <f t="shared" si="153"/>
        <v>65661</v>
      </c>
      <c r="AN75" s="199">
        <v>16</v>
      </c>
      <c r="AO75" s="199">
        <f t="shared" si="165"/>
        <v>24432</v>
      </c>
      <c r="AP75" s="199">
        <v>27</v>
      </c>
      <c r="AQ75" s="199">
        <f t="shared" si="166"/>
        <v>41229</v>
      </c>
      <c r="AR75" s="199"/>
      <c r="AS75" s="199">
        <f t="shared" si="167"/>
        <v>0</v>
      </c>
      <c r="AT75" s="199"/>
      <c r="AU75" s="199">
        <f t="shared" si="168"/>
        <v>0</v>
      </c>
      <c r="AV75" s="198">
        <f t="shared" si="172"/>
        <v>9162</v>
      </c>
      <c r="AW75" s="199">
        <v>6</v>
      </c>
      <c r="AX75" s="199">
        <f t="shared" si="169"/>
        <v>9162</v>
      </c>
      <c r="AY75" s="199"/>
      <c r="AZ75" s="199">
        <f t="shared" si="169"/>
        <v>0</v>
      </c>
      <c r="BA75" s="199">
        <v>2</v>
      </c>
      <c r="BB75" s="200">
        <f t="shared" si="170"/>
        <v>3054</v>
      </c>
    </row>
    <row r="76" spans="1:54" s="38" customFormat="1" ht="20.100000000000001" customHeight="1">
      <c r="A76" s="201"/>
      <c r="B76" s="196"/>
      <c r="C76" s="196"/>
      <c r="D76" s="196" t="s">
        <v>109</v>
      </c>
      <c r="E76" s="169" t="s">
        <v>111</v>
      </c>
      <c r="F76" s="197">
        <v>1720</v>
      </c>
      <c r="G76" s="197">
        <v>1720</v>
      </c>
      <c r="H76" s="198">
        <f t="shared" si="148"/>
        <v>68800</v>
      </c>
      <c r="I76" s="198">
        <f t="shared" si="149"/>
        <v>34400</v>
      </c>
      <c r="J76" s="199"/>
      <c r="K76" s="199">
        <f t="shared" si="150"/>
        <v>0</v>
      </c>
      <c r="L76" s="198">
        <f t="shared" si="171"/>
        <v>0</v>
      </c>
      <c r="M76" s="199"/>
      <c r="N76" s="199">
        <f t="shared" si="155"/>
        <v>0</v>
      </c>
      <c r="O76" s="199"/>
      <c r="P76" s="199">
        <f t="shared" si="173"/>
        <v>0</v>
      </c>
      <c r="Q76" s="199">
        <v>9</v>
      </c>
      <c r="R76" s="199">
        <f t="shared" si="156"/>
        <v>15480</v>
      </c>
      <c r="S76" s="199"/>
      <c r="T76" s="200">
        <f t="shared" si="157"/>
        <v>0</v>
      </c>
      <c r="U76" s="251">
        <f t="shared" si="154"/>
        <v>18920</v>
      </c>
      <c r="V76" s="199">
        <v>11</v>
      </c>
      <c r="W76" s="199">
        <f t="shared" si="158"/>
        <v>18920</v>
      </c>
      <c r="X76" s="199"/>
      <c r="Y76" s="199">
        <f t="shared" si="159"/>
        <v>0</v>
      </c>
      <c r="Z76" s="199"/>
      <c r="AA76" s="199">
        <f t="shared" si="160"/>
        <v>0</v>
      </c>
      <c r="AB76" s="199"/>
      <c r="AC76" s="199">
        <f t="shared" si="151"/>
        <v>0</v>
      </c>
      <c r="AD76" s="198">
        <f t="shared" si="152"/>
        <v>24080</v>
      </c>
      <c r="AE76" s="199">
        <v>14</v>
      </c>
      <c r="AF76" s="199">
        <f t="shared" si="161"/>
        <v>24080</v>
      </c>
      <c r="AG76" s="199"/>
      <c r="AH76" s="199">
        <f t="shared" si="162"/>
        <v>0</v>
      </c>
      <c r="AI76" s="199"/>
      <c r="AJ76" s="199">
        <f t="shared" si="163"/>
        <v>0</v>
      </c>
      <c r="AK76" s="199"/>
      <c r="AL76" s="200">
        <f t="shared" si="164"/>
        <v>0</v>
      </c>
      <c r="AM76" s="251">
        <f t="shared" si="153"/>
        <v>3440</v>
      </c>
      <c r="AN76" s="199"/>
      <c r="AO76" s="199">
        <f t="shared" si="165"/>
        <v>0</v>
      </c>
      <c r="AP76" s="199">
        <v>2</v>
      </c>
      <c r="AQ76" s="199">
        <f t="shared" si="166"/>
        <v>3440</v>
      </c>
      <c r="AR76" s="199"/>
      <c r="AS76" s="199">
        <f t="shared" si="167"/>
        <v>0</v>
      </c>
      <c r="AT76" s="199"/>
      <c r="AU76" s="199">
        <f t="shared" si="168"/>
        <v>0</v>
      </c>
      <c r="AV76" s="198">
        <f t="shared" si="172"/>
        <v>6880</v>
      </c>
      <c r="AW76" s="199">
        <v>4</v>
      </c>
      <c r="AX76" s="199">
        <f t="shared" si="169"/>
        <v>6880</v>
      </c>
      <c r="AY76" s="199"/>
      <c r="AZ76" s="199">
        <f t="shared" si="169"/>
        <v>0</v>
      </c>
      <c r="BA76" s="199"/>
      <c r="BB76" s="200">
        <f t="shared" si="170"/>
        <v>0</v>
      </c>
    </row>
    <row r="77" spans="1:54" s="38" customFormat="1" ht="20.100000000000001" customHeight="1">
      <c r="A77" s="201"/>
      <c r="B77" s="196"/>
      <c r="C77" s="196"/>
      <c r="D77" s="196" t="s">
        <v>110</v>
      </c>
      <c r="E77" s="169" t="s">
        <v>111</v>
      </c>
      <c r="F77" s="197">
        <v>1861</v>
      </c>
      <c r="G77" s="197">
        <v>1861</v>
      </c>
      <c r="H77" s="198">
        <f t="shared" si="148"/>
        <v>299621</v>
      </c>
      <c r="I77" s="198">
        <f t="shared" si="149"/>
        <v>178656</v>
      </c>
      <c r="J77" s="199"/>
      <c r="K77" s="199">
        <f t="shared" si="150"/>
        <v>0</v>
      </c>
      <c r="L77" s="198">
        <f t="shared" si="171"/>
        <v>0</v>
      </c>
      <c r="M77" s="199"/>
      <c r="N77" s="199">
        <f t="shared" si="155"/>
        <v>0</v>
      </c>
      <c r="O77" s="199"/>
      <c r="P77" s="199">
        <f t="shared" si="173"/>
        <v>0</v>
      </c>
      <c r="Q77" s="199">
        <v>88</v>
      </c>
      <c r="R77" s="199">
        <f t="shared" si="156"/>
        <v>163768</v>
      </c>
      <c r="S77" s="199"/>
      <c r="T77" s="200">
        <f t="shared" si="157"/>
        <v>0</v>
      </c>
      <c r="U77" s="251">
        <f t="shared" si="154"/>
        <v>14888</v>
      </c>
      <c r="V77" s="199">
        <v>8</v>
      </c>
      <c r="W77" s="199">
        <f t="shared" si="158"/>
        <v>14888</v>
      </c>
      <c r="X77" s="199"/>
      <c r="Y77" s="199">
        <f t="shared" si="159"/>
        <v>0</v>
      </c>
      <c r="Z77" s="199"/>
      <c r="AA77" s="199">
        <f t="shared" si="160"/>
        <v>0</v>
      </c>
      <c r="AB77" s="199"/>
      <c r="AC77" s="199">
        <f t="shared" si="151"/>
        <v>0</v>
      </c>
      <c r="AD77" s="198">
        <f t="shared" si="152"/>
        <v>83745</v>
      </c>
      <c r="AE77" s="199">
        <v>31</v>
      </c>
      <c r="AF77" s="199">
        <f t="shared" si="161"/>
        <v>57691</v>
      </c>
      <c r="AG77" s="199">
        <v>9</v>
      </c>
      <c r="AH77" s="199">
        <f t="shared" si="162"/>
        <v>16749</v>
      </c>
      <c r="AI77" s="199">
        <v>2</v>
      </c>
      <c r="AJ77" s="199">
        <f t="shared" si="163"/>
        <v>3722</v>
      </c>
      <c r="AK77" s="199">
        <v>3</v>
      </c>
      <c r="AL77" s="200">
        <f t="shared" si="164"/>
        <v>5583</v>
      </c>
      <c r="AM77" s="251">
        <f t="shared" si="153"/>
        <v>35359</v>
      </c>
      <c r="AN77" s="199">
        <v>3</v>
      </c>
      <c r="AO77" s="199">
        <f t="shared" si="165"/>
        <v>5583</v>
      </c>
      <c r="AP77" s="199">
        <v>16</v>
      </c>
      <c r="AQ77" s="199">
        <f t="shared" si="166"/>
        <v>29776</v>
      </c>
      <c r="AR77" s="199"/>
      <c r="AS77" s="199">
        <f t="shared" si="167"/>
        <v>0</v>
      </c>
      <c r="AT77" s="199"/>
      <c r="AU77" s="199">
        <f t="shared" si="168"/>
        <v>0</v>
      </c>
      <c r="AV77" s="198">
        <f t="shared" si="172"/>
        <v>1861</v>
      </c>
      <c r="AW77" s="199">
        <v>1</v>
      </c>
      <c r="AX77" s="199">
        <f t="shared" si="169"/>
        <v>1861</v>
      </c>
      <c r="AY77" s="199"/>
      <c r="AZ77" s="199">
        <f t="shared" si="169"/>
        <v>0</v>
      </c>
      <c r="BA77" s="199"/>
      <c r="BB77" s="200">
        <f t="shared" si="170"/>
        <v>0</v>
      </c>
    </row>
    <row r="78" spans="1:54" s="38" customFormat="1" ht="20.100000000000001" customHeight="1">
      <c r="A78" s="201"/>
      <c r="B78" s="196"/>
      <c r="C78" s="196"/>
      <c r="D78" s="196" t="s">
        <v>115</v>
      </c>
      <c r="E78" s="169" t="s">
        <v>111</v>
      </c>
      <c r="F78" s="197">
        <v>2132</v>
      </c>
      <c r="G78" s="197">
        <v>2132</v>
      </c>
      <c r="H78" s="198">
        <f t="shared" si="148"/>
        <v>215332</v>
      </c>
      <c r="I78" s="198">
        <f t="shared" si="149"/>
        <v>110864</v>
      </c>
      <c r="J78" s="199"/>
      <c r="K78" s="199">
        <f t="shared" si="150"/>
        <v>0</v>
      </c>
      <c r="L78" s="198">
        <f t="shared" si="171"/>
        <v>0</v>
      </c>
      <c r="M78" s="199"/>
      <c r="N78" s="199">
        <f t="shared" si="155"/>
        <v>0</v>
      </c>
      <c r="O78" s="199"/>
      <c r="P78" s="199">
        <f t="shared" si="173"/>
        <v>0</v>
      </c>
      <c r="Q78" s="199">
        <v>43</v>
      </c>
      <c r="R78" s="199">
        <f t="shared" si="156"/>
        <v>91676</v>
      </c>
      <c r="S78" s="199"/>
      <c r="T78" s="200">
        <f t="shared" si="157"/>
        <v>0</v>
      </c>
      <c r="U78" s="251">
        <f t="shared" si="154"/>
        <v>19188</v>
      </c>
      <c r="V78" s="199">
        <v>9</v>
      </c>
      <c r="W78" s="199">
        <f t="shared" si="158"/>
        <v>19188</v>
      </c>
      <c r="X78" s="199"/>
      <c r="Y78" s="199">
        <f t="shared" si="159"/>
        <v>0</v>
      </c>
      <c r="Z78" s="199"/>
      <c r="AA78" s="199">
        <f t="shared" si="160"/>
        <v>0</v>
      </c>
      <c r="AB78" s="199"/>
      <c r="AC78" s="199">
        <f t="shared" si="151"/>
        <v>0</v>
      </c>
      <c r="AD78" s="198">
        <f t="shared" si="152"/>
        <v>76752</v>
      </c>
      <c r="AE78" s="199">
        <v>19</v>
      </c>
      <c r="AF78" s="199">
        <f t="shared" si="161"/>
        <v>40508</v>
      </c>
      <c r="AG78" s="199">
        <v>2</v>
      </c>
      <c r="AH78" s="199">
        <f t="shared" si="162"/>
        <v>4264</v>
      </c>
      <c r="AI78" s="199"/>
      <c r="AJ78" s="199">
        <f t="shared" si="163"/>
        <v>0</v>
      </c>
      <c r="AK78" s="199">
        <v>15</v>
      </c>
      <c r="AL78" s="200">
        <f t="shared" si="164"/>
        <v>31980</v>
      </c>
      <c r="AM78" s="251">
        <f t="shared" si="153"/>
        <v>14924</v>
      </c>
      <c r="AN78" s="199">
        <v>3</v>
      </c>
      <c r="AO78" s="199">
        <f t="shared" si="165"/>
        <v>6396</v>
      </c>
      <c r="AP78" s="199">
        <v>4</v>
      </c>
      <c r="AQ78" s="199">
        <f t="shared" si="166"/>
        <v>8528</v>
      </c>
      <c r="AR78" s="199"/>
      <c r="AS78" s="199">
        <f t="shared" si="167"/>
        <v>0</v>
      </c>
      <c r="AT78" s="199"/>
      <c r="AU78" s="199">
        <f t="shared" si="168"/>
        <v>0</v>
      </c>
      <c r="AV78" s="198">
        <f t="shared" si="172"/>
        <v>12792</v>
      </c>
      <c r="AW78" s="199">
        <v>6</v>
      </c>
      <c r="AX78" s="199">
        <f t="shared" si="169"/>
        <v>12792</v>
      </c>
      <c r="AY78" s="199"/>
      <c r="AZ78" s="199">
        <f t="shared" si="169"/>
        <v>0</v>
      </c>
      <c r="BA78" s="199"/>
      <c r="BB78" s="200">
        <f t="shared" si="170"/>
        <v>0</v>
      </c>
    </row>
    <row r="79" spans="1:54" s="49" customFormat="1" ht="20.100000000000001" customHeight="1">
      <c r="A79" s="223"/>
      <c r="B79" s="450" t="s">
        <v>137</v>
      </c>
      <c r="C79" s="450"/>
      <c r="D79" s="450"/>
      <c r="E79" s="178"/>
      <c r="F79" s="179">
        <v>32000</v>
      </c>
      <c r="G79" s="179">
        <v>32000</v>
      </c>
      <c r="H79" s="206">
        <f t="shared" si="148"/>
        <v>256000</v>
      </c>
      <c r="I79" s="206">
        <f>L79+R79+T79+U79+AA79+AC79</f>
        <v>96000</v>
      </c>
      <c r="J79" s="180"/>
      <c r="K79" s="180">
        <f t="shared" si="150"/>
        <v>0</v>
      </c>
      <c r="L79" s="206">
        <f t="shared" si="171"/>
        <v>0</v>
      </c>
      <c r="M79" s="180"/>
      <c r="N79" s="180">
        <f t="shared" si="155"/>
        <v>0</v>
      </c>
      <c r="O79" s="180"/>
      <c r="P79" s="180">
        <f t="shared" si="173"/>
        <v>0</v>
      </c>
      <c r="Q79" s="180"/>
      <c r="R79" s="180">
        <f t="shared" si="156"/>
        <v>0</v>
      </c>
      <c r="S79" s="180"/>
      <c r="T79" s="181">
        <f t="shared" si="157"/>
        <v>0</v>
      </c>
      <c r="U79" s="253">
        <f t="shared" si="154"/>
        <v>32000</v>
      </c>
      <c r="V79" s="180"/>
      <c r="W79" s="180">
        <f t="shared" si="158"/>
        <v>0</v>
      </c>
      <c r="X79" s="180">
        <f>'[22]1. 오수관 신설(처리구역)'!$H$9</f>
        <v>1</v>
      </c>
      <c r="Y79" s="180">
        <f t="shared" si="159"/>
        <v>32000</v>
      </c>
      <c r="Z79" s="180">
        <f>'[23]1. 오수관 신설(처리구역)'!$O$11</f>
        <v>1</v>
      </c>
      <c r="AA79" s="180">
        <f t="shared" si="160"/>
        <v>32000</v>
      </c>
      <c r="AB79" s="180">
        <f>'[23]1. 오수관 신설(처리구역)'!$H$11</f>
        <v>1</v>
      </c>
      <c r="AC79" s="180">
        <f t="shared" si="151"/>
        <v>32000</v>
      </c>
      <c r="AD79" s="206">
        <f t="shared" si="152"/>
        <v>32000</v>
      </c>
      <c r="AE79" s="180"/>
      <c r="AF79" s="180">
        <f t="shared" si="161"/>
        <v>0</v>
      </c>
      <c r="AG79" s="180"/>
      <c r="AH79" s="180">
        <f t="shared" si="162"/>
        <v>0</v>
      </c>
      <c r="AI79" s="180">
        <f>'[22]1. 오수관 신설(처리구역)'!$O$14</f>
        <v>1</v>
      </c>
      <c r="AJ79" s="180">
        <f t="shared" si="163"/>
        <v>32000</v>
      </c>
      <c r="AK79" s="180"/>
      <c r="AL79" s="181">
        <f t="shared" si="164"/>
        <v>0</v>
      </c>
      <c r="AM79" s="253">
        <f t="shared" si="153"/>
        <v>32000</v>
      </c>
      <c r="AN79" s="180"/>
      <c r="AO79" s="180">
        <f t="shared" si="165"/>
        <v>0</v>
      </c>
      <c r="AP79" s="180"/>
      <c r="AQ79" s="180">
        <f t="shared" si="166"/>
        <v>0</v>
      </c>
      <c r="AR79" s="180">
        <f>'[22]1. 오수관 신설(처리구역)'!$H$19</f>
        <v>1</v>
      </c>
      <c r="AS79" s="180">
        <f t="shared" si="167"/>
        <v>32000</v>
      </c>
      <c r="AT79" s="180"/>
      <c r="AU79" s="180">
        <f t="shared" si="168"/>
        <v>0</v>
      </c>
      <c r="AV79" s="206">
        <f t="shared" si="172"/>
        <v>64000</v>
      </c>
      <c r="AW79" s="180"/>
      <c r="AX79" s="180">
        <f t="shared" si="169"/>
        <v>0</v>
      </c>
      <c r="AY79" s="180">
        <f>'[23]1. 오수관 신설(처리구역)'!$H$22</f>
        <v>2</v>
      </c>
      <c r="AZ79" s="180">
        <f t="shared" si="169"/>
        <v>64000</v>
      </c>
      <c r="BA79" s="180">
        <f>'[23]1. 오수관 신설(처리구역)'!$H$23</f>
        <v>1</v>
      </c>
      <c r="BB79" s="181">
        <f t="shared" si="170"/>
        <v>32000</v>
      </c>
    </row>
    <row r="80" spans="1:54" s="49" customFormat="1" ht="20.100000000000001" customHeight="1">
      <c r="A80" s="223"/>
      <c r="B80" s="450" t="s">
        <v>138</v>
      </c>
      <c r="C80" s="450"/>
      <c r="D80" s="450"/>
      <c r="E80" s="178" t="s">
        <v>100</v>
      </c>
      <c r="F80" s="179">
        <v>5173</v>
      </c>
      <c r="G80" s="179"/>
      <c r="H80" s="206">
        <f t="shared" si="148"/>
        <v>1846761</v>
      </c>
      <c r="I80" s="206">
        <f>L80+R80+T80+U80+AA80</f>
        <v>1846761</v>
      </c>
      <c r="J80" s="206"/>
      <c r="K80" s="206"/>
      <c r="L80" s="206">
        <f t="shared" si="171"/>
        <v>1846761</v>
      </c>
      <c r="M80" s="180">
        <v>357</v>
      </c>
      <c r="N80" s="180">
        <f t="shared" si="155"/>
        <v>1846761</v>
      </c>
      <c r="O80" s="206"/>
      <c r="P80" s="180">
        <f t="shared" si="173"/>
        <v>0</v>
      </c>
      <c r="Q80" s="206"/>
      <c r="R80" s="180">
        <f t="shared" si="156"/>
        <v>0</v>
      </c>
      <c r="S80" s="206"/>
      <c r="T80" s="181">
        <f t="shared" si="157"/>
        <v>0</v>
      </c>
      <c r="U80" s="253">
        <f t="shared" si="154"/>
        <v>0</v>
      </c>
      <c r="V80" s="206"/>
      <c r="W80" s="180">
        <f t="shared" si="158"/>
        <v>0</v>
      </c>
      <c r="X80" s="180"/>
      <c r="Y80" s="180">
        <f t="shared" si="159"/>
        <v>0</v>
      </c>
      <c r="Z80" s="180"/>
      <c r="AA80" s="180">
        <f t="shared" si="160"/>
        <v>0</v>
      </c>
      <c r="AB80" s="180"/>
      <c r="AC80" s="180">
        <f t="shared" si="151"/>
        <v>0</v>
      </c>
      <c r="AD80" s="206">
        <f t="shared" si="152"/>
        <v>0</v>
      </c>
      <c r="AE80" s="180"/>
      <c r="AF80" s="180">
        <f t="shared" si="161"/>
        <v>0</v>
      </c>
      <c r="AG80" s="180"/>
      <c r="AH80" s="180">
        <f t="shared" si="162"/>
        <v>0</v>
      </c>
      <c r="AI80" s="180"/>
      <c r="AJ80" s="180">
        <f t="shared" si="163"/>
        <v>0</v>
      </c>
      <c r="AK80" s="180"/>
      <c r="AL80" s="181">
        <f t="shared" si="164"/>
        <v>0</v>
      </c>
      <c r="AM80" s="253">
        <f t="shared" si="153"/>
        <v>0</v>
      </c>
      <c r="AN80" s="180"/>
      <c r="AO80" s="180">
        <f t="shared" si="165"/>
        <v>0</v>
      </c>
      <c r="AP80" s="206"/>
      <c r="AQ80" s="180">
        <f t="shared" si="166"/>
        <v>0</v>
      </c>
      <c r="AR80" s="180"/>
      <c r="AS80" s="180">
        <f t="shared" si="167"/>
        <v>0</v>
      </c>
      <c r="AT80" s="180"/>
      <c r="AU80" s="180">
        <f t="shared" si="168"/>
        <v>0</v>
      </c>
      <c r="AV80" s="206">
        <f t="shared" si="172"/>
        <v>0</v>
      </c>
      <c r="AW80" s="180"/>
      <c r="AX80" s="180">
        <f t="shared" si="169"/>
        <v>0</v>
      </c>
      <c r="AY80" s="180"/>
      <c r="AZ80" s="180">
        <f t="shared" si="169"/>
        <v>0</v>
      </c>
      <c r="BA80" s="180"/>
      <c r="BB80" s="181">
        <f t="shared" si="170"/>
        <v>0</v>
      </c>
    </row>
    <row r="81" spans="1:54" s="50" customFormat="1" ht="20.100000000000001" customHeight="1">
      <c r="A81" s="439" t="s">
        <v>283</v>
      </c>
      <c r="B81" s="440"/>
      <c r="C81" s="440"/>
      <c r="D81" s="440"/>
      <c r="E81" s="173"/>
      <c r="F81" s="174"/>
      <c r="G81" s="174"/>
      <c r="H81" s="175">
        <f>SUM(H82:H89)</f>
        <v>2044342</v>
      </c>
      <c r="I81" s="175">
        <f>SUM(I82:I89)</f>
        <v>2044342</v>
      </c>
      <c r="J81" s="175">
        <f>SUM(J82:J89)</f>
        <v>2011</v>
      </c>
      <c r="K81" s="175">
        <f>SUM(K82:K89)</f>
        <v>2044342</v>
      </c>
      <c r="L81" s="175"/>
      <c r="M81" s="224"/>
      <c r="N81" s="224"/>
      <c r="O81" s="225"/>
      <c r="P81" s="175"/>
      <c r="Q81" s="225"/>
      <c r="R81" s="175"/>
      <c r="S81" s="225"/>
      <c r="T81" s="176"/>
      <c r="U81" s="257"/>
      <c r="V81" s="225"/>
      <c r="W81" s="175"/>
      <c r="X81" s="175"/>
      <c r="Y81" s="175"/>
      <c r="Z81" s="175"/>
      <c r="AA81" s="175"/>
      <c r="AB81" s="175"/>
      <c r="AC81" s="175"/>
      <c r="AD81" s="225"/>
      <c r="AE81" s="175"/>
      <c r="AF81" s="175"/>
      <c r="AG81" s="175"/>
      <c r="AH81" s="175"/>
      <c r="AI81" s="175"/>
      <c r="AJ81" s="175"/>
      <c r="AK81" s="175"/>
      <c r="AL81" s="176"/>
      <c r="AM81" s="257"/>
      <c r="AN81" s="175"/>
      <c r="AO81" s="175"/>
      <c r="AP81" s="225"/>
      <c r="AQ81" s="175"/>
      <c r="AR81" s="175"/>
      <c r="AS81" s="175"/>
      <c r="AT81" s="175"/>
      <c r="AU81" s="175"/>
      <c r="AV81" s="225"/>
      <c r="AW81" s="175"/>
      <c r="AX81" s="175"/>
      <c r="AY81" s="175"/>
      <c r="AZ81" s="175"/>
      <c r="BA81" s="175"/>
      <c r="BB81" s="176"/>
    </row>
    <row r="82" spans="1:54" s="49" customFormat="1" ht="20.100000000000001" customHeight="1">
      <c r="A82" s="201"/>
      <c r="B82" s="196"/>
      <c r="C82" s="196"/>
      <c r="D82" s="196" t="s">
        <v>102</v>
      </c>
      <c r="E82" s="169" t="s">
        <v>100</v>
      </c>
      <c r="F82" s="197">
        <v>520</v>
      </c>
      <c r="G82" s="197">
        <v>349</v>
      </c>
      <c r="H82" s="198">
        <f t="shared" ref="H82:H89" si="174">I82+AD82+AM82+AV82+BB82</f>
        <v>69160</v>
      </c>
      <c r="I82" s="198">
        <f>K82</f>
        <v>69160</v>
      </c>
      <c r="J82" s="199">
        <f>'[24]4. 차집관거 조서'!$D$17</f>
        <v>133</v>
      </c>
      <c r="K82" s="199">
        <f>J82*F82</f>
        <v>69160</v>
      </c>
      <c r="L82" s="198"/>
      <c r="M82" s="226"/>
      <c r="N82" s="226"/>
      <c r="O82" s="206"/>
      <c r="P82" s="180"/>
      <c r="Q82" s="206"/>
      <c r="R82" s="180"/>
      <c r="S82" s="206"/>
      <c r="T82" s="181"/>
      <c r="U82" s="253"/>
      <c r="V82" s="206"/>
      <c r="W82" s="180"/>
      <c r="X82" s="180"/>
      <c r="Y82" s="180"/>
      <c r="Z82" s="180"/>
      <c r="AA82" s="180"/>
      <c r="AB82" s="180"/>
      <c r="AC82" s="180"/>
      <c r="AD82" s="206"/>
      <c r="AE82" s="180"/>
      <c r="AF82" s="180"/>
      <c r="AG82" s="180"/>
      <c r="AH82" s="180"/>
      <c r="AI82" s="180"/>
      <c r="AJ82" s="180"/>
      <c r="AK82" s="180"/>
      <c r="AL82" s="181"/>
      <c r="AM82" s="253"/>
      <c r="AN82" s="180"/>
      <c r="AO82" s="180"/>
      <c r="AP82" s="206"/>
      <c r="AQ82" s="180"/>
      <c r="AR82" s="180"/>
      <c r="AS82" s="180"/>
      <c r="AT82" s="180"/>
      <c r="AU82" s="180"/>
      <c r="AV82" s="206"/>
      <c r="AW82" s="180"/>
      <c r="AX82" s="180"/>
      <c r="AY82" s="180"/>
      <c r="AZ82" s="180"/>
      <c r="BA82" s="180"/>
      <c r="BB82" s="181"/>
    </row>
    <row r="83" spans="1:54" s="49" customFormat="1" ht="20.100000000000001" customHeight="1">
      <c r="A83" s="201"/>
      <c r="B83" s="196"/>
      <c r="C83" s="196"/>
      <c r="D83" s="196" t="s">
        <v>103</v>
      </c>
      <c r="E83" s="169" t="s">
        <v>100</v>
      </c>
      <c r="F83" s="197">
        <v>567</v>
      </c>
      <c r="G83" s="197">
        <v>394</v>
      </c>
      <c r="H83" s="198">
        <f t="shared" si="174"/>
        <v>30618</v>
      </c>
      <c r="I83" s="198">
        <f t="shared" ref="I83:I89" si="175">K83</f>
        <v>30618</v>
      </c>
      <c r="J83" s="199">
        <f>'[24]4. 차집관거 조서'!$E$17</f>
        <v>54</v>
      </c>
      <c r="K83" s="199">
        <f t="shared" ref="K83:K89" si="176">J83*F83</f>
        <v>30618</v>
      </c>
      <c r="L83" s="198"/>
      <c r="M83" s="226"/>
      <c r="N83" s="226"/>
      <c r="O83" s="206"/>
      <c r="P83" s="180"/>
      <c r="Q83" s="206"/>
      <c r="R83" s="180"/>
      <c r="S83" s="206"/>
      <c r="T83" s="181"/>
      <c r="U83" s="253"/>
      <c r="V83" s="206"/>
      <c r="W83" s="180"/>
      <c r="X83" s="180"/>
      <c r="Y83" s="180"/>
      <c r="Z83" s="180"/>
      <c r="AA83" s="180"/>
      <c r="AB83" s="180"/>
      <c r="AC83" s="180"/>
      <c r="AD83" s="206"/>
      <c r="AE83" s="180"/>
      <c r="AF83" s="180"/>
      <c r="AG83" s="180"/>
      <c r="AH83" s="180"/>
      <c r="AI83" s="180"/>
      <c r="AJ83" s="180"/>
      <c r="AK83" s="180"/>
      <c r="AL83" s="181"/>
      <c r="AM83" s="253"/>
      <c r="AN83" s="180"/>
      <c r="AO83" s="180"/>
      <c r="AP83" s="206"/>
      <c r="AQ83" s="180"/>
      <c r="AR83" s="180"/>
      <c r="AS83" s="180"/>
      <c r="AT83" s="180"/>
      <c r="AU83" s="180"/>
      <c r="AV83" s="206"/>
      <c r="AW83" s="180"/>
      <c r="AX83" s="180"/>
      <c r="AY83" s="180"/>
      <c r="AZ83" s="180"/>
      <c r="BA83" s="180"/>
      <c r="BB83" s="181"/>
    </row>
    <row r="84" spans="1:54" s="49" customFormat="1" ht="20.100000000000001" customHeight="1">
      <c r="A84" s="201"/>
      <c r="B84" s="196"/>
      <c r="C84" s="196"/>
      <c r="D84" s="196" t="s">
        <v>105</v>
      </c>
      <c r="E84" s="169" t="s">
        <v>100</v>
      </c>
      <c r="F84" s="197">
        <v>660</v>
      </c>
      <c r="G84" s="197">
        <v>490</v>
      </c>
      <c r="H84" s="198">
        <f t="shared" si="174"/>
        <v>201960</v>
      </c>
      <c r="I84" s="198">
        <f t="shared" si="175"/>
        <v>201960</v>
      </c>
      <c r="J84" s="199">
        <f>'[24]4. 차집관거 조서'!$F$17</f>
        <v>306</v>
      </c>
      <c r="K84" s="199">
        <f t="shared" si="176"/>
        <v>201960</v>
      </c>
      <c r="L84" s="198"/>
      <c r="M84" s="226"/>
      <c r="N84" s="226"/>
      <c r="O84" s="206"/>
      <c r="P84" s="180"/>
      <c r="Q84" s="206"/>
      <c r="R84" s="180"/>
      <c r="S84" s="206"/>
      <c r="T84" s="181"/>
      <c r="U84" s="253"/>
      <c r="V84" s="206"/>
      <c r="W84" s="180"/>
      <c r="X84" s="180"/>
      <c r="Y84" s="180"/>
      <c r="Z84" s="180"/>
      <c r="AA84" s="180"/>
      <c r="AB84" s="180"/>
      <c r="AC84" s="180"/>
      <c r="AD84" s="206"/>
      <c r="AE84" s="180"/>
      <c r="AF84" s="180"/>
      <c r="AG84" s="180"/>
      <c r="AH84" s="180"/>
      <c r="AI84" s="180"/>
      <c r="AJ84" s="180"/>
      <c r="AK84" s="180"/>
      <c r="AL84" s="181"/>
      <c r="AM84" s="253"/>
      <c r="AN84" s="180"/>
      <c r="AO84" s="180"/>
      <c r="AP84" s="206"/>
      <c r="AQ84" s="180"/>
      <c r="AR84" s="180"/>
      <c r="AS84" s="180"/>
      <c r="AT84" s="180"/>
      <c r="AU84" s="180"/>
      <c r="AV84" s="206"/>
      <c r="AW84" s="180"/>
      <c r="AX84" s="180"/>
      <c r="AY84" s="180"/>
      <c r="AZ84" s="180"/>
      <c r="BA84" s="180"/>
      <c r="BB84" s="181"/>
    </row>
    <row r="85" spans="1:54" s="49" customFormat="1" ht="20.100000000000001" customHeight="1">
      <c r="A85" s="201"/>
      <c r="B85" s="196"/>
      <c r="C85" s="196"/>
      <c r="D85" s="196" t="s">
        <v>106</v>
      </c>
      <c r="E85" s="169" t="s">
        <v>100</v>
      </c>
      <c r="F85" s="197">
        <v>744</v>
      </c>
      <c r="G85" s="197">
        <v>553</v>
      </c>
      <c r="H85" s="198">
        <f t="shared" si="174"/>
        <v>251472</v>
      </c>
      <c r="I85" s="198">
        <f t="shared" si="175"/>
        <v>251472</v>
      </c>
      <c r="J85" s="199">
        <f>'[24]4. 차집관거 조서'!$G$17</f>
        <v>338</v>
      </c>
      <c r="K85" s="199">
        <f t="shared" si="176"/>
        <v>251472</v>
      </c>
      <c r="L85" s="198"/>
      <c r="M85" s="226"/>
      <c r="N85" s="226"/>
      <c r="O85" s="206"/>
      <c r="P85" s="180"/>
      <c r="Q85" s="206"/>
      <c r="R85" s="180"/>
      <c r="S85" s="206"/>
      <c r="T85" s="181"/>
      <c r="U85" s="253"/>
      <c r="V85" s="206"/>
      <c r="W85" s="180"/>
      <c r="X85" s="180"/>
      <c r="Y85" s="180"/>
      <c r="Z85" s="180"/>
      <c r="AA85" s="180"/>
      <c r="AB85" s="180"/>
      <c r="AC85" s="180"/>
      <c r="AD85" s="206"/>
      <c r="AE85" s="180"/>
      <c r="AF85" s="180"/>
      <c r="AG85" s="180"/>
      <c r="AH85" s="180"/>
      <c r="AI85" s="180"/>
      <c r="AJ85" s="180"/>
      <c r="AK85" s="180"/>
      <c r="AL85" s="181"/>
      <c r="AM85" s="253"/>
      <c r="AN85" s="180"/>
      <c r="AO85" s="180"/>
      <c r="AP85" s="206"/>
      <c r="AQ85" s="180"/>
      <c r="AR85" s="180"/>
      <c r="AS85" s="180"/>
      <c r="AT85" s="180"/>
      <c r="AU85" s="180"/>
      <c r="AV85" s="206"/>
      <c r="AW85" s="180"/>
      <c r="AX85" s="180"/>
      <c r="AY85" s="180"/>
      <c r="AZ85" s="180"/>
      <c r="BA85" s="180"/>
      <c r="BB85" s="181"/>
    </row>
    <row r="86" spans="1:54" s="49" customFormat="1" ht="20.100000000000001" customHeight="1">
      <c r="A86" s="201"/>
      <c r="B86" s="196"/>
      <c r="C86" s="196"/>
      <c r="D86" s="196" t="s">
        <v>107</v>
      </c>
      <c r="E86" s="169" t="s">
        <v>100</v>
      </c>
      <c r="F86" s="197">
        <v>823</v>
      </c>
      <c r="G86" s="197">
        <v>620</v>
      </c>
      <c r="H86" s="198">
        <f t="shared" si="174"/>
        <v>93822</v>
      </c>
      <c r="I86" s="198">
        <f t="shared" si="175"/>
        <v>93822</v>
      </c>
      <c r="J86" s="199">
        <f>'[24]4. 차집관거 조서'!$H$17</f>
        <v>114</v>
      </c>
      <c r="K86" s="199">
        <f t="shared" si="176"/>
        <v>93822</v>
      </c>
      <c r="L86" s="198"/>
      <c r="M86" s="226"/>
      <c r="N86" s="226"/>
      <c r="O86" s="206"/>
      <c r="P86" s="180"/>
      <c r="Q86" s="206"/>
      <c r="R86" s="180"/>
      <c r="S86" s="206"/>
      <c r="T86" s="181"/>
      <c r="U86" s="253"/>
      <c r="V86" s="206"/>
      <c r="W86" s="180"/>
      <c r="X86" s="180"/>
      <c r="Y86" s="180"/>
      <c r="Z86" s="180"/>
      <c r="AA86" s="180"/>
      <c r="AB86" s="180"/>
      <c r="AC86" s="180"/>
      <c r="AD86" s="206"/>
      <c r="AE86" s="180"/>
      <c r="AF86" s="180"/>
      <c r="AG86" s="180"/>
      <c r="AH86" s="180"/>
      <c r="AI86" s="180"/>
      <c r="AJ86" s="180"/>
      <c r="AK86" s="180"/>
      <c r="AL86" s="181"/>
      <c r="AM86" s="253"/>
      <c r="AN86" s="180"/>
      <c r="AO86" s="180"/>
      <c r="AP86" s="206"/>
      <c r="AQ86" s="180"/>
      <c r="AR86" s="180"/>
      <c r="AS86" s="180"/>
      <c r="AT86" s="180"/>
      <c r="AU86" s="180"/>
      <c r="AV86" s="206"/>
      <c r="AW86" s="180"/>
      <c r="AX86" s="180"/>
      <c r="AY86" s="180"/>
      <c r="AZ86" s="180"/>
      <c r="BA86" s="180"/>
      <c r="BB86" s="181"/>
    </row>
    <row r="87" spans="1:54" s="49" customFormat="1" ht="20.100000000000001" customHeight="1">
      <c r="A87" s="201"/>
      <c r="B87" s="196"/>
      <c r="C87" s="196"/>
      <c r="D87" s="196" t="s">
        <v>109</v>
      </c>
      <c r="E87" s="169" t="s">
        <v>100</v>
      </c>
      <c r="F87" s="197">
        <v>1007</v>
      </c>
      <c r="G87" s="197">
        <v>793</v>
      </c>
      <c r="H87" s="198">
        <f t="shared" si="174"/>
        <v>213484</v>
      </c>
      <c r="I87" s="198">
        <f t="shared" si="175"/>
        <v>213484</v>
      </c>
      <c r="J87" s="199">
        <f>'[24]4. 차집관거 조서'!$I$17</f>
        <v>212</v>
      </c>
      <c r="K87" s="199">
        <f t="shared" si="176"/>
        <v>213484</v>
      </c>
      <c r="L87" s="198"/>
      <c r="M87" s="226"/>
      <c r="N87" s="226"/>
      <c r="O87" s="206"/>
      <c r="P87" s="180"/>
      <c r="Q87" s="206"/>
      <c r="R87" s="180"/>
      <c r="S87" s="206"/>
      <c r="T87" s="181"/>
      <c r="U87" s="253"/>
      <c r="V87" s="206"/>
      <c r="W87" s="180"/>
      <c r="X87" s="180"/>
      <c r="Y87" s="180"/>
      <c r="Z87" s="180"/>
      <c r="AA87" s="180"/>
      <c r="AB87" s="180"/>
      <c r="AC87" s="180"/>
      <c r="AD87" s="206"/>
      <c r="AE87" s="180"/>
      <c r="AF87" s="180"/>
      <c r="AG87" s="180"/>
      <c r="AH87" s="180"/>
      <c r="AI87" s="180"/>
      <c r="AJ87" s="180"/>
      <c r="AK87" s="180"/>
      <c r="AL87" s="181"/>
      <c r="AM87" s="253"/>
      <c r="AN87" s="180"/>
      <c r="AO87" s="180"/>
      <c r="AP87" s="206"/>
      <c r="AQ87" s="180"/>
      <c r="AR87" s="180"/>
      <c r="AS87" s="180"/>
      <c r="AT87" s="180"/>
      <c r="AU87" s="180"/>
      <c r="AV87" s="206"/>
      <c r="AW87" s="180"/>
      <c r="AX87" s="180"/>
      <c r="AY87" s="180"/>
      <c r="AZ87" s="180"/>
      <c r="BA87" s="180"/>
      <c r="BB87" s="181"/>
    </row>
    <row r="88" spans="1:54" s="49" customFormat="1" ht="20.100000000000001" customHeight="1">
      <c r="A88" s="201"/>
      <c r="B88" s="196"/>
      <c r="C88" s="196"/>
      <c r="D88" s="196" t="s">
        <v>110</v>
      </c>
      <c r="E88" s="169" t="s">
        <v>100</v>
      </c>
      <c r="F88" s="197">
        <v>1113</v>
      </c>
      <c r="G88" s="197">
        <v>886</v>
      </c>
      <c r="H88" s="198">
        <f t="shared" si="174"/>
        <v>237069</v>
      </c>
      <c r="I88" s="198">
        <f t="shared" si="175"/>
        <v>237069</v>
      </c>
      <c r="J88" s="199">
        <f>'[24]4. 차집관거 조서'!$J$17</f>
        <v>213</v>
      </c>
      <c r="K88" s="199">
        <f t="shared" si="176"/>
        <v>237069</v>
      </c>
      <c r="L88" s="198"/>
      <c r="M88" s="226"/>
      <c r="N88" s="226"/>
      <c r="O88" s="206"/>
      <c r="P88" s="180"/>
      <c r="Q88" s="206"/>
      <c r="R88" s="180"/>
      <c r="S88" s="206"/>
      <c r="T88" s="181"/>
      <c r="U88" s="253"/>
      <c r="V88" s="206"/>
      <c r="W88" s="180"/>
      <c r="X88" s="180"/>
      <c r="Y88" s="180"/>
      <c r="Z88" s="180"/>
      <c r="AA88" s="180"/>
      <c r="AB88" s="180"/>
      <c r="AC88" s="180"/>
      <c r="AD88" s="206"/>
      <c r="AE88" s="180"/>
      <c r="AF88" s="180"/>
      <c r="AG88" s="180"/>
      <c r="AH88" s="180"/>
      <c r="AI88" s="180"/>
      <c r="AJ88" s="180"/>
      <c r="AK88" s="180"/>
      <c r="AL88" s="181"/>
      <c r="AM88" s="253"/>
      <c r="AN88" s="180"/>
      <c r="AO88" s="180"/>
      <c r="AP88" s="206"/>
      <c r="AQ88" s="180"/>
      <c r="AR88" s="180"/>
      <c r="AS88" s="180"/>
      <c r="AT88" s="180"/>
      <c r="AU88" s="180"/>
      <c r="AV88" s="206"/>
      <c r="AW88" s="180"/>
      <c r="AX88" s="180"/>
      <c r="AY88" s="180"/>
      <c r="AZ88" s="180"/>
      <c r="BA88" s="180"/>
      <c r="BB88" s="181"/>
    </row>
    <row r="89" spans="1:54" s="49" customFormat="1" ht="20.100000000000001" customHeight="1">
      <c r="A89" s="201"/>
      <c r="B89" s="196"/>
      <c r="C89" s="196"/>
      <c r="D89" s="196" t="s">
        <v>115</v>
      </c>
      <c r="E89" s="169" t="s">
        <v>100</v>
      </c>
      <c r="F89" s="197">
        <v>1477</v>
      </c>
      <c r="G89" s="197">
        <v>1209</v>
      </c>
      <c r="H89" s="198">
        <f t="shared" si="174"/>
        <v>946757</v>
      </c>
      <c r="I89" s="198">
        <f t="shared" si="175"/>
        <v>946757</v>
      </c>
      <c r="J89" s="199">
        <f>'[24]4. 차집관거 조서'!$K$17+'[24]4. 차집관거 조서'!$L$17</f>
        <v>641</v>
      </c>
      <c r="K89" s="199">
        <f t="shared" si="176"/>
        <v>946757</v>
      </c>
      <c r="L89" s="198"/>
      <c r="M89" s="226"/>
      <c r="N89" s="226"/>
      <c r="O89" s="206"/>
      <c r="P89" s="180"/>
      <c r="Q89" s="206"/>
      <c r="R89" s="180"/>
      <c r="S89" s="206"/>
      <c r="T89" s="181"/>
      <c r="U89" s="253"/>
      <c r="V89" s="206"/>
      <c r="W89" s="180"/>
      <c r="X89" s="180"/>
      <c r="Y89" s="180"/>
      <c r="Z89" s="180"/>
      <c r="AA89" s="180"/>
      <c r="AB89" s="180"/>
      <c r="AC89" s="180"/>
      <c r="AD89" s="206"/>
      <c r="AE89" s="180"/>
      <c r="AF89" s="180"/>
      <c r="AG89" s="180"/>
      <c r="AH89" s="180"/>
      <c r="AI89" s="180"/>
      <c r="AJ89" s="180"/>
      <c r="AK89" s="180"/>
      <c r="AL89" s="181"/>
      <c r="AM89" s="253"/>
      <c r="AN89" s="180"/>
      <c r="AO89" s="180"/>
      <c r="AP89" s="206"/>
      <c r="AQ89" s="180"/>
      <c r="AR89" s="180"/>
      <c r="AS89" s="180"/>
      <c r="AT89" s="180"/>
      <c r="AU89" s="180"/>
      <c r="AV89" s="206"/>
      <c r="AW89" s="180"/>
      <c r="AX89" s="180"/>
      <c r="AY89" s="180"/>
      <c r="AZ89" s="180"/>
      <c r="BA89" s="180"/>
      <c r="BB89" s="181"/>
    </row>
    <row r="90" spans="1:54" s="50" customFormat="1" ht="20.100000000000001" customHeight="1">
      <c r="A90" s="439" t="s">
        <v>116</v>
      </c>
      <c r="B90" s="440"/>
      <c r="C90" s="440"/>
      <c r="D90" s="440"/>
      <c r="E90" s="173"/>
      <c r="F90" s="174"/>
      <c r="G90" s="174"/>
      <c r="H90" s="175">
        <f t="shared" ref="H90:T90" si="177">SUM(H91:H92)</f>
        <v>9500900</v>
      </c>
      <c r="I90" s="175">
        <f t="shared" si="177"/>
        <v>4093900</v>
      </c>
      <c r="J90" s="175">
        <f t="shared" si="177"/>
        <v>0</v>
      </c>
      <c r="K90" s="175">
        <f t="shared" si="177"/>
        <v>0</v>
      </c>
      <c r="L90" s="175">
        <f t="shared" si="171"/>
        <v>339300</v>
      </c>
      <c r="M90" s="175">
        <f t="shared" si="177"/>
        <v>0</v>
      </c>
      <c r="N90" s="175">
        <f t="shared" si="177"/>
        <v>0</v>
      </c>
      <c r="O90" s="175">
        <f t="shared" si="177"/>
        <v>117</v>
      </c>
      <c r="P90" s="175">
        <f t="shared" ref="P90" si="178">SUM(P91:P92)</f>
        <v>339300</v>
      </c>
      <c r="Q90" s="175">
        <f t="shared" si="177"/>
        <v>154</v>
      </c>
      <c r="R90" s="175">
        <f t="shared" si="177"/>
        <v>431200</v>
      </c>
      <c r="S90" s="175">
        <f t="shared" si="177"/>
        <v>0</v>
      </c>
      <c r="T90" s="176">
        <f t="shared" si="177"/>
        <v>0</v>
      </c>
      <c r="U90" s="247">
        <f t="shared" si="154"/>
        <v>1264400</v>
      </c>
      <c r="V90" s="175">
        <f t="shared" ref="V90:AA90" si="179">SUM(V91:V92)</f>
        <v>0</v>
      </c>
      <c r="W90" s="175">
        <f t="shared" si="179"/>
        <v>0</v>
      </c>
      <c r="X90" s="175">
        <f t="shared" si="179"/>
        <v>436</v>
      </c>
      <c r="Y90" s="175">
        <f t="shared" si="179"/>
        <v>1264400</v>
      </c>
      <c r="Z90" s="175">
        <f t="shared" si="179"/>
        <v>635</v>
      </c>
      <c r="AA90" s="175">
        <f t="shared" si="179"/>
        <v>1841500</v>
      </c>
      <c r="AB90" s="175">
        <f t="shared" ref="AB90:AC90" si="180">SUM(AB91:AB92)</f>
        <v>75</v>
      </c>
      <c r="AC90" s="175">
        <f t="shared" si="180"/>
        <v>217500</v>
      </c>
      <c r="AD90" s="175">
        <f t="shared" si="152"/>
        <v>2399900</v>
      </c>
      <c r="AE90" s="175">
        <f t="shared" ref="AE90:AL90" si="181">SUM(AE91:AE92)</f>
        <v>24</v>
      </c>
      <c r="AF90" s="175">
        <f t="shared" si="181"/>
        <v>48000</v>
      </c>
      <c r="AG90" s="175">
        <f t="shared" si="181"/>
        <v>326</v>
      </c>
      <c r="AH90" s="175">
        <f t="shared" si="181"/>
        <v>945400</v>
      </c>
      <c r="AI90" s="175">
        <f t="shared" si="181"/>
        <v>293</v>
      </c>
      <c r="AJ90" s="175">
        <f t="shared" si="181"/>
        <v>849700</v>
      </c>
      <c r="AK90" s="175">
        <f t="shared" si="181"/>
        <v>192</v>
      </c>
      <c r="AL90" s="176">
        <f t="shared" si="181"/>
        <v>556800</v>
      </c>
      <c r="AM90" s="247">
        <f t="shared" si="153"/>
        <v>1588500</v>
      </c>
      <c r="AN90" s="175">
        <f t="shared" ref="AN90:BB90" si="182">SUM(AN91:AN92)</f>
        <v>87</v>
      </c>
      <c r="AO90" s="175">
        <f t="shared" si="182"/>
        <v>174000</v>
      </c>
      <c r="AP90" s="175">
        <f t="shared" si="182"/>
        <v>294</v>
      </c>
      <c r="AQ90" s="175">
        <f t="shared" si="182"/>
        <v>588000</v>
      </c>
      <c r="AR90" s="175">
        <f t="shared" si="182"/>
        <v>147</v>
      </c>
      <c r="AS90" s="175">
        <f t="shared" si="182"/>
        <v>426300</v>
      </c>
      <c r="AT90" s="175">
        <f t="shared" si="182"/>
        <v>138</v>
      </c>
      <c r="AU90" s="175">
        <f t="shared" si="182"/>
        <v>400200</v>
      </c>
      <c r="AV90" s="175">
        <f t="shared" si="172"/>
        <v>411800</v>
      </c>
      <c r="AW90" s="175">
        <f t="shared" si="182"/>
        <v>0</v>
      </c>
      <c r="AX90" s="175">
        <f t="shared" si="182"/>
        <v>0</v>
      </c>
      <c r="AY90" s="175"/>
      <c r="AZ90" s="175">
        <f t="shared" ref="AZ90" si="183">SUM(AZ91:AZ92)</f>
        <v>411800</v>
      </c>
      <c r="BA90" s="175">
        <f t="shared" si="182"/>
        <v>492</v>
      </c>
      <c r="BB90" s="176">
        <f t="shared" si="182"/>
        <v>1006800</v>
      </c>
    </row>
    <row r="91" spans="1:54" s="38" customFormat="1" ht="20.100000000000001" customHeight="1">
      <c r="A91" s="227"/>
      <c r="B91" s="447" t="s">
        <v>117</v>
      </c>
      <c r="C91" s="447"/>
      <c r="D91" s="447"/>
      <c r="E91" s="169" t="s">
        <v>111</v>
      </c>
      <c r="F91" s="197">
        <v>2800</v>
      </c>
      <c r="G91" s="197">
        <v>2900</v>
      </c>
      <c r="H91" s="198">
        <f>I91+AD91+AM91+AV91+BB91</f>
        <v>7892900</v>
      </c>
      <c r="I91" s="198">
        <f>L91+R91+T91+U91+AA91+AC91</f>
        <v>4093900</v>
      </c>
      <c r="J91" s="198">
        <v>0</v>
      </c>
      <c r="K91" s="198">
        <v>0</v>
      </c>
      <c r="L91" s="198">
        <f t="shared" si="171"/>
        <v>339300</v>
      </c>
      <c r="M91" s="199"/>
      <c r="N91" s="199">
        <f t="shared" si="155"/>
        <v>0</v>
      </c>
      <c r="O91" s="199">
        <f>'[22]1. 오수관 신설(처리구역)'!$W$6</f>
        <v>117</v>
      </c>
      <c r="P91" s="199">
        <f t="shared" si="173"/>
        <v>339300</v>
      </c>
      <c r="Q91" s="199">
        <v>154</v>
      </c>
      <c r="R91" s="199">
        <f t="shared" si="156"/>
        <v>431200</v>
      </c>
      <c r="S91" s="199"/>
      <c r="T91" s="200">
        <f t="shared" si="157"/>
        <v>0</v>
      </c>
      <c r="U91" s="251">
        <f t="shared" si="154"/>
        <v>1264400</v>
      </c>
      <c r="V91" s="199"/>
      <c r="W91" s="199">
        <f t="shared" si="158"/>
        <v>0</v>
      </c>
      <c r="X91" s="199">
        <f>'[22]1. 오수관 신설(처리구역)'!$I$9</f>
        <v>436</v>
      </c>
      <c r="Y91" s="199">
        <f t="shared" si="159"/>
        <v>1264400</v>
      </c>
      <c r="Z91" s="199">
        <f>'[23]1. 오수관 신설(처리구역)'!$P$11</f>
        <v>635</v>
      </c>
      <c r="AA91" s="199">
        <f t="shared" si="160"/>
        <v>1841500</v>
      </c>
      <c r="AB91" s="199">
        <f>'[23]1. 오수관 신설(처리구역)'!$I$11</f>
        <v>75</v>
      </c>
      <c r="AC91" s="199">
        <f>ROUND(AB91*$G91,0)</f>
        <v>217500</v>
      </c>
      <c r="AD91" s="198">
        <f t="shared" si="152"/>
        <v>2351900</v>
      </c>
      <c r="AE91" s="199">
        <v>0</v>
      </c>
      <c r="AF91" s="199">
        <f t="shared" si="161"/>
        <v>0</v>
      </c>
      <c r="AG91" s="199">
        <f>'[22]1. 오수관 신설(처리구역)'!$P$13</f>
        <v>326</v>
      </c>
      <c r="AH91" s="199">
        <f t="shared" si="162"/>
        <v>945400</v>
      </c>
      <c r="AI91" s="199">
        <f>'[22]1. 오수관 신설(처리구역)'!$P$14</f>
        <v>293</v>
      </c>
      <c r="AJ91" s="199">
        <f t="shared" si="163"/>
        <v>849700</v>
      </c>
      <c r="AK91" s="199">
        <f>'[22]1. 오수관 신설(처리구역)'!$P$15</f>
        <v>192</v>
      </c>
      <c r="AL91" s="200">
        <f t="shared" si="164"/>
        <v>556800</v>
      </c>
      <c r="AM91" s="251">
        <f t="shared" si="153"/>
        <v>826500</v>
      </c>
      <c r="AN91" s="199">
        <v>0</v>
      </c>
      <c r="AO91" s="199">
        <f t="shared" si="165"/>
        <v>0</v>
      </c>
      <c r="AP91" s="199">
        <v>0</v>
      </c>
      <c r="AQ91" s="199">
        <f t="shared" si="166"/>
        <v>0</v>
      </c>
      <c r="AR91" s="199">
        <f>'[22]1. 오수관 신설(처리구역)'!$I$19</f>
        <v>147</v>
      </c>
      <c r="AS91" s="199">
        <f t="shared" si="167"/>
        <v>426300</v>
      </c>
      <c r="AT91" s="199">
        <f>'[22]1. 오수관 신설(처리구역)'!$I$20</f>
        <v>138</v>
      </c>
      <c r="AU91" s="199">
        <f t="shared" si="168"/>
        <v>400200</v>
      </c>
      <c r="AV91" s="198">
        <f t="shared" si="172"/>
        <v>411800</v>
      </c>
      <c r="AW91" s="199">
        <v>0</v>
      </c>
      <c r="AX91" s="199">
        <f t="shared" si="169"/>
        <v>0</v>
      </c>
      <c r="AY91" s="199">
        <f>'[23]1. 오수관 신설(처리구역)'!$I$22</f>
        <v>142</v>
      </c>
      <c r="AZ91" s="199">
        <f t="shared" si="169"/>
        <v>411800</v>
      </c>
      <c r="BA91" s="199">
        <v>72</v>
      </c>
      <c r="BB91" s="200">
        <f t="shared" si="170"/>
        <v>208800</v>
      </c>
    </row>
    <row r="92" spans="1:54" s="38" customFormat="1" ht="20.100000000000001" customHeight="1">
      <c r="A92" s="227"/>
      <c r="B92" s="447" t="s">
        <v>118</v>
      </c>
      <c r="C92" s="447"/>
      <c r="D92" s="447"/>
      <c r="E92" s="169" t="s">
        <v>111</v>
      </c>
      <c r="F92" s="197">
        <v>2000</v>
      </c>
      <c r="G92" s="197">
        <v>1900</v>
      </c>
      <c r="H92" s="198">
        <f>I92+AD92+AM92+AV92+BB92</f>
        <v>1608000</v>
      </c>
      <c r="I92" s="198">
        <f>L92+R92+T92+U92+AA92</f>
        <v>0</v>
      </c>
      <c r="J92" s="198">
        <v>0</v>
      </c>
      <c r="K92" s="198">
        <v>0</v>
      </c>
      <c r="L92" s="198">
        <f t="shared" si="171"/>
        <v>0</v>
      </c>
      <c r="M92" s="199">
        <f>'[24]5. 배수설비 조서'!$I$6</f>
        <v>0</v>
      </c>
      <c r="N92" s="199">
        <f t="shared" si="155"/>
        <v>0</v>
      </c>
      <c r="O92" s="199"/>
      <c r="P92" s="199">
        <f t="shared" si="173"/>
        <v>0</v>
      </c>
      <c r="Q92" s="199">
        <v>0</v>
      </c>
      <c r="R92" s="199">
        <f t="shared" si="156"/>
        <v>0</v>
      </c>
      <c r="S92" s="199">
        <v>0</v>
      </c>
      <c r="T92" s="200">
        <f t="shared" si="157"/>
        <v>0</v>
      </c>
      <c r="U92" s="251">
        <f t="shared" si="154"/>
        <v>0</v>
      </c>
      <c r="V92" s="199">
        <v>0</v>
      </c>
      <c r="W92" s="199">
        <f t="shared" si="158"/>
        <v>0</v>
      </c>
      <c r="X92" s="199">
        <v>0</v>
      </c>
      <c r="Y92" s="199">
        <f t="shared" si="159"/>
        <v>0</v>
      </c>
      <c r="Z92" s="199">
        <v>0</v>
      </c>
      <c r="AA92" s="199">
        <f t="shared" si="160"/>
        <v>0</v>
      </c>
      <c r="AB92" s="199">
        <v>0</v>
      </c>
      <c r="AC92" s="199">
        <f>ROUND(AB92*$G92,0)</f>
        <v>0</v>
      </c>
      <c r="AD92" s="198">
        <f t="shared" si="152"/>
        <v>48000</v>
      </c>
      <c r="AE92" s="199">
        <v>24</v>
      </c>
      <c r="AF92" s="199">
        <f t="shared" si="161"/>
        <v>48000</v>
      </c>
      <c r="AG92" s="199"/>
      <c r="AH92" s="199">
        <f t="shared" si="162"/>
        <v>0</v>
      </c>
      <c r="AI92" s="199"/>
      <c r="AJ92" s="199">
        <f t="shared" si="163"/>
        <v>0</v>
      </c>
      <c r="AK92" s="199"/>
      <c r="AL92" s="200">
        <f t="shared" si="164"/>
        <v>0</v>
      </c>
      <c r="AM92" s="251">
        <f t="shared" si="153"/>
        <v>762000</v>
      </c>
      <c r="AN92" s="199">
        <f>'[24]5. 배수설비 조서'!$I$17</f>
        <v>87</v>
      </c>
      <c r="AO92" s="199">
        <f t="shared" si="165"/>
        <v>174000</v>
      </c>
      <c r="AP92" s="199">
        <f>'[24]5. 배수설비 조서'!$I$18</f>
        <v>294</v>
      </c>
      <c r="AQ92" s="199">
        <f t="shared" si="166"/>
        <v>588000</v>
      </c>
      <c r="AR92" s="199"/>
      <c r="AS92" s="199">
        <f t="shared" si="167"/>
        <v>0</v>
      </c>
      <c r="AT92" s="199"/>
      <c r="AU92" s="199">
        <f t="shared" si="168"/>
        <v>0</v>
      </c>
      <c r="AV92" s="198">
        <f t="shared" si="172"/>
        <v>0</v>
      </c>
      <c r="AW92" s="199">
        <v>0</v>
      </c>
      <c r="AX92" s="199">
        <f t="shared" si="169"/>
        <v>0</v>
      </c>
      <c r="AY92" s="199"/>
      <c r="AZ92" s="199">
        <f t="shared" si="169"/>
        <v>0</v>
      </c>
      <c r="BA92" s="199">
        <f>'[24]5. 배수설비 조서'!$I$22</f>
        <v>420</v>
      </c>
      <c r="BB92" s="200">
        <f t="shared" si="170"/>
        <v>798000</v>
      </c>
    </row>
    <row r="93" spans="1:54" s="50" customFormat="1" ht="20.100000000000001" customHeight="1">
      <c r="A93" s="439" t="s">
        <v>119</v>
      </c>
      <c r="B93" s="440"/>
      <c r="C93" s="440"/>
      <c r="D93" s="440"/>
      <c r="E93" s="173"/>
      <c r="F93" s="174"/>
      <c r="G93" s="174"/>
      <c r="H93" s="225">
        <f>H94+H95</f>
        <v>424000</v>
      </c>
      <c r="I93" s="225">
        <f>I94+I95</f>
        <v>106000</v>
      </c>
      <c r="J93" s="175">
        <f t="shared" ref="J93:K93" si="184">SUM(J94:J95)</f>
        <v>0</v>
      </c>
      <c r="K93" s="175">
        <f t="shared" si="184"/>
        <v>0</v>
      </c>
      <c r="L93" s="225">
        <f>L94+L95</f>
        <v>0</v>
      </c>
      <c r="M93" s="175"/>
      <c r="N93" s="225">
        <f>N94+N95</f>
        <v>0</v>
      </c>
      <c r="O93" s="225"/>
      <c r="P93" s="225">
        <f>P94+P95</f>
        <v>0</v>
      </c>
      <c r="Q93" s="175"/>
      <c r="R93" s="225">
        <f>R94+R95</f>
        <v>53000</v>
      </c>
      <c r="S93" s="175"/>
      <c r="T93" s="228">
        <f>T94+T95</f>
        <v>0</v>
      </c>
      <c r="U93" s="257">
        <f>U94+U95</f>
        <v>53000</v>
      </c>
      <c r="V93" s="175"/>
      <c r="W93" s="225">
        <f>W94+W95</f>
        <v>53000</v>
      </c>
      <c r="X93" s="175"/>
      <c r="Y93" s="225">
        <f>Y94+Y95</f>
        <v>0</v>
      </c>
      <c r="Z93" s="175"/>
      <c r="AA93" s="225">
        <f>AA94+AA95</f>
        <v>0</v>
      </c>
      <c r="AB93" s="175"/>
      <c r="AC93" s="225">
        <f>AC94+AC95</f>
        <v>0</v>
      </c>
      <c r="AD93" s="225">
        <f>AD94+AD95</f>
        <v>106000</v>
      </c>
      <c r="AE93" s="175"/>
      <c r="AF93" s="225">
        <f>AF94+AF95</f>
        <v>53000</v>
      </c>
      <c r="AG93" s="175"/>
      <c r="AH93" s="225">
        <f>AH94+AH95</f>
        <v>53000</v>
      </c>
      <c r="AI93" s="175"/>
      <c r="AJ93" s="225">
        <f>AJ94+AJ95</f>
        <v>0</v>
      </c>
      <c r="AK93" s="175"/>
      <c r="AL93" s="228">
        <f>AL94+AL95</f>
        <v>0</v>
      </c>
      <c r="AM93" s="257">
        <f>AM94+AM95</f>
        <v>106000</v>
      </c>
      <c r="AN93" s="175"/>
      <c r="AO93" s="225">
        <f>AO94+AO95</f>
        <v>53000</v>
      </c>
      <c r="AP93" s="175"/>
      <c r="AQ93" s="225">
        <f>AQ94+AQ95</f>
        <v>53000</v>
      </c>
      <c r="AR93" s="175"/>
      <c r="AS93" s="225">
        <f>AS94+AS95</f>
        <v>0</v>
      </c>
      <c r="AT93" s="175"/>
      <c r="AU93" s="225">
        <f>AU94+AU95</f>
        <v>0</v>
      </c>
      <c r="AV93" s="225">
        <f>AV94+AV95</f>
        <v>53000</v>
      </c>
      <c r="AW93" s="175"/>
      <c r="AX93" s="225">
        <f>AX94+AX95</f>
        <v>53000</v>
      </c>
      <c r="AY93" s="225"/>
      <c r="AZ93" s="225">
        <f>AZ94+AZ95</f>
        <v>0</v>
      </c>
      <c r="BA93" s="175"/>
      <c r="BB93" s="228">
        <f>BB94+BB95</f>
        <v>53000</v>
      </c>
    </row>
    <row r="94" spans="1:54" s="38" customFormat="1" ht="20.100000000000001" customHeight="1">
      <c r="A94" s="227"/>
      <c r="B94" s="447" t="s">
        <v>140</v>
      </c>
      <c r="C94" s="447"/>
      <c r="D94" s="447"/>
      <c r="E94" s="169" t="s">
        <v>120</v>
      </c>
      <c r="F94" s="197">
        <v>856000</v>
      </c>
      <c r="G94" s="197">
        <v>856000</v>
      </c>
      <c r="H94" s="198">
        <f>I94+AD94+AM94+AV94+BB94</f>
        <v>0</v>
      </c>
      <c r="I94" s="198">
        <f>L94+R94+T94+U94+AA94</f>
        <v>0</v>
      </c>
      <c r="J94" s="198">
        <v>0</v>
      </c>
      <c r="K94" s="198">
        <v>0</v>
      </c>
      <c r="L94" s="198">
        <f t="shared" si="171"/>
        <v>0</v>
      </c>
      <c r="M94" s="199">
        <v>0</v>
      </c>
      <c r="N94" s="199">
        <f t="shared" si="155"/>
        <v>0</v>
      </c>
      <c r="O94" s="199"/>
      <c r="P94" s="199">
        <f t="shared" si="173"/>
        <v>0</v>
      </c>
      <c r="Q94" s="199">
        <v>0</v>
      </c>
      <c r="R94" s="199">
        <f t="shared" si="156"/>
        <v>0</v>
      </c>
      <c r="S94" s="199">
        <v>0</v>
      </c>
      <c r="T94" s="200">
        <f t="shared" si="157"/>
        <v>0</v>
      </c>
      <c r="U94" s="251">
        <f t="shared" si="154"/>
        <v>0</v>
      </c>
      <c r="V94" s="199">
        <v>0</v>
      </c>
      <c r="W94" s="199">
        <f t="shared" si="158"/>
        <v>0</v>
      </c>
      <c r="X94" s="199"/>
      <c r="Y94" s="199">
        <f t="shared" si="159"/>
        <v>0</v>
      </c>
      <c r="Z94" s="199"/>
      <c r="AA94" s="199">
        <f t="shared" si="160"/>
        <v>0</v>
      </c>
      <c r="AB94" s="199"/>
      <c r="AC94" s="199">
        <f>ROUND(AB94*$G94,0)</f>
        <v>0</v>
      </c>
      <c r="AD94" s="198">
        <f t="shared" si="152"/>
        <v>0</v>
      </c>
      <c r="AE94" s="199"/>
      <c r="AF94" s="199">
        <f t="shared" si="161"/>
        <v>0</v>
      </c>
      <c r="AG94" s="199"/>
      <c r="AH94" s="199">
        <f t="shared" si="162"/>
        <v>0</v>
      </c>
      <c r="AI94" s="199"/>
      <c r="AJ94" s="199">
        <f t="shared" si="163"/>
        <v>0</v>
      </c>
      <c r="AK94" s="199"/>
      <c r="AL94" s="200">
        <f t="shared" si="164"/>
        <v>0</v>
      </c>
      <c r="AM94" s="251">
        <f t="shared" si="153"/>
        <v>0</v>
      </c>
      <c r="AN94" s="199"/>
      <c r="AO94" s="199">
        <f t="shared" si="165"/>
        <v>0</v>
      </c>
      <c r="AP94" s="199"/>
      <c r="AQ94" s="199">
        <f t="shared" si="166"/>
        <v>0</v>
      </c>
      <c r="AR94" s="199"/>
      <c r="AS94" s="199">
        <f t="shared" si="167"/>
        <v>0</v>
      </c>
      <c r="AT94" s="199"/>
      <c r="AU94" s="199">
        <f t="shared" si="168"/>
        <v>0</v>
      </c>
      <c r="AV94" s="198">
        <f t="shared" si="172"/>
        <v>0</v>
      </c>
      <c r="AW94" s="199"/>
      <c r="AX94" s="199">
        <f t="shared" si="169"/>
        <v>0</v>
      </c>
      <c r="AY94" s="199"/>
      <c r="AZ94" s="199">
        <f t="shared" si="169"/>
        <v>0</v>
      </c>
      <c r="BA94" s="199"/>
      <c r="BB94" s="200">
        <f t="shared" si="170"/>
        <v>0</v>
      </c>
    </row>
    <row r="95" spans="1:54" s="38" customFormat="1" ht="20.100000000000001" customHeight="1">
      <c r="A95" s="227"/>
      <c r="B95" s="447" t="s">
        <v>139</v>
      </c>
      <c r="C95" s="447"/>
      <c r="D95" s="447"/>
      <c r="E95" s="169" t="s">
        <v>141</v>
      </c>
      <c r="F95" s="197">
        <v>53000</v>
      </c>
      <c r="G95" s="197">
        <v>53000</v>
      </c>
      <c r="H95" s="198">
        <f>I95+AD95+AM95+AV95+BB95</f>
        <v>424000</v>
      </c>
      <c r="I95" s="198">
        <f>L95+R95+T95+U95+AA95</f>
        <v>106000</v>
      </c>
      <c r="J95" s="198">
        <v>0</v>
      </c>
      <c r="K95" s="198">
        <v>0</v>
      </c>
      <c r="L95" s="198">
        <f t="shared" si="171"/>
        <v>0</v>
      </c>
      <c r="M95" s="199"/>
      <c r="N95" s="199">
        <f t="shared" si="155"/>
        <v>0</v>
      </c>
      <c r="O95" s="199"/>
      <c r="P95" s="199">
        <f t="shared" si="173"/>
        <v>0</v>
      </c>
      <c r="Q95" s="199">
        <v>1</v>
      </c>
      <c r="R95" s="199">
        <f t="shared" si="156"/>
        <v>53000</v>
      </c>
      <c r="S95" s="199"/>
      <c r="T95" s="200">
        <f t="shared" si="157"/>
        <v>0</v>
      </c>
      <c r="U95" s="251">
        <f t="shared" si="154"/>
        <v>53000</v>
      </c>
      <c r="V95" s="199">
        <v>1</v>
      </c>
      <c r="W95" s="199">
        <f t="shared" si="158"/>
        <v>53000</v>
      </c>
      <c r="X95" s="199"/>
      <c r="Y95" s="199">
        <f t="shared" si="159"/>
        <v>0</v>
      </c>
      <c r="Z95" s="199"/>
      <c r="AA95" s="199">
        <f t="shared" si="160"/>
        <v>0</v>
      </c>
      <c r="AB95" s="199"/>
      <c r="AC95" s="199">
        <f>ROUND(AB95*$G95,0)</f>
        <v>0</v>
      </c>
      <c r="AD95" s="198">
        <f t="shared" si="152"/>
        <v>106000</v>
      </c>
      <c r="AE95" s="199">
        <v>1</v>
      </c>
      <c r="AF95" s="199">
        <f t="shared" si="161"/>
        <v>53000</v>
      </c>
      <c r="AG95" s="199">
        <v>1</v>
      </c>
      <c r="AH95" s="199">
        <f t="shared" si="162"/>
        <v>53000</v>
      </c>
      <c r="AI95" s="199"/>
      <c r="AJ95" s="199">
        <f t="shared" si="163"/>
        <v>0</v>
      </c>
      <c r="AK95" s="199"/>
      <c r="AL95" s="200">
        <f t="shared" si="164"/>
        <v>0</v>
      </c>
      <c r="AM95" s="251">
        <f t="shared" si="153"/>
        <v>106000</v>
      </c>
      <c r="AN95" s="199">
        <v>1</v>
      </c>
      <c r="AO95" s="199">
        <f t="shared" si="165"/>
        <v>53000</v>
      </c>
      <c r="AP95" s="199">
        <v>1</v>
      </c>
      <c r="AQ95" s="199">
        <f t="shared" si="166"/>
        <v>53000</v>
      </c>
      <c r="AR95" s="199"/>
      <c r="AS95" s="199">
        <f t="shared" si="167"/>
        <v>0</v>
      </c>
      <c r="AT95" s="199"/>
      <c r="AU95" s="199">
        <f t="shared" si="168"/>
        <v>0</v>
      </c>
      <c r="AV95" s="198">
        <f t="shared" si="172"/>
        <v>53000</v>
      </c>
      <c r="AW95" s="199">
        <v>1</v>
      </c>
      <c r="AX95" s="199">
        <f t="shared" si="169"/>
        <v>53000</v>
      </c>
      <c r="AY95" s="199"/>
      <c r="AZ95" s="199">
        <f t="shared" si="169"/>
        <v>0</v>
      </c>
      <c r="BA95" s="199">
        <v>1</v>
      </c>
      <c r="BB95" s="200">
        <f t="shared" si="170"/>
        <v>53000</v>
      </c>
    </row>
    <row r="96" spans="1:54" s="51" customFormat="1" ht="20.100000000000001" customHeight="1">
      <c r="A96" s="439" t="s">
        <v>121</v>
      </c>
      <c r="B96" s="440"/>
      <c r="C96" s="440"/>
      <c r="D96" s="440"/>
      <c r="E96" s="173" t="s">
        <v>122</v>
      </c>
      <c r="F96" s="174">
        <v>6019</v>
      </c>
      <c r="G96" s="174">
        <v>6000</v>
      </c>
      <c r="H96" s="225">
        <f>I96+AD96+AM96+AV96+BB96</f>
        <v>745514</v>
      </c>
      <c r="I96" s="225">
        <f>L96+R96+T96+U96+AA96+AC96</f>
        <v>320633</v>
      </c>
      <c r="J96" s="229">
        <v>0</v>
      </c>
      <c r="K96" s="230">
        <f>ROUND(J96*$F96,0)</f>
        <v>0</v>
      </c>
      <c r="L96" s="225">
        <f t="shared" si="171"/>
        <v>12279</v>
      </c>
      <c r="M96" s="229">
        <v>0</v>
      </c>
      <c r="N96" s="230">
        <f>ROUND(M96*$F96,0)</f>
        <v>0</v>
      </c>
      <c r="O96" s="229">
        <f>ROUND(O6/1000,2)</f>
        <v>2.04</v>
      </c>
      <c r="P96" s="230">
        <f>ROUND(O96*$F96,0)</f>
        <v>12279</v>
      </c>
      <c r="Q96" s="229">
        <f>ROUND(Q6/1000,2)</f>
        <v>10.31</v>
      </c>
      <c r="R96" s="230">
        <f>ROUND(Q96*$F96,0)</f>
        <v>62056</v>
      </c>
      <c r="S96" s="229">
        <f>ROUND(S6/1000,2)</f>
        <v>0</v>
      </c>
      <c r="T96" s="231">
        <f>ROUND(S96*$F96,0)</f>
        <v>0</v>
      </c>
      <c r="U96" s="257">
        <f t="shared" si="154"/>
        <v>109606</v>
      </c>
      <c r="V96" s="229">
        <f>ROUND(V6/1000,2)</f>
        <v>3.8</v>
      </c>
      <c r="W96" s="230">
        <f>ROUND(V96*$F96,0)</f>
        <v>22872</v>
      </c>
      <c r="X96" s="229">
        <f>ROUND(X6/1000,2)</f>
        <v>14.41</v>
      </c>
      <c r="Y96" s="230">
        <f>ROUND(X96*$F96,0)</f>
        <v>86734</v>
      </c>
      <c r="Z96" s="229">
        <f>ROUND(Z6/1000,2)</f>
        <v>20.14</v>
      </c>
      <c r="AA96" s="230">
        <f>ROUND(Z96*$F96,0)</f>
        <v>121223</v>
      </c>
      <c r="AB96" s="229">
        <f>ROUND(AB6/1000,2)</f>
        <v>2.57</v>
      </c>
      <c r="AC96" s="230">
        <f>ROUND(AB96*$F96,0)</f>
        <v>15469</v>
      </c>
      <c r="AD96" s="225">
        <f t="shared" si="152"/>
        <v>213915</v>
      </c>
      <c r="AE96" s="229">
        <f>ROUND(AE6/1000,2)</f>
        <v>8.11</v>
      </c>
      <c r="AF96" s="230">
        <f>ROUND(AE96*$F96,0)</f>
        <v>48814</v>
      </c>
      <c r="AG96" s="229">
        <f>ROUND(AG6/1000,2)</f>
        <v>9.25</v>
      </c>
      <c r="AH96" s="230">
        <f>ROUND(AG96*$F96,0)</f>
        <v>55676</v>
      </c>
      <c r="AI96" s="229">
        <f>ROUND(AI6/1000,2)</f>
        <v>12.96</v>
      </c>
      <c r="AJ96" s="230">
        <f>ROUND(AI96*$F96,0)</f>
        <v>78006</v>
      </c>
      <c r="AK96" s="229">
        <f>ROUND(AK6/1000,2)</f>
        <v>5.22</v>
      </c>
      <c r="AL96" s="231">
        <f>ROUND(AK96*$F96,0)</f>
        <v>31419</v>
      </c>
      <c r="AM96" s="257">
        <f t="shared" si="153"/>
        <v>111653</v>
      </c>
      <c r="AN96" s="229">
        <f>ROUND(AN6/1000,2)</f>
        <v>1.72</v>
      </c>
      <c r="AO96" s="230">
        <f>ROUND(AN96*$F96,0)</f>
        <v>10353</v>
      </c>
      <c r="AP96" s="229">
        <f>ROUND(AP6/1000,2)</f>
        <v>5.99</v>
      </c>
      <c r="AQ96" s="230">
        <f>ROUND(AP96*$F96,0)</f>
        <v>36054</v>
      </c>
      <c r="AR96" s="229">
        <f>ROUND(AR6/1000,2)</f>
        <v>4.8</v>
      </c>
      <c r="AS96" s="230">
        <f>ROUND(AR96*$F96,0)</f>
        <v>28891</v>
      </c>
      <c r="AT96" s="229">
        <f>ROUND(AT6/1000,2)</f>
        <v>6.04</v>
      </c>
      <c r="AU96" s="230">
        <f>ROUND(AT96*$F96,0)</f>
        <v>36355</v>
      </c>
      <c r="AV96" s="225">
        <f t="shared" si="172"/>
        <v>45383</v>
      </c>
      <c r="AW96" s="229">
        <f>ROUND(AW6/1000,2)</f>
        <v>1.68</v>
      </c>
      <c r="AX96" s="230">
        <f>ROUND(AW96*$F96,0)</f>
        <v>10112</v>
      </c>
      <c r="AY96" s="229">
        <f>ROUND(AY6/1000,2)</f>
        <v>5.86</v>
      </c>
      <c r="AZ96" s="230">
        <f>ROUND(AY96*$F96,0)</f>
        <v>35271</v>
      </c>
      <c r="BA96" s="229">
        <f>ROUND(BA6/1000,2)</f>
        <v>8.9600000000000009</v>
      </c>
      <c r="BB96" s="231">
        <f>ROUND(BA96*$F96,0)</f>
        <v>53930</v>
      </c>
    </row>
    <row r="97" spans="1:54" s="50" customFormat="1" ht="20.100000000000001" customHeight="1">
      <c r="A97" s="439" t="s">
        <v>123</v>
      </c>
      <c r="B97" s="440"/>
      <c r="C97" s="440"/>
      <c r="D97" s="440"/>
      <c r="E97" s="173"/>
      <c r="F97" s="174"/>
      <c r="G97" s="174"/>
      <c r="H97" s="175">
        <f>H98+H99</f>
        <v>2308590</v>
      </c>
      <c r="I97" s="175">
        <f>I98+I99</f>
        <v>1062403</v>
      </c>
      <c r="J97" s="175">
        <f t="shared" ref="J97:K97" si="185">SUM(J98:J99)</f>
        <v>0</v>
      </c>
      <c r="K97" s="175">
        <f t="shared" si="185"/>
        <v>0</v>
      </c>
      <c r="L97" s="175">
        <f>L98+L99</f>
        <v>61136</v>
      </c>
      <c r="M97" s="175"/>
      <c r="N97" s="175">
        <f>N98+N99</f>
        <v>0</v>
      </c>
      <c r="O97" s="175"/>
      <c r="P97" s="175">
        <f>P98+P99</f>
        <v>61136</v>
      </c>
      <c r="Q97" s="175"/>
      <c r="R97" s="175">
        <f>R98+R99</f>
        <v>243387</v>
      </c>
      <c r="S97" s="175"/>
      <c r="T97" s="176">
        <f>T98+T99</f>
        <v>0</v>
      </c>
      <c r="U97" s="247">
        <f>U98+U99</f>
        <v>340869</v>
      </c>
      <c r="V97" s="175"/>
      <c r="W97" s="175">
        <f>W98+W99</f>
        <v>84560</v>
      </c>
      <c r="X97" s="175"/>
      <c r="Y97" s="175">
        <f>Y98+Y99</f>
        <v>256309</v>
      </c>
      <c r="Z97" s="175"/>
      <c r="AA97" s="175">
        <f>AA98+AA99</f>
        <v>362618</v>
      </c>
      <c r="AB97" s="175"/>
      <c r="AC97" s="175">
        <f>AC98+AC99</f>
        <v>54393</v>
      </c>
      <c r="AD97" s="175">
        <f>AD98+AD99</f>
        <v>685658</v>
      </c>
      <c r="AE97" s="175"/>
      <c r="AF97" s="175">
        <f>AF98+AF99</f>
        <v>182673</v>
      </c>
      <c r="AG97" s="175"/>
      <c r="AH97" s="175">
        <f>AH98+AH99</f>
        <v>172508</v>
      </c>
      <c r="AI97" s="175"/>
      <c r="AJ97" s="175">
        <f>AJ98+AJ99</f>
        <v>217514</v>
      </c>
      <c r="AK97" s="175"/>
      <c r="AL97" s="176">
        <f>AL98+AL99</f>
        <v>112963</v>
      </c>
      <c r="AM97" s="247">
        <f>AM98+AM99</f>
        <v>388634</v>
      </c>
      <c r="AN97" s="175"/>
      <c r="AO97" s="175">
        <f>AO98+AO99</f>
        <v>45396</v>
      </c>
      <c r="AP97" s="175"/>
      <c r="AQ97" s="175">
        <f>AQ98+AQ99</f>
        <v>156700</v>
      </c>
      <c r="AR97" s="175"/>
      <c r="AS97" s="175">
        <f>AS98+AS99</f>
        <v>85549</v>
      </c>
      <c r="AT97" s="175"/>
      <c r="AU97" s="175">
        <f>AU98+AU99</f>
        <v>100989</v>
      </c>
      <c r="AV97" s="175">
        <f>AV98+AV99</f>
        <v>49808</v>
      </c>
      <c r="AW97" s="175"/>
      <c r="AX97" s="175">
        <f>AX98+AX99</f>
        <v>24114</v>
      </c>
      <c r="AY97" s="175"/>
      <c r="AZ97" s="175">
        <f>AZ98+AZ99</f>
        <v>25694</v>
      </c>
      <c r="BA97" s="175"/>
      <c r="BB97" s="176">
        <f>BB98+BB99</f>
        <v>122087</v>
      </c>
    </row>
    <row r="98" spans="1:54" s="38" customFormat="1" ht="20.100000000000001" customHeight="1">
      <c r="A98" s="195"/>
      <c r="B98" s="447" t="s">
        <v>124</v>
      </c>
      <c r="C98" s="447"/>
      <c r="D98" s="447"/>
      <c r="E98" s="169" t="s">
        <v>125</v>
      </c>
      <c r="F98" s="232">
        <v>20</v>
      </c>
      <c r="G98" s="197">
        <v>20</v>
      </c>
      <c r="H98" s="198">
        <f>I98+AD98+AM98+AV98+BB98</f>
        <v>1017682</v>
      </c>
      <c r="I98" s="198">
        <f>L98+R98+T98+U98+AA98+AC98</f>
        <v>479770</v>
      </c>
      <c r="J98" s="198">
        <v>0</v>
      </c>
      <c r="K98" s="198">
        <v>0</v>
      </c>
      <c r="L98" s="198">
        <f t="shared" ref="L98:L99" si="186">N98+P98</f>
        <v>29621</v>
      </c>
      <c r="M98" s="233"/>
      <c r="N98" s="199">
        <f t="shared" ref="N98:N99" si="187">ROUND(M98*$F98,0)</f>
        <v>0</v>
      </c>
      <c r="O98" s="199">
        <f>'[25]41)폐기물수량(하수관거)'!$F$6</f>
        <v>1481.04</v>
      </c>
      <c r="P98" s="199">
        <f t="shared" ref="P98:P100" si="188">ROUND(O98*$G98,0)</f>
        <v>29621</v>
      </c>
      <c r="Q98" s="233">
        <f>'[25]41)폐기물수량(하수관거)'!$H$6</f>
        <v>7575.7529999999988</v>
      </c>
      <c r="R98" s="199">
        <f t="shared" ref="R98:R99" si="189">ROUND(Q98*$F98,0)</f>
        <v>151515</v>
      </c>
      <c r="S98" s="233"/>
      <c r="T98" s="200">
        <f t="shared" ref="T98:T100" si="190">ROUND(S98*$F98,0)</f>
        <v>0</v>
      </c>
      <c r="U98" s="251">
        <f t="shared" ref="U98:U99" si="191">W98+Y98</f>
        <v>144936</v>
      </c>
      <c r="V98" s="233">
        <f>'[25]41)폐기물수량(하수관거)'!$L$6</f>
        <v>2755.6859999999997</v>
      </c>
      <c r="W98" s="199">
        <f t="shared" ref="W98:W99" si="192">ROUND(V98*$F98,0)</f>
        <v>55114</v>
      </c>
      <c r="X98" s="233">
        <f>'[25]41)폐기물수량(하수관거)'!$N$6</f>
        <v>4491.1100000000006</v>
      </c>
      <c r="Y98" s="199">
        <f t="shared" ref="Y98:Y100" si="193">ROUND(X98*$G98,0)</f>
        <v>89822</v>
      </c>
      <c r="Z98" s="233">
        <f>'[25]41)폐기물수량(하수관거)'!$P$6</f>
        <v>6682.51</v>
      </c>
      <c r="AA98" s="199">
        <f t="shared" ref="AA98:AA100" si="194">ROUND(Z98*$G98,0)</f>
        <v>133650</v>
      </c>
      <c r="AB98" s="233">
        <f>Z98*0.15</f>
        <v>1002.3765</v>
      </c>
      <c r="AC98" s="199">
        <f>ROUND(AB98*$G98,0)</f>
        <v>20048</v>
      </c>
      <c r="AD98" s="198">
        <f t="shared" ref="AD98:AD99" si="195">AF98+AH98+AJ98+AL98</f>
        <v>300440</v>
      </c>
      <c r="AE98" s="233">
        <f>'[25]41)폐기물수량(하수관거)'!$R$6</f>
        <v>5894.4560000000001</v>
      </c>
      <c r="AF98" s="199">
        <f t="shared" ref="AF98:AF99" si="196">ROUND(AE98*$F98,0)</f>
        <v>117889</v>
      </c>
      <c r="AG98" s="233">
        <f>'[25]41)폐기물수량(하수관거)'!$T$6</f>
        <v>2981.4409999999998</v>
      </c>
      <c r="AH98" s="199">
        <f t="shared" ref="AH98:AH100" si="197">ROUND(AG98*$G98,0)</f>
        <v>59629</v>
      </c>
      <c r="AI98" s="233">
        <f>'[25]41)폐기물수량(하수관거)'!$V$6</f>
        <v>4123.4130000000005</v>
      </c>
      <c r="AJ98" s="199">
        <f t="shared" ref="AJ98:AJ100" si="198">ROUND(AI98*$G98,0)</f>
        <v>82468</v>
      </c>
      <c r="AK98" s="233">
        <f>'[25]41)폐기물수량(하수관거)'!$X$6</f>
        <v>2022.69</v>
      </c>
      <c r="AL98" s="200">
        <f t="shared" ref="AL98:AL100" si="199">ROUND(AK98*$G98,0)</f>
        <v>40454</v>
      </c>
      <c r="AM98" s="251">
        <f t="shared" ref="AM98:AM100" si="200">AO98+AQ98+AS98+AU98</f>
        <v>180774</v>
      </c>
      <c r="AN98" s="233">
        <f>'[25]41)폐기물수량(하수관거)'!$Z$6</f>
        <v>1255.595</v>
      </c>
      <c r="AO98" s="199">
        <f t="shared" ref="AO98:AO100" si="201">ROUND(AN98*$F98,0)</f>
        <v>25112</v>
      </c>
      <c r="AP98" s="233">
        <f>'[25]41)폐기물수량(하수관거)'!$AB$6</f>
        <v>4355.3289999999997</v>
      </c>
      <c r="AQ98" s="199">
        <f t="shared" ref="AQ98:AQ99" si="202">ROUND(AP98*$F98,0)</f>
        <v>87107</v>
      </c>
      <c r="AR98" s="233">
        <f>'[25]41)폐기물수량(하수관거)'!$AD$6</f>
        <v>1513.06</v>
      </c>
      <c r="AS98" s="199">
        <f t="shared" ref="AS98:AS100" si="203">ROUND(AR98*$G98,0)</f>
        <v>30261</v>
      </c>
      <c r="AT98" s="233">
        <f>'[25]41)폐기물수량(하수관거)'!$AF$6</f>
        <v>1914.68</v>
      </c>
      <c r="AU98" s="199">
        <f t="shared" ref="AU98:AU100" si="204">ROUND(AT98*$G98,0)</f>
        <v>38294</v>
      </c>
      <c r="AV98" s="198">
        <f t="shared" ref="AV98:AV99" si="205">AX98+AZ98</f>
        <v>18920</v>
      </c>
      <c r="AW98" s="233">
        <v>582</v>
      </c>
      <c r="AX98" s="199">
        <f t="shared" ref="AX98:AZ99" si="206">ROUND(AW98*$G98,0)</f>
        <v>11640</v>
      </c>
      <c r="AY98" s="199">
        <v>364</v>
      </c>
      <c r="AZ98" s="199">
        <f t="shared" si="206"/>
        <v>7280</v>
      </c>
      <c r="BA98" s="233">
        <f>'[25]41)폐기물수량(하수관거)'!$AJ$6</f>
        <v>1888.9169999999999</v>
      </c>
      <c r="BB98" s="200">
        <f t="shared" ref="BB98:BB100" si="207">ROUND(BA98*$G98,0)</f>
        <v>37778</v>
      </c>
    </row>
    <row r="99" spans="1:54" s="38" customFormat="1" ht="20.100000000000001" customHeight="1">
      <c r="A99" s="195"/>
      <c r="B99" s="447" t="s">
        <v>126</v>
      </c>
      <c r="C99" s="447"/>
      <c r="D99" s="447"/>
      <c r="E99" s="169" t="s">
        <v>127</v>
      </c>
      <c r="F99" s="197">
        <v>18</v>
      </c>
      <c r="G99" s="197">
        <v>18</v>
      </c>
      <c r="H99" s="198">
        <f>I99+AD99+AM99+AV99+BB99</f>
        <v>1290908</v>
      </c>
      <c r="I99" s="198">
        <f>L99+R99+T99+U99+AA99+AC99</f>
        <v>582633</v>
      </c>
      <c r="J99" s="198">
        <v>0</v>
      </c>
      <c r="K99" s="198">
        <v>0</v>
      </c>
      <c r="L99" s="198">
        <f t="shared" si="186"/>
        <v>31515</v>
      </c>
      <c r="M99" s="233"/>
      <c r="N99" s="199">
        <f t="shared" si="187"/>
        <v>0</v>
      </c>
      <c r="O99" s="199">
        <f>'[25]41)폐기물수량(하수관거)'!$F$43</f>
        <v>1750.8600000000001</v>
      </c>
      <c r="P99" s="199">
        <f t="shared" si="188"/>
        <v>31515</v>
      </c>
      <c r="Q99" s="233">
        <f>'[25]41)폐기물수량(하수관거)'!$H$43</f>
        <v>5104.0120000000006</v>
      </c>
      <c r="R99" s="199">
        <f t="shared" si="189"/>
        <v>91872</v>
      </c>
      <c r="S99" s="233">
        <v>0</v>
      </c>
      <c r="T99" s="200">
        <f t="shared" si="190"/>
        <v>0</v>
      </c>
      <c r="U99" s="251">
        <f t="shared" si="191"/>
        <v>195933</v>
      </c>
      <c r="V99" s="233">
        <f>'[25]41)폐기물수량(하수관거)'!$L$43</f>
        <v>1635.9110000000001</v>
      </c>
      <c r="W99" s="199">
        <f t="shared" si="192"/>
        <v>29446</v>
      </c>
      <c r="X99" s="233">
        <f>'[25]41)폐기물수량(하수관거)'!$N$43</f>
        <v>9249.2800000000007</v>
      </c>
      <c r="Y99" s="199">
        <f t="shared" si="193"/>
        <v>166487</v>
      </c>
      <c r="Z99" s="233">
        <f>'[25]41)폐기물수량(하수관거)'!$P$43</f>
        <v>12720.445</v>
      </c>
      <c r="AA99" s="199">
        <f t="shared" si="194"/>
        <v>228968</v>
      </c>
      <c r="AB99" s="233">
        <f>Z99*0.15</f>
        <v>1908.06675</v>
      </c>
      <c r="AC99" s="199">
        <f>ROUND(AB99*$G99,0)</f>
        <v>34345</v>
      </c>
      <c r="AD99" s="198">
        <f t="shared" si="195"/>
        <v>385218</v>
      </c>
      <c r="AE99" s="233">
        <f>'[25]41)폐기물수량(하수관거)'!$R$43</f>
        <v>3599.087</v>
      </c>
      <c r="AF99" s="199">
        <f t="shared" si="196"/>
        <v>64784</v>
      </c>
      <c r="AG99" s="233">
        <f>'[25]41)폐기물수량(하수관거)'!$T$43</f>
        <v>6271.0450000000001</v>
      </c>
      <c r="AH99" s="199">
        <f t="shared" si="197"/>
        <v>112879</v>
      </c>
      <c r="AI99" s="233">
        <f>'[25]41)폐기물수량(하수관거)'!$V$43</f>
        <v>7502.5610000000006</v>
      </c>
      <c r="AJ99" s="199">
        <f t="shared" si="198"/>
        <v>135046</v>
      </c>
      <c r="AK99" s="233">
        <f>'[25]41)폐기물수량(하수관거)'!$X$43</f>
        <v>4028.2849999999999</v>
      </c>
      <c r="AL99" s="200">
        <f t="shared" si="199"/>
        <v>72509</v>
      </c>
      <c r="AM99" s="251">
        <f t="shared" si="200"/>
        <v>207860</v>
      </c>
      <c r="AN99" s="233">
        <f>'[25]41)폐기물수량(하수관거)'!$Z$43</f>
        <v>1126.8810000000001</v>
      </c>
      <c r="AO99" s="199">
        <f t="shared" si="201"/>
        <v>20284</v>
      </c>
      <c r="AP99" s="233">
        <f>'[25]41)폐기물수량(하수관거)'!$AB$43</f>
        <v>3866.3040000000001</v>
      </c>
      <c r="AQ99" s="199">
        <f t="shared" si="202"/>
        <v>69593</v>
      </c>
      <c r="AR99" s="233">
        <f>'[25]41)폐기물수량(하수관거)'!$AD$43</f>
        <v>3071.56</v>
      </c>
      <c r="AS99" s="199">
        <f t="shared" si="203"/>
        <v>55288</v>
      </c>
      <c r="AT99" s="233">
        <f>'[25]41)폐기물수량(하수관거)'!$AF$43</f>
        <v>3483.08</v>
      </c>
      <c r="AU99" s="199">
        <f t="shared" si="204"/>
        <v>62695</v>
      </c>
      <c r="AV99" s="198">
        <f t="shared" si="205"/>
        <v>30888</v>
      </c>
      <c r="AW99" s="233">
        <v>693</v>
      </c>
      <c r="AX99" s="199">
        <f t="shared" si="206"/>
        <v>12474</v>
      </c>
      <c r="AY99" s="199">
        <v>1023</v>
      </c>
      <c r="AZ99" s="199">
        <f t="shared" si="206"/>
        <v>18414</v>
      </c>
      <c r="BA99" s="233">
        <f>'[25]41)폐기물수량(하수관거)'!$AJ$43</f>
        <v>4683.8530000000001</v>
      </c>
      <c r="BB99" s="200">
        <f t="shared" si="207"/>
        <v>84309</v>
      </c>
    </row>
    <row r="100" spans="1:54" s="50" customFormat="1" ht="20.100000000000001" customHeight="1">
      <c r="A100" s="439" t="s">
        <v>128</v>
      </c>
      <c r="B100" s="440"/>
      <c r="C100" s="440"/>
      <c r="D100" s="440"/>
      <c r="E100" s="173" t="s">
        <v>111</v>
      </c>
      <c r="F100" s="174"/>
      <c r="G100" s="174"/>
      <c r="H100" s="225">
        <f>I100+AD100+AM100+AX100+BB100</f>
        <v>0</v>
      </c>
      <c r="I100" s="225">
        <f>N100+R100+T100+U100+AA100</f>
        <v>0</v>
      </c>
      <c r="J100" s="175">
        <f t="shared" ref="J100" si="208">SUM(J101:J102)</f>
        <v>0</v>
      </c>
      <c r="K100" s="175">
        <v>0</v>
      </c>
      <c r="L100" s="225">
        <v>0</v>
      </c>
      <c r="M100" s="175">
        <v>0</v>
      </c>
      <c r="N100" s="175">
        <v>0</v>
      </c>
      <c r="O100" s="175"/>
      <c r="P100" s="175">
        <f t="shared" si="188"/>
        <v>0</v>
      </c>
      <c r="Q100" s="175">
        <v>0</v>
      </c>
      <c r="R100" s="175">
        <v>0</v>
      </c>
      <c r="S100" s="175"/>
      <c r="T100" s="176">
        <f t="shared" si="190"/>
        <v>0</v>
      </c>
      <c r="U100" s="257">
        <v>0</v>
      </c>
      <c r="V100" s="175">
        <v>0</v>
      </c>
      <c r="W100" s="175">
        <v>0</v>
      </c>
      <c r="X100" s="175"/>
      <c r="Y100" s="175">
        <f t="shared" si="193"/>
        <v>0</v>
      </c>
      <c r="Z100" s="175"/>
      <c r="AA100" s="175">
        <f t="shared" si="194"/>
        <v>0</v>
      </c>
      <c r="AB100" s="175"/>
      <c r="AC100" s="175">
        <f>ROUND(AB100*$G100,0)</f>
        <v>0</v>
      </c>
      <c r="AD100" s="225">
        <v>0</v>
      </c>
      <c r="AE100" s="175">
        <v>0</v>
      </c>
      <c r="AF100" s="175">
        <v>0</v>
      </c>
      <c r="AG100" s="175"/>
      <c r="AH100" s="175">
        <f t="shared" si="197"/>
        <v>0</v>
      </c>
      <c r="AI100" s="175"/>
      <c r="AJ100" s="175">
        <f t="shared" si="198"/>
        <v>0</v>
      </c>
      <c r="AK100" s="175"/>
      <c r="AL100" s="176">
        <f t="shared" si="199"/>
        <v>0</v>
      </c>
      <c r="AM100" s="257">
        <f t="shared" si="200"/>
        <v>0</v>
      </c>
      <c r="AN100" s="175"/>
      <c r="AO100" s="175">
        <f t="shared" si="201"/>
        <v>0</v>
      </c>
      <c r="AP100" s="175">
        <v>0</v>
      </c>
      <c r="AQ100" s="175">
        <v>0</v>
      </c>
      <c r="AR100" s="175"/>
      <c r="AS100" s="175">
        <f t="shared" si="203"/>
        <v>0</v>
      </c>
      <c r="AT100" s="175"/>
      <c r="AU100" s="175">
        <f t="shared" si="204"/>
        <v>0</v>
      </c>
      <c r="AV100" s="225">
        <v>0</v>
      </c>
      <c r="AW100" s="175">
        <v>0</v>
      </c>
      <c r="AX100" s="175">
        <v>0</v>
      </c>
      <c r="AY100" s="175"/>
      <c r="AZ100" s="175">
        <v>0</v>
      </c>
      <c r="BA100" s="175"/>
      <c r="BB100" s="176">
        <f t="shared" si="207"/>
        <v>0</v>
      </c>
    </row>
    <row r="101" spans="1:54" s="38" customFormat="1" ht="20.100000000000001" customHeight="1">
      <c r="A101" s="454" t="s">
        <v>168</v>
      </c>
      <c r="B101" s="447"/>
      <c r="C101" s="447"/>
      <c r="D101" s="447"/>
      <c r="E101" s="169"/>
      <c r="F101" s="171"/>
      <c r="G101" s="170"/>
      <c r="H101" s="234">
        <f>I101+AD101+AM101+AV101+BB101</f>
        <v>896516</v>
      </c>
      <c r="I101" s="234">
        <f>L101+R101+T101+U101+AA101+K101+AC101</f>
        <v>418922</v>
      </c>
      <c r="J101" s="234"/>
      <c r="K101" s="235">
        <f>ROUND(K$5*1.32/100,0)</f>
        <v>26985</v>
      </c>
      <c r="L101" s="234">
        <f t="shared" ref="L101:L104" si="209">N101+P101</f>
        <v>40355</v>
      </c>
      <c r="M101" s="236"/>
      <c r="N101" s="235">
        <f>ROUND(N$5*1.37/100,0)</f>
        <v>25301</v>
      </c>
      <c r="O101" s="235"/>
      <c r="P101" s="235">
        <f>ROUND(P$5*1.37/100,0)</f>
        <v>15054</v>
      </c>
      <c r="Q101" s="236">
        <v>0</v>
      </c>
      <c r="R101" s="235">
        <f>ROUND(R$5*1.27/100,0)</f>
        <v>103858</v>
      </c>
      <c r="S101" s="236"/>
      <c r="T101" s="237">
        <f>ROUND(T$5*1.49/100,0)</f>
        <v>0</v>
      </c>
      <c r="U101" s="258">
        <f t="shared" ref="U101:U104" si="210">W101+Y101</f>
        <v>117125</v>
      </c>
      <c r="V101" s="236">
        <v>0</v>
      </c>
      <c r="W101" s="235">
        <f>ROUND(W$5*1.32/100,0)</f>
        <v>37422</v>
      </c>
      <c r="X101" s="236">
        <v>0</v>
      </c>
      <c r="Y101" s="235">
        <f>ROUND(Y$5*1.27/100,0)</f>
        <v>79703</v>
      </c>
      <c r="Z101" s="236">
        <v>0</v>
      </c>
      <c r="AA101" s="235">
        <f>ROUND(AA$5*1.27/100,0)</f>
        <v>116581</v>
      </c>
      <c r="AB101" s="236">
        <v>0</v>
      </c>
      <c r="AC101" s="235">
        <f>ROUND(AC$5*1.49/100,0)</f>
        <v>14018</v>
      </c>
      <c r="AD101" s="234">
        <f t="shared" ref="AD101:AD104" si="211">AF101+AH101+AJ101+AL101</f>
        <v>241501</v>
      </c>
      <c r="AE101" s="236">
        <v>0</v>
      </c>
      <c r="AF101" s="235">
        <f>ROUND(AF$5*1.27/100,0)</f>
        <v>76473</v>
      </c>
      <c r="AG101" s="236">
        <v>0</v>
      </c>
      <c r="AH101" s="235">
        <f>ROUND(AH$5*1.3/100,0)</f>
        <v>59612</v>
      </c>
      <c r="AI101" s="236">
        <v>0</v>
      </c>
      <c r="AJ101" s="235">
        <f>ROUND(AJ$5*1.27/100,0)</f>
        <v>71171</v>
      </c>
      <c r="AK101" s="236">
        <v>0</v>
      </c>
      <c r="AL101" s="237">
        <f>ROUND(AL$5*1.32/100,0)</f>
        <v>34245</v>
      </c>
      <c r="AM101" s="258">
        <f t="shared" ref="AM101:AM104" si="212">AO101+AQ101+AS101+AU101</f>
        <v>138320</v>
      </c>
      <c r="AN101" s="236">
        <v>0</v>
      </c>
      <c r="AO101" s="235">
        <f>ROUND(AO$5*1.37/100,0)</f>
        <v>18340</v>
      </c>
      <c r="AP101" s="236">
        <v>0</v>
      </c>
      <c r="AQ101" s="235">
        <f>ROUND(AQ$5*1.3/100,0)</f>
        <v>57548</v>
      </c>
      <c r="AR101" s="236">
        <v>0</v>
      </c>
      <c r="AS101" s="235">
        <f>ROUND(AS$5*1.32/100,0)</f>
        <v>28548</v>
      </c>
      <c r="AT101" s="236">
        <v>0</v>
      </c>
      <c r="AU101" s="235">
        <f>ROUND(AU$5*1.32/100,0)</f>
        <v>33884</v>
      </c>
      <c r="AV101" s="234">
        <f t="shared" ref="AV101:AV104" si="213">AX101+AZ101</f>
        <v>42748</v>
      </c>
      <c r="AW101" s="236">
        <v>0</v>
      </c>
      <c r="AX101" s="235">
        <f>ROUND(AX$5*1.49/100,0)</f>
        <v>13717</v>
      </c>
      <c r="AY101" s="235"/>
      <c r="AZ101" s="235">
        <f>ROUND(AZ$5*1.32/100,0)</f>
        <v>29031</v>
      </c>
      <c r="BA101" s="236">
        <v>0</v>
      </c>
      <c r="BB101" s="237">
        <f>ROUND(BB$5*1.3/100,0)</f>
        <v>55025</v>
      </c>
    </row>
    <row r="102" spans="1:54" s="38" customFormat="1" ht="20.100000000000001" customHeight="1">
      <c r="A102" s="454" t="s">
        <v>169</v>
      </c>
      <c r="B102" s="447"/>
      <c r="C102" s="447"/>
      <c r="D102" s="447"/>
      <c r="E102" s="169"/>
      <c r="F102" s="171"/>
      <c r="G102" s="170"/>
      <c r="H102" s="234">
        <f>I102+AD102+AM102+AV102+BB102</f>
        <v>1791559</v>
      </c>
      <c r="I102" s="234">
        <f>L102+R102+T102+U102+AA102+K102+AC102</f>
        <v>836358</v>
      </c>
      <c r="J102" s="234"/>
      <c r="K102" s="235">
        <f>ROUND(K$5*2.65/100,0)</f>
        <v>54175</v>
      </c>
      <c r="L102" s="234">
        <f t="shared" si="209"/>
        <v>81004</v>
      </c>
      <c r="M102" s="236"/>
      <c r="N102" s="235">
        <f>ROUND(N$5*2.75/100,0)</f>
        <v>50786</v>
      </c>
      <c r="O102" s="235"/>
      <c r="P102" s="235">
        <f>ROUND(P$5*2.75/100,0)</f>
        <v>30218</v>
      </c>
      <c r="Q102" s="236">
        <v>0</v>
      </c>
      <c r="R102" s="235">
        <f>ROUND(R$5*2.53/100,0)</f>
        <v>206898</v>
      </c>
      <c r="S102" s="236"/>
      <c r="T102" s="237">
        <f>ROUND(T$5*2.99/100,0)</f>
        <v>0</v>
      </c>
      <c r="U102" s="258">
        <f t="shared" si="210"/>
        <v>233905</v>
      </c>
      <c r="V102" s="236">
        <v>0</v>
      </c>
      <c r="W102" s="235">
        <f>ROUND(W$5*2.65/100,0)</f>
        <v>75127</v>
      </c>
      <c r="X102" s="236">
        <v>0</v>
      </c>
      <c r="Y102" s="235">
        <f>ROUND(Y$5*2.53/100,0)</f>
        <v>158778</v>
      </c>
      <c r="Z102" s="236">
        <v>0</v>
      </c>
      <c r="AA102" s="235">
        <f>ROUND(AA$5*2.53/100,0)</f>
        <v>232245</v>
      </c>
      <c r="AB102" s="236">
        <v>0</v>
      </c>
      <c r="AC102" s="235">
        <f>ROUND(AC$5*2.99/100,0)</f>
        <v>28131</v>
      </c>
      <c r="AD102" s="234">
        <f t="shared" si="211"/>
        <v>482099</v>
      </c>
      <c r="AE102" s="236">
        <v>0</v>
      </c>
      <c r="AF102" s="235">
        <f>ROUND(AF$5*2.53/100,0)</f>
        <v>152344</v>
      </c>
      <c r="AG102" s="236">
        <v>0</v>
      </c>
      <c r="AH102" s="235">
        <f>ROUND(AH$5*2.6/100,0)</f>
        <v>119224</v>
      </c>
      <c r="AI102" s="236">
        <v>0</v>
      </c>
      <c r="AJ102" s="235">
        <f>ROUND(AJ$5*2.53/100,0)</f>
        <v>141781</v>
      </c>
      <c r="AK102" s="236">
        <v>0</v>
      </c>
      <c r="AL102" s="237">
        <f>ROUND(AL$5*2.65/100,0)</f>
        <v>68750</v>
      </c>
      <c r="AM102" s="258">
        <f t="shared" si="212"/>
        <v>277246</v>
      </c>
      <c r="AN102" s="236">
        <v>0</v>
      </c>
      <c r="AO102" s="235">
        <f>ROUND(AO$5*2.75/100,0)</f>
        <v>36813</v>
      </c>
      <c r="AP102" s="236">
        <v>0</v>
      </c>
      <c r="AQ102" s="235">
        <f>ROUND(AQ$5*2.6/100,0)</f>
        <v>115096</v>
      </c>
      <c r="AR102" s="236">
        <v>0</v>
      </c>
      <c r="AS102" s="235">
        <f>ROUND(AS$5*2.65/100,0)</f>
        <v>57312</v>
      </c>
      <c r="AT102" s="236">
        <v>0</v>
      </c>
      <c r="AU102" s="235">
        <f>ROUND(AU$5*2.65/100,0)</f>
        <v>68025</v>
      </c>
      <c r="AV102" s="234">
        <f t="shared" si="213"/>
        <v>85806</v>
      </c>
      <c r="AW102" s="236">
        <v>0</v>
      </c>
      <c r="AX102" s="235">
        <f>ROUND(AX$5*2.99/100,0)</f>
        <v>27525</v>
      </c>
      <c r="AY102" s="235"/>
      <c r="AZ102" s="235">
        <f>ROUND(AZ$5*2.65/100,0)</f>
        <v>58281</v>
      </c>
      <c r="BA102" s="236">
        <v>0</v>
      </c>
      <c r="BB102" s="237">
        <f>ROUND(BB$5*2.6/100,0)</f>
        <v>110050</v>
      </c>
    </row>
    <row r="103" spans="1:54" s="38" customFormat="1" ht="20.100000000000001" customHeight="1">
      <c r="A103" s="454" t="s">
        <v>170</v>
      </c>
      <c r="B103" s="447"/>
      <c r="C103" s="447"/>
      <c r="D103" s="447"/>
      <c r="E103" s="169"/>
      <c r="F103" s="171"/>
      <c r="G103" s="170"/>
      <c r="H103" s="234">
        <f>I103+AD103+AM103+AV103+BB103</f>
        <v>2684174</v>
      </c>
      <c r="I103" s="234">
        <f>L103+R103+T103+U103+AA103+K103+AC103</f>
        <v>1595795</v>
      </c>
      <c r="J103" s="234"/>
      <c r="K103" s="235">
        <f>ROUND(K$5*1.48/100,0)</f>
        <v>30256</v>
      </c>
      <c r="L103" s="234">
        <f t="shared" si="209"/>
        <v>45067</v>
      </c>
      <c r="M103" s="236"/>
      <c r="N103" s="235">
        <f>ROUND(N$5*1.53/100,0)</f>
        <v>28255</v>
      </c>
      <c r="O103" s="235"/>
      <c r="P103" s="235">
        <f>ROUND(P$5*1.53/100,0)</f>
        <v>16812</v>
      </c>
      <c r="Q103" s="236">
        <v>0</v>
      </c>
      <c r="R103" s="235">
        <f>ROUND(R$5*6.19/100,0)</f>
        <v>506204</v>
      </c>
      <c r="S103" s="236"/>
      <c r="T103" s="237">
        <f>ROUND(T$5*1.66/100,0)</f>
        <v>0</v>
      </c>
      <c r="U103" s="258">
        <f t="shared" si="210"/>
        <v>430431</v>
      </c>
      <c r="V103" s="236">
        <v>0</v>
      </c>
      <c r="W103" s="235">
        <f>ROUND(W$5*1.48/100,0)</f>
        <v>41958</v>
      </c>
      <c r="X103" s="236">
        <v>0</v>
      </c>
      <c r="Y103" s="235">
        <f>ROUND(Y$5*6.19/100,0)</f>
        <v>388473</v>
      </c>
      <c r="Z103" s="236">
        <v>0</v>
      </c>
      <c r="AA103" s="235">
        <f>ROUND(AA$5*6.19/100,0)</f>
        <v>568219</v>
      </c>
      <c r="AB103" s="236">
        <v>0</v>
      </c>
      <c r="AC103" s="235">
        <f>ROUND(AC$5*1.66/100,0)</f>
        <v>15618</v>
      </c>
      <c r="AD103" s="234">
        <f t="shared" si="211"/>
        <v>824506</v>
      </c>
      <c r="AE103" s="236">
        <v>0</v>
      </c>
      <c r="AF103" s="235">
        <f>ROUND(AF$5*6.19/100,0)</f>
        <v>372732</v>
      </c>
      <c r="AG103" s="236">
        <v>0</v>
      </c>
      <c r="AH103" s="235">
        <f>ROUND(AH$5*1.45/100,0)</f>
        <v>66490</v>
      </c>
      <c r="AI103" s="236">
        <v>0</v>
      </c>
      <c r="AJ103" s="235">
        <f>ROUND(AJ$5*6.19/100,0)</f>
        <v>346888</v>
      </c>
      <c r="AK103" s="236">
        <v>0</v>
      </c>
      <c r="AL103" s="237">
        <f>ROUND(AL$5*1.48/100,0)</f>
        <v>38396</v>
      </c>
      <c r="AM103" s="258">
        <f t="shared" si="212"/>
        <v>154668</v>
      </c>
      <c r="AN103" s="236">
        <v>0</v>
      </c>
      <c r="AO103" s="235">
        <f>ROUND(AO$5*1.53/100,0)</f>
        <v>20481</v>
      </c>
      <c r="AP103" s="236">
        <v>0</v>
      </c>
      <c r="AQ103" s="235">
        <f>ROUND(AQ$5*1.45/100,0)</f>
        <v>64188</v>
      </c>
      <c r="AR103" s="236">
        <v>0</v>
      </c>
      <c r="AS103" s="235">
        <f>ROUND(AS$5*1.48/100,0)</f>
        <v>32008</v>
      </c>
      <c r="AT103" s="236">
        <v>0</v>
      </c>
      <c r="AU103" s="235">
        <f>ROUND(AU$5*1.48/100,0)</f>
        <v>37991</v>
      </c>
      <c r="AV103" s="234">
        <f t="shared" si="213"/>
        <v>47831</v>
      </c>
      <c r="AW103" s="236">
        <v>0</v>
      </c>
      <c r="AX103" s="235">
        <f>ROUND(AX$5*1.66/100,0)</f>
        <v>15282</v>
      </c>
      <c r="AY103" s="235"/>
      <c r="AZ103" s="235">
        <f>ROUND(AZ$5*1.48/100,0)</f>
        <v>32549</v>
      </c>
      <c r="BA103" s="236">
        <v>0</v>
      </c>
      <c r="BB103" s="237">
        <f>ROUND(BB$5*1.45/100,0)</f>
        <v>61374</v>
      </c>
    </row>
    <row r="104" spans="1:54" s="38" customFormat="1" ht="20.100000000000001" customHeight="1">
      <c r="A104" s="454" t="s">
        <v>171</v>
      </c>
      <c r="B104" s="447"/>
      <c r="C104" s="447"/>
      <c r="D104" s="447"/>
      <c r="E104" s="169"/>
      <c r="F104" s="171"/>
      <c r="G104" s="170"/>
      <c r="H104" s="234">
        <f>I104+AD104+AM104+AV104+BB104</f>
        <v>202908</v>
      </c>
      <c r="I104" s="234">
        <f>L104+R104+T104+U104+AA104+K104+AC104</f>
        <v>93180</v>
      </c>
      <c r="J104" s="234"/>
      <c r="K104" s="235">
        <f>ROUND(K$5*0.36/100,0)</f>
        <v>7360</v>
      </c>
      <c r="L104" s="234">
        <f t="shared" si="209"/>
        <v>10604</v>
      </c>
      <c r="M104" s="236"/>
      <c r="N104" s="235">
        <f>ROUND(N$5*0.36/100,0)</f>
        <v>6648</v>
      </c>
      <c r="O104" s="235"/>
      <c r="P104" s="235">
        <f>ROUND(P$5*0.36/100,0)</f>
        <v>3956</v>
      </c>
      <c r="Q104" s="236">
        <v>0</v>
      </c>
      <c r="R104" s="235">
        <f>ROUND(R$5*0.25/100,0)</f>
        <v>20444</v>
      </c>
      <c r="S104" s="236"/>
      <c r="T104" s="237">
        <f>ROUND(T$5*0.63/100,0)</f>
        <v>0</v>
      </c>
      <c r="U104" s="258">
        <f t="shared" si="210"/>
        <v>25896</v>
      </c>
      <c r="V104" s="236">
        <v>0</v>
      </c>
      <c r="W104" s="235">
        <f>ROUND(W$5*0.36/100,0)</f>
        <v>10206</v>
      </c>
      <c r="X104" s="236">
        <v>0</v>
      </c>
      <c r="Y104" s="235">
        <f>ROUND(Y$5*0.25/100,0)</f>
        <v>15690</v>
      </c>
      <c r="Z104" s="236">
        <v>0</v>
      </c>
      <c r="AA104" s="235">
        <f>ROUND(AA$5*0.25/100,0)</f>
        <v>22949</v>
      </c>
      <c r="AB104" s="236">
        <v>0</v>
      </c>
      <c r="AC104" s="235">
        <f>ROUND(AC$5*0.63/100,0)</f>
        <v>5927</v>
      </c>
      <c r="AD104" s="234">
        <f t="shared" si="211"/>
        <v>50785</v>
      </c>
      <c r="AE104" s="236">
        <v>0</v>
      </c>
      <c r="AF104" s="235">
        <f>ROUND(AF$5*0.25/100,0)</f>
        <v>15054</v>
      </c>
      <c r="AG104" s="236">
        <v>0</v>
      </c>
      <c r="AH104" s="235">
        <f>ROUND(AH$5*0.27/100,0)</f>
        <v>12381</v>
      </c>
      <c r="AI104" s="236">
        <v>0</v>
      </c>
      <c r="AJ104" s="235">
        <f>ROUND(AJ$5*0.25/100,0)</f>
        <v>14010</v>
      </c>
      <c r="AK104" s="236">
        <v>0</v>
      </c>
      <c r="AL104" s="237">
        <f>ROUND(AL$5*0.36/100,0)</f>
        <v>9340</v>
      </c>
      <c r="AM104" s="258">
        <f t="shared" si="212"/>
        <v>33798</v>
      </c>
      <c r="AN104" s="236">
        <v>0</v>
      </c>
      <c r="AO104" s="235">
        <f>ROUND(AO$5*0.36/100,0)</f>
        <v>4819</v>
      </c>
      <c r="AP104" s="236">
        <v>0</v>
      </c>
      <c r="AQ104" s="235">
        <f>ROUND(AQ$5*0.27/100,0)</f>
        <v>11952</v>
      </c>
      <c r="AR104" s="236">
        <v>0</v>
      </c>
      <c r="AS104" s="235">
        <f>ROUND(AS$5*0.36/100,0)</f>
        <v>7786</v>
      </c>
      <c r="AT104" s="236">
        <v>0</v>
      </c>
      <c r="AU104" s="235">
        <f>ROUND(AU$5*0.36/100,0)</f>
        <v>9241</v>
      </c>
      <c r="AV104" s="234">
        <f t="shared" si="213"/>
        <v>13717</v>
      </c>
      <c r="AW104" s="236">
        <v>0</v>
      </c>
      <c r="AX104" s="235">
        <f>ROUND(AX$5*0.63/100,0)</f>
        <v>5800</v>
      </c>
      <c r="AY104" s="235"/>
      <c r="AZ104" s="235">
        <f>ROUND(AZ$5*0.36/100,0)</f>
        <v>7917</v>
      </c>
      <c r="BA104" s="236">
        <v>0</v>
      </c>
      <c r="BB104" s="237">
        <f>ROUND(BB$5*0.27/100,0)</f>
        <v>11428</v>
      </c>
    </row>
    <row r="105" spans="1:54" s="38" customFormat="1" ht="20.100000000000001" customHeight="1">
      <c r="A105" s="469" t="s">
        <v>172</v>
      </c>
      <c r="B105" s="470"/>
      <c r="C105" s="470"/>
      <c r="D105" s="470"/>
      <c r="E105" s="210"/>
      <c r="F105" s="238"/>
      <c r="G105" s="238"/>
      <c r="H105" s="239">
        <f>H5+H101+H102+H103+H104</f>
        <v>74627214</v>
      </c>
      <c r="I105" s="239">
        <f>I5+I101+I102+I103+I104</f>
        <v>35343227</v>
      </c>
      <c r="J105" s="239"/>
      <c r="K105" s="239">
        <f>K5+K101+K102+K103+K104</f>
        <v>2163118</v>
      </c>
      <c r="L105" s="239">
        <f>L5+L101+L102+L103+L104</f>
        <v>3122618</v>
      </c>
      <c r="M105" s="239">
        <f>M5+M101+M102+M103+M104</f>
        <v>0</v>
      </c>
      <c r="N105" s="239">
        <f>N5+N101+N102+N103+N104</f>
        <v>1957751</v>
      </c>
      <c r="O105" s="239"/>
      <c r="P105" s="239">
        <f t="shared" ref="P105:AX105" si="214">P5+P101+P102+P103+P104</f>
        <v>1164867</v>
      </c>
      <c r="Q105" s="239">
        <f t="shared" si="214"/>
        <v>0</v>
      </c>
      <c r="R105" s="239">
        <f t="shared" si="214"/>
        <v>9015180</v>
      </c>
      <c r="S105" s="239">
        <f t="shared" si="214"/>
        <v>0</v>
      </c>
      <c r="T105" s="240">
        <f t="shared" si="214"/>
        <v>0</v>
      </c>
      <c r="U105" s="259">
        <f t="shared" si="214"/>
        <v>9918170</v>
      </c>
      <c r="V105" s="239">
        <f t="shared" si="214"/>
        <v>0</v>
      </c>
      <c r="W105" s="239">
        <f t="shared" si="214"/>
        <v>2999703</v>
      </c>
      <c r="X105" s="239">
        <f t="shared" si="214"/>
        <v>0</v>
      </c>
      <c r="Y105" s="239">
        <f t="shared" si="214"/>
        <v>6918467</v>
      </c>
      <c r="Z105" s="239">
        <f t="shared" si="214"/>
        <v>0</v>
      </c>
      <c r="AA105" s="239">
        <f t="shared" si="214"/>
        <v>10119620</v>
      </c>
      <c r="AB105" s="239">
        <f t="shared" ref="AB105:AC105" si="215">AB5+AB101+AB102+AB103+AB104</f>
        <v>0</v>
      </c>
      <c r="AC105" s="239">
        <f t="shared" si="215"/>
        <v>1004521</v>
      </c>
      <c r="AD105" s="239">
        <f t="shared" si="214"/>
        <v>20404284</v>
      </c>
      <c r="AE105" s="239">
        <f t="shared" si="214"/>
        <v>0</v>
      </c>
      <c r="AF105" s="239">
        <f t="shared" si="214"/>
        <v>6638118</v>
      </c>
      <c r="AG105" s="239">
        <f t="shared" si="214"/>
        <v>0</v>
      </c>
      <c r="AH105" s="239">
        <f t="shared" si="214"/>
        <v>4843242</v>
      </c>
      <c r="AI105" s="239">
        <f t="shared" si="214"/>
        <v>0</v>
      </c>
      <c r="AJ105" s="239">
        <f t="shared" si="214"/>
        <v>6177851</v>
      </c>
      <c r="AK105" s="239">
        <f t="shared" si="214"/>
        <v>0</v>
      </c>
      <c r="AL105" s="240">
        <f t="shared" si="214"/>
        <v>2745073</v>
      </c>
      <c r="AM105" s="259">
        <f t="shared" si="214"/>
        <v>11099159</v>
      </c>
      <c r="AN105" s="239">
        <f t="shared" si="214"/>
        <v>0</v>
      </c>
      <c r="AO105" s="239">
        <f t="shared" si="214"/>
        <v>1419109</v>
      </c>
      <c r="AP105" s="239">
        <f t="shared" si="214"/>
        <v>0</v>
      </c>
      <c r="AQ105" s="239">
        <f t="shared" si="214"/>
        <v>4675551</v>
      </c>
      <c r="AR105" s="239">
        <f t="shared" si="214"/>
        <v>0</v>
      </c>
      <c r="AS105" s="239">
        <f t="shared" si="214"/>
        <v>2288374</v>
      </c>
      <c r="AT105" s="239">
        <f t="shared" si="214"/>
        <v>0</v>
      </c>
      <c r="AU105" s="239">
        <f t="shared" si="214"/>
        <v>2716125</v>
      </c>
      <c r="AV105" s="239">
        <f t="shared" si="214"/>
        <v>3309967</v>
      </c>
      <c r="AW105" s="239">
        <f t="shared" si="214"/>
        <v>0</v>
      </c>
      <c r="AX105" s="239">
        <f t="shared" si="214"/>
        <v>982904</v>
      </c>
      <c r="AY105" s="239"/>
      <c r="AZ105" s="239">
        <f>AZ5+AZ101+AZ102+AZ103+AZ104</f>
        <v>2327063</v>
      </c>
      <c r="BA105" s="239">
        <f>BA5+BA101+BA102+BA103+BA104</f>
        <v>0</v>
      </c>
      <c r="BB105" s="240">
        <f>BB5+BB101+BB102+BB103+BB104</f>
        <v>4470577</v>
      </c>
    </row>
    <row r="106" spans="1:54" s="38" customFormat="1" ht="20.100000000000001" customHeight="1">
      <c r="B106" s="42"/>
      <c r="C106" s="42"/>
      <c r="D106" s="42"/>
      <c r="E106" s="39"/>
      <c r="F106" s="40"/>
      <c r="G106" s="40"/>
      <c r="H106" s="41"/>
      <c r="I106" s="41"/>
      <c r="J106" s="41"/>
      <c r="K106" s="41" t="s">
        <v>352</v>
      </c>
      <c r="L106" s="41"/>
      <c r="M106" s="41"/>
      <c r="N106" s="41" t="s">
        <v>349</v>
      </c>
      <c r="O106" s="41"/>
      <c r="P106" s="41" t="s">
        <v>351</v>
      </c>
      <c r="Q106" s="41"/>
      <c r="R106" s="41" t="s">
        <v>206</v>
      </c>
      <c r="S106" s="41"/>
      <c r="T106" s="41" t="s">
        <v>277</v>
      </c>
      <c r="U106" s="41"/>
      <c r="V106" s="41"/>
      <c r="W106" s="41" t="s">
        <v>206</v>
      </c>
      <c r="X106" s="41"/>
      <c r="Y106" s="41" t="s">
        <v>349</v>
      </c>
      <c r="Z106" s="41"/>
      <c r="AA106" s="41" t="s">
        <v>350</v>
      </c>
      <c r="AB106" s="41"/>
      <c r="AC106" s="41" t="s">
        <v>205</v>
      </c>
      <c r="AD106" s="41"/>
      <c r="AE106" s="41"/>
      <c r="AF106" s="41" t="s">
        <v>207</v>
      </c>
      <c r="AG106" s="41"/>
      <c r="AH106" s="41" t="s">
        <v>205</v>
      </c>
      <c r="AI106" s="41"/>
      <c r="AJ106" s="41" t="s">
        <v>205</v>
      </c>
      <c r="AK106" s="41"/>
      <c r="AL106" s="41" t="s">
        <v>205</v>
      </c>
      <c r="AM106" s="41"/>
      <c r="AN106" s="41"/>
      <c r="AO106" s="41" t="s">
        <v>276</v>
      </c>
      <c r="AP106" s="41"/>
      <c r="AQ106" s="41" t="s">
        <v>276</v>
      </c>
      <c r="AR106" s="41"/>
      <c r="AS106" s="41" t="s">
        <v>276</v>
      </c>
      <c r="AT106" s="41"/>
      <c r="AU106" s="41" t="s">
        <v>276</v>
      </c>
      <c r="AV106" s="41"/>
      <c r="AW106" s="41"/>
      <c r="AX106" s="41" t="s">
        <v>206</v>
      </c>
      <c r="AY106" s="41"/>
      <c r="AZ106" s="41" t="s">
        <v>205</v>
      </c>
      <c r="BA106" s="41"/>
      <c r="BB106" s="41" t="s">
        <v>276</v>
      </c>
    </row>
    <row r="107" spans="1:54" s="38" customFormat="1" ht="20.100000000000001" customHeight="1">
      <c r="B107" s="42"/>
      <c r="C107" s="42"/>
      <c r="D107" s="42"/>
      <c r="E107" s="39"/>
      <c r="F107" s="40"/>
      <c r="G107" s="40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</row>
    <row r="108" spans="1:54" s="38" customFormat="1" ht="20.100000000000001" customHeight="1">
      <c r="B108" s="42"/>
      <c r="C108" s="42"/>
      <c r="D108" s="42"/>
      <c r="E108" s="39"/>
      <c r="F108" s="40"/>
      <c r="G108" s="40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</row>
    <row r="109" spans="1:54" s="38" customFormat="1" ht="20.100000000000001" customHeight="1">
      <c r="B109" s="42"/>
      <c r="C109" s="42"/>
      <c r="D109" s="42"/>
      <c r="E109" s="39"/>
      <c r="F109" s="40"/>
      <c r="G109" s="40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</row>
    <row r="110" spans="1:54" s="38" customFormat="1" ht="20.100000000000001" customHeight="1">
      <c r="B110" s="42"/>
      <c r="C110" s="42"/>
      <c r="D110" s="42"/>
      <c r="E110" s="39"/>
      <c r="F110" s="40"/>
      <c r="G110" s="40"/>
      <c r="H110" s="41"/>
      <c r="I110" s="41"/>
      <c r="J110" s="41"/>
      <c r="K110" s="41"/>
      <c r="L110" s="41"/>
      <c r="M110" s="41"/>
      <c r="N110" s="41">
        <f>N105+Y105</f>
        <v>8876218</v>
      </c>
      <c r="O110" s="41">
        <f>P105+AA105</f>
        <v>11284487</v>
      </c>
      <c r="P110" s="41"/>
      <c r="Q110" s="41">
        <f>R105+T105+W105+K105</f>
        <v>14178001</v>
      </c>
      <c r="R110" s="41">
        <f>W105+T105+R105+P105+K105</f>
        <v>15342868</v>
      </c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</row>
    <row r="111" spans="1:54" s="38" customFormat="1" ht="20.100000000000001" customHeight="1">
      <c r="B111" s="42"/>
      <c r="C111" s="42"/>
      <c r="D111" s="42"/>
      <c r="E111" s="39"/>
      <c r="F111" s="40"/>
      <c r="G111" s="40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>
        <f>R110+'1. 하수관거 사업비'!J38</f>
        <v>23630868</v>
      </c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</row>
    <row r="112" spans="1:54" s="38" customFormat="1" ht="20.100000000000001" customHeight="1">
      <c r="B112" s="42"/>
      <c r="C112" s="42"/>
      <c r="D112" s="42"/>
      <c r="E112" s="39"/>
      <c r="F112" s="40"/>
      <c r="G112" s="40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</row>
    <row r="113" spans="2:54" s="38" customFormat="1" ht="20.100000000000001" customHeight="1">
      <c r="B113" s="42"/>
      <c r="C113" s="42"/>
      <c r="D113" s="42"/>
      <c r="E113" s="39"/>
      <c r="F113" s="40"/>
      <c r="G113" s="40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267"/>
    </row>
    <row r="114" spans="2:54" s="38" customFormat="1" ht="20.100000000000001" customHeight="1">
      <c r="B114" s="42"/>
      <c r="C114" s="42"/>
      <c r="D114" s="42"/>
      <c r="E114" s="39"/>
      <c r="F114" s="40"/>
      <c r="G114" s="40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</row>
    <row r="115" spans="2:54" s="38" customFormat="1" ht="20.100000000000001" customHeight="1">
      <c r="B115" s="42"/>
      <c r="C115" s="42"/>
      <c r="D115" s="42"/>
      <c r="E115" s="39"/>
      <c r="F115" s="40"/>
      <c r="G115" s="40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</row>
    <row r="116" spans="2:54" s="38" customFormat="1" ht="20.100000000000001" customHeight="1">
      <c r="B116" s="42"/>
      <c r="C116" s="42"/>
      <c r="D116" s="42"/>
      <c r="E116" s="39"/>
      <c r="F116" s="40"/>
      <c r="G116" s="40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</row>
    <row r="117" spans="2:54" s="38" customFormat="1" ht="20.100000000000001" customHeight="1">
      <c r="B117" s="42"/>
      <c r="C117" s="42"/>
      <c r="D117" s="42"/>
      <c r="E117" s="39"/>
      <c r="F117" s="40"/>
      <c r="G117" s="40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</row>
    <row r="118" spans="2:54" s="38" customFormat="1" ht="20.100000000000001" customHeight="1">
      <c r="B118" s="42"/>
      <c r="C118" s="42"/>
      <c r="D118" s="42"/>
      <c r="E118" s="39"/>
      <c r="F118" s="40"/>
      <c r="G118" s="40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</row>
    <row r="119" spans="2:54" s="38" customFormat="1" ht="20.100000000000001" customHeight="1">
      <c r="B119" s="42"/>
      <c r="C119" s="42"/>
      <c r="D119" s="42"/>
      <c r="E119" s="39"/>
      <c r="F119" s="40"/>
      <c r="G119" s="40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</row>
    <row r="120" spans="2:54" s="38" customFormat="1" ht="20.100000000000001" customHeight="1">
      <c r="B120" s="42"/>
      <c r="C120" s="42"/>
      <c r="D120" s="42"/>
      <c r="E120" s="39"/>
      <c r="F120" s="40"/>
      <c r="G120" s="40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</row>
    <row r="121" spans="2:54" s="38" customFormat="1" ht="20.100000000000001" customHeight="1">
      <c r="B121" s="42"/>
      <c r="C121" s="42"/>
      <c r="D121" s="42"/>
      <c r="E121" s="39"/>
      <c r="F121" s="40"/>
      <c r="G121" s="40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</row>
    <row r="122" spans="2:54" s="38" customFormat="1" ht="20.100000000000001" customHeight="1">
      <c r="B122" s="42"/>
      <c r="C122" s="42"/>
      <c r="D122" s="42"/>
      <c r="E122" s="39"/>
      <c r="F122" s="40"/>
      <c r="G122" s="40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</row>
    <row r="123" spans="2:54" s="38" customFormat="1" ht="20.100000000000001" customHeight="1">
      <c r="B123" s="42"/>
      <c r="C123" s="42"/>
      <c r="D123" s="42"/>
      <c r="E123" s="39"/>
      <c r="F123" s="40"/>
      <c r="G123" s="40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</row>
    <row r="124" spans="2:54" s="38" customFormat="1" ht="20.100000000000001" customHeight="1">
      <c r="B124" s="42"/>
      <c r="C124" s="42"/>
      <c r="D124" s="42"/>
      <c r="E124" s="39"/>
      <c r="F124" s="40"/>
      <c r="G124" s="40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</row>
    <row r="125" spans="2:54" s="38" customFormat="1" ht="20.100000000000001" customHeight="1">
      <c r="B125" s="42"/>
      <c r="C125" s="42"/>
      <c r="D125" s="42"/>
      <c r="E125" s="39"/>
      <c r="F125" s="40"/>
      <c r="G125" s="40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</row>
    <row r="126" spans="2:54" s="38" customFormat="1" ht="20.100000000000001" customHeight="1">
      <c r="B126" s="42"/>
      <c r="C126" s="42"/>
      <c r="D126" s="42"/>
      <c r="E126" s="39"/>
      <c r="F126" s="40"/>
      <c r="G126" s="40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</row>
    <row r="127" spans="2:54" s="38" customFormat="1" ht="20.100000000000001" customHeight="1">
      <c r="B127" s="42"/>
      <c r="C127" s="42"/>
      <c r="D127" s="42"/>
      <c r="E127" s="39"/>
      <c r="F127" s="40"/>
      <c r="G127" s="40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</row>
    <row r="128" spans="2:54" s="38" customFormat="1" ht="20.100000000000001" customHeight="1">
      <c r="B128" s="42"/>
      <c r="C128" s="42"/>
      <c r="D128" s="42"/>
      <c r="E128" s="39"/>
      <c r="F128" s="40"/>
      <c r="G128" s="40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</row>
    <row r="129" spans="2:54" s="38" customFormat="1" ht="20.100000000000001" customHeight="1">
      <c r="B129" s="42"/>
      <c r="C129" s="42"/>
      <c r="D129" s="42"/>
      <c r="E129" s="39"/>
      <c r="F129" s="40"/>
      <c r="G129" s="40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</row>
    <row r="130" spans="2:54" s="38" customFormat="1" ht="20.100000000000001" customHeight="1">
      <c r="B130" s="42"/>
      <c r="C130" s="42"/>
      <c r="D130" s="42"/>
      <c r="E130" s="39"/>
      <c r="F130" s="40"/>
      <c r="G130" s="40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</row>
    <row r="131" spans="2:54" s="38" customFormat="1" ht="20.100000000000001" customHeight="1">
      <c r="B131" s="42"/>
      <c r="C131" s="42"/>
      <c r="D131" s="42"/>
      <c r="E131" s="39"/>
      <c r="F131" s="40"/>
      <c r="G131" s="40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</row>
    <row r="132" spans="2:54" s="38" customFormat="1" ht="20.100000000000001" customHeight="1">
      <c r="B132" s="42"/>
      <c r="C132" s="42"/>
      <c r="D132" s="42"/>
      <c r="E132" s="39"/>
      <c r="F132" s="40"/>
      <c r="G132" s="40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</row>
    <row r="133" spans="2:54" s="38" customFormat="1" ht="20.100000000000001" customHeight="1">
      <c r="B133" s="42"/>
      <c r="C133" s="42"/>
      <c r="D133" s="42"/>
      <c r="E133" s="39"/>
      <c r="F133" s="40"/>
      <c r="G133" s="40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</row>
    <row r="134" spans="2:54" s="38" customFormat="1" ht="20.100000000000001" customHeight="1">
      <c r="B134" s="42"/>
      <c r="C134" s="42"/>
      <c r="D134" s="42"/>
      <c r="E134" s="39"/>
      <c r="F134" s="40"/>
      <c r="G134" s="40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</row>
    <row r="135" spans="2:54" s="38" customFormat="1" ht="20.100000000000001" customHeight="1">
      <c r="B135" s="42"/>
      <c r="C135" s="42"/>
      <c r="D135" s="42"/>
      <c r="E135" s="39"/>
      <c r="F135" s="40"/>
      <c r="G135" s="40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</row>
    <row r="136" spans="2:54" s="38" customFormat="1" ht="20.100000000000001" customHeight="1">
      <c r="B136" s="42"/>
      <c r="C136" s="42"/>
      <c r="D136" s="42"/>
      <c r="E136" s="39"/>
      <c r="F136" s="40"/>
      <c r="G136" s="40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</row>
    <row r="137" spans="2:54" s="38" customFormat="1" ht="20.100000000000001" customHeight="1">
      <c r="B137" s="42"/>
      <c r="C137" s="42"/>
      <c r="D137" s="42"/>
      <c r="E137" s="39"/>
      <c r="F137" s="40"/>
      <c r="G137" s="40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</row>
    <row r="138" spans="2:54" s="38" customFormat="1" ht="20.100000000000001" customHeight="1">
      <c r="B138" s="42"/>
      <c r="C138" s="42"/>
      <c r="D138" s="42"/>
      <c r="E138" s="39"/>
      <c r="F138" s="40"/>
      <c r="G138" s="40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</row>
    <row r="139" spans="2:54" s="38" customFormat="1" ht="20.100000000000001" customHeight="1">
      <c r="B139" s="42"/>
      <c r="C139" s="42"/>
      <c r="D139" s="42"/>
      <c r="E139" s="39"/>
      <c r="F139" s="40"/>
      <c r="G139" s="40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</row>
    <row r="140" spans="2:54" s="38" customFormat="1" ht="20.100000000000001" customHeight="1">
      <c r="B140" s="42"/>
      <c r="C140" s="42"/>
      <c r="D140" s="42"/>
      <c r="E140" s="39"/>
      <c r="F140" s="40"/>
      <c r="G140" s="40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</row>
    <row r="141" spans="2:54" s="38" customFormat="1" ht="20.100000000000001" customHeight="1">
      <c r="B141" s="42"/>
      <c r="C141" s="42"/>
      <c r="D141" s="42"/>
      <c r="E141" s="39"/>
      <c r="F141" s="40"/>
      <c r="G141" s="40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</row>
    <row r="142" spans="2:54" s="38" customFormat="1" ht="20.100000000000001" customHeight="1">
      <c r="B142" s="42"/>
      <c r="C142" s="42"/>
      <c r="D142" s="42"/>
      <c r="E142" s="39"/>
      <c r="F142" s="40"/>
      <c r="G142" s="40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</row>
    <row r="143" spans="2:54" s="38" customFormat="1" ht="20.100000000000001" customHeight="1">
      <c r="B143" s="42"/>
      <c r="C143" s="42"/>
      <c r="D143" s="42"/>
      <c r="E143" s="39"/>
      <c r="F143" s="40"/>
      <c r="G143" s="40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</row>
    <row r="144" spans="2:54" s="38" customFormat="1" ht="20.100000000000001" customHeight="1">
      <c r="B144" s="42"/>
      <c r="C144" s="42"/>
      <c r="D144" s="42"/>
      <c r="E144" s="39"/>
      <c r="F144" s="40"/>
      <c r="G144" s="40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</row>
    <row r="145" spans="2:54" s="38" customFormat="1" ht="20.100000000000001" customHeight="1">
      <c r="B145" s="42"/>
      <c r="C145" s="42"/>
      <c r="D145" s="42"/>
      <c r="E145" s="39"/>
      <c r="F145" s="40"/>
      <c r="G145" s="40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</row>
    <row r="146" spans="2:54" s="38" customFormat="1" ht="20.100000000000001" customHeight="1">
      <c r="B146" s="42"/>
      <c r="C146" s="42"/>
      <c r="D146" s="42"/>
      <c r="E146" s="39"/>
      <c r="F146" s="40"/>
      <c r="G146" s="40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</row>
    <row r="147" spans="2:54" s="38" customFormat="1" ht="20.100000000000001" customHeight="1">
      <c r="B147" s="42"/>
      <c r="C147" s="42"/>
      <c r="D147" s="42"/>
      <c r="E147" s="39"/>
      <c r="F147" s="40"/>
      <c r="G147" s="40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</row>
    <row r="148" spans="2:54" s="38" customFormat="1" ht="20.100000000000001" customHeight="1">
      <c r="B148" s="42"/>
      <c r="C148" s="42"/>
      <c r="D148" s="42"/>
      <c r="E148" s="39"/>
      <c r="F148" s="40"/>
      <c r="G148" s="40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</row>
    <row r="149" spans="2:54" s="38" customFormat="1" ht="20.100000000000001" customHeight="1">
      <c r="B149" s="42"/>
      <c r="C149" s="42"/>
      <c r="D149" s="42"/>
      <c r="E149" s="39"/>
      <c r="F149" s="40"/>
      <c r="G149" s="40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</row>
    <row r="150" spans="2:54" s="38" customFormat="1" ht="20.100000000000001" customHeight="1">
      <c r="B150" s="42"/>
      <c r="C150" s="42"/>
      <c r="D150" s="42"/>
      <c r="E150" s="39"/>
      <c r="F150" s="40"/>
      <c r="G150" s="40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</row>
  </sheetData>
  <mergeCells count="75">
    <mergeCell ref="G3:G4"/>
    <mergeCell ref="AI2:AJ2"/>
    <mergeCell ref="AG2:AH2"/>
    <mergeCell ref="AE2:AF2"/>
    <mergeCell ref="U2:Y2"/>
    <mergeCell ref="Z2:AA2"/>
    <mergeCell ref="L2:P2"/>
    <mergeCell ref="L3:L4"/>
    <mergeCell ref="J3:J4"/>
    <mergeCell ref="K3:K4"/>
    <mergeCell ref="J2:K2"/>
    <mergeCell ref="AB2:AC2"/>
    <mergeCell ref="AB3:AC3"/>
    <mergeCell ref="A103:D103"/>
    <mergeCell ref="A104:D104"/>
    <mergeCell ref="A105:D105"/>
    <mergeCell ref="A102:D102"/>
    <mergeCell ref="A101:D101"/>
    <mergeCell ref="A6:D6"/>
    <mergeCell ref="I2:I4"/>
    <mergeCell ref="AD2:AD4"/>
    <mergeCell ref="Q2:R2"/>
    <mergeCell ref="AV3:AV4"/>
    <mergeCell ref="AM2:AM4"/>
    <mergeCell ref="V3:W3"/>
    <mergeCell ref="X3:Y3"/>
    <mergeCell ref="U3:U4"/>
    <mergeCell ref="S2:T2"/>
    <mergeCell ref="AK2:AL2"/>
    <mergeCell ref="AI3:AJ3"/>
    <mergeCell ref="A2:D4"/>
    <mergeCell ref="E2:E4"/>
    <mergeCell ref="F2:G2"/>
    <mergeCell ref="O3:P3"/>
    <mergeCell ref="BA3:BB3"/>
    <mergeCell ref="A5:D5"/>
    <mergeCell ref="AR3:AS3"/>
    <mergeCell ref="AT3:AU3"/>
    <mergeCell ref="AY3:AZ3"/>
    <mergeCell ref="AW3:AX3"/>
    <mergeCell ref="Z3:AA3"/>
    <mergeCell ref="M3:N3"/>
    <mergeCell ref="Q3:R3"/>
    <mergeCell ref="S3:T3"/>
    <mergeCell ref="AP3:AQ3"/>
    <mergeCell ref="AK3:AL3"/>
    <mergeCell ref="AN3:AO3"/>
    <mergeCell ref="AE3:AF3"/>
    <mergeCell ref="AG3:AH3"/>
    <mergeCell ref="F3:F4"/>
    <mergeCell ref="B80:D80"/>
    <mergeCell ref="A90:D90"/>
    <mergeCell ref="B91:D91"/>
    <mergeCell ref="B92:D92"/>
    <mergeCell ref="B7:D7"/>
    <mergeCell ref="C8:D8"/>
    <mergeCell ref="C36:D36"/>
    <mergeCell ref="B41:D41"/>
    <mergeCell ref="A81:D81"/>
    <mergeCell ref="A100:D100"/>
    <mergeCell ref="BA2:BB2"/>
    <mergeCell ref="AT2:AU2"/>
    <mergeCell ref="AR2:AS2"/>
    <mergeCell ref="AP2:AQ2"/>
    <mergeCell ref="AV2:AZ2"/>
    <mergeCell ref="AN2:AO2"/>
    <mergeCell ref="A97:D97"/>
    <mergeCell ref="B98:D98"/>
    <mergeCell ref="B99:D99"/>
    <mergeCell ref="H2:H4"/>
    <mergeCell ref="B79:D79"/>
    <mergeCell ref="A93:D93"/>
    <mergeCell ref="B94:D94"/>
    <mergeCell ref="B95:D95"/>
    <mergeCell ref="A96:D96"/>
  </mergeCells>
  <phoneticPr fontId="4" type="noConversion"/>
  <pageMargins left="0.51181102362204722" right="0.39370078740157483" top="0.51181102362204722" bottom="0.51181102362204722" header="0.51181102362204722" footer="0.51181102362204722"/>
  <pageSetup paperSize="8" scale="66" orientation="landscape" r:id="rId1"/>
  <headerFooter alignWithMargins="0"/>
  <rowBreaks count="1" manualBreakCount="1">
    <brk id="54" max="51" man="1"/>
  </rowBreaks>
  <colBreaks count="1" manualBreakCount="1">
    <brk id="20" max="10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E20"/>
  <sheetViews>
    <sheetView view="pageBreakPreview" zoomScale="115" zoomScaleNormal="100" zoomScaleSheetLayoutView="115" workbookViewId="0">
      <selection activeCell="H8" sqref="H8"/>
    </sheetView>
  </sheetViews>
  <sheetFormatPr defaultRowHeight="24.95" customHeight="1"/>
  <cols>
    <col min="1" max="1" width="16.625" style="52" customWidth="1"/>
    <col min="2" max="2" width="16.5" style="52" customWidth="1"/>
    <col min="3" max="3" width="13.75" style="52" customWidth="1"/>
    <col min="4" max="4" width="14" style="52" customWidth="1"/>
    <col min="5" max="5" width="13.75" style="52" customWidth="1"/>
    <col min="6" max="16384" width="9" style="52"/>
  </cols>
  <sheetData>
    <row r="1" spans="1:5" ht="24.95" customHeight="1">
      <c r="A1" s="433" t="s">
        <v>333</v>
      </c>
      <c r="B1" s="433"/>
      <c r="C1" s="433"/>
      <c r="D1" s="433"/>
      <c r="E1" s="138" t="s">
        <v>272</v>
      </c>
    </row>
    <row r="2" spans="1:5" ht="24.95" customHeight="1">
      <c r="A2" s="61" t="s">
        <v>144</v>
      </c>
      <c r="B2" s="62" t="s">
        <v>160</v>
      </c>
      <c r="C2" s="62" t="s">
        <v>145</v>
      </c>
      <c r="D2" s="62" t="s">
        <v>146</v>
      </c>
      <c r="E2" s="63" t="s">
        <v>147</v>
      </c>
    </row>
    <row r="3" spans="1:5" ht="24.95" customHeight="1">
      <c r="A3" s="59" t="s">
        <v>148</v>
      </c>
      <c r="B3" s="60">
        <v>1.49</v>
      </c>
      <c r="C3" s="60">
        <v>2.99</v>
      </c>
      <c r="D3" s="60">
        <v>1.66</v>
      </c>
      <c r="E3" s="135">
        <v>0.63</v>
      </c>
    </row>
    <row r="4" spans="1:5" ht="24.95" customHeight="1">
      <c r="A4" s="54" t="s">
        <v>149</v>
      </c>
      <c r="B4" s="55">
        <v>1.37</v>
      </c>
      <c r="C4" s="55">
        <v>2.75</v>
      </c>
      <c r="D4" s="55">
        <v>1.53</v>
      </c>
      <c r="E4" s="136">
        <v>0.36</v>
      </c>
    </row>
    <row r="5" spans="1:5" ht="24.95" customHeight="1">
      <c r="A5" s="54" t="s">
        <v>150</v>
      </c>
      <c r="B5" s="55">
        <v>1.32</v>
      </c>
      <c r="C5" s="55">
        <v>2.65</v>
      </c>
      <c r="D5" s="55">
        <v>1.48</v>
      </c>
      <c r="E5" s="136">
        <v>0.36</v>
      </c>
    </row>
    <row r="6" spans="1:5" ht="24.95" customHeight="1">
      <c r="A6" s="54" t="s">
        <v>151</v>
      </c>
      <c r="B6" s="55">
        <v>1.3</v>
      </c>
      <c r="C6" s="55">
        <v>2.6</v>
      </c>
      <c r="D6" s="55">
        <v>1.45</v>
      </c>
      <c r="E6" s="136">
        <v>0.27</v>
      </c>
    </row>
    <row r="7" spans="1:5" ht="24.95" customHeight="1">
      <c r="A7" s="54" t="s">
        <v>152</v>
      </c>
      <c r="B7" s="55">
        <v>1.27</v>
      </c>
      <c r="C7" s="55">
        <v>2.5299999999999998</v>
      </c>
      <c r="D7" s="55">
        <v>6.19</v>
      </c>
      <c r="E7" s="136">
        <v>0.25</v>
      </c>
    </row>
    <row r="8" spans="1:5" ht="24.95" customHeight="1">
      <c r="A8" s="54" t="s">
        <v>153</v>
      </c>
      <c r="B8" s="55">
        <v>1.23</v>
      </c>
      <c r="C8" s="55">
        <v>2.4500000000000002</v>
      </c>
      <c r="D8" s="55">
        <v>5.26</v>
      </c>
      <c r="E8" s="136">
        <v>0.23</v>
      </c>
    </row>
    <row r="9" spans="1:5" ht="24.95" customHeight="1">
      <c r="A9" s="54" t="s">
        <v>154</v>
      </c>
      <c r="B9" s="55">
        <v>1.22</v>
      </c>
      <c r="C9" s="55">
        <v>2.44</v>
      </c>
      <c r="D9" s="55">
        <v>4.75</v>
      </c>
      <c r="E9" s="136">
        <v>0.23</v>
      </c>
    </row>
    <row r="10" spans="1:5" ht="24.95" customHeight="1">
      <c r="A10" s="54" t="s">
        <v>161</v>
      </c>
      <c r="B10" s="56">
        <f>(B9+B11)/2</f>
        <v>1.2050000000000001</v>
      </c>
      <c r="C10" s="56">
        <f>(C9+C11)/2</f>
        <v>2.4</v>
      </c>
      <c r="D10" s="55">
        <v>4.43</v>
      </c>
      <c r="E10" s="136">
        <f>E9</f>
        <v>0.23</v>
      </c>
    </row>
    <row r="11" spans="1:5" ht="24.95" customHeight="1">
      <c r="A11" s="54" t="s">
        <v>155</v>
      </c>
      <c r="B11" s="55">
        <v>1.19</v>
      </c>
      <c r="C11" s="55">
        <v>2.36</v>
      </c>
      <c r="D11" s="55">
        <v>4.18</v>
      </c>
      <c r="E11" s="136">
        <v>0.23</v>
      </c>
    </row>
    <row r="12" spans="1:5" ht="24.95" customHeight="1">
      <c r="A12" s="54" t="s">
        <v>162</v>
      </c>
      <c r="B12" s="56">
        <f>$B$11+($B$16-$B$11)*1/5</f>
        <v>1.1879999999999999</v>
      </c>
      <c r="C12" s="56">
        <f>$C$11+($C$16-$C$11)*1/5</f>
        <v>2.3580000000000001</v>
      </c>
      <c r="D12" s="56">
        <f>(D11+D13)/2</f>
        <v>4.0149999999999997</v>
      </c>
      <c r="E12" s="136">
        <f>E11</f>
        <v>0.23</v>
      </c>
    </row>
    <row r="13" spans="1:5" ht="24.95" customHeight="1">
      <c r="A13" s="54" t="s">
        <v>163</v>
      </c>
      <c r="B13" s="56">
        <f>$B$11+($B$16-$B$11)*2/5</f>
        <v>1.1859999999999999</v>
      </c>
      <c r="C13" s="56">
        <f>$C$11+($C$16-$C$11)*2/5</f>
        <v>2.3559999999999999</v>
      </c>
      <c r="D13" s="55">
        <v>3.85</v>
      </c>
      <c r="E13" s="136">
        <f>E12</f>
        <v>0.23</v>
      </c>
    </row>
    <row r="14" spans="1:5" ht="24.95" customHeight="1">
      <c r="A14" s="54" t="s">
        <v>164</v>
      </c>
      <c r="B14" s="56">
        <f>$B$11+($B$16-$B$11)*3/5</f>
        <v>1.1839999999999999</v>
      </c>
      <c r="C14" s="56">
        <f>$C$11+($C$16-$C$11)*3/5</f>
        <v>2.3540000000000001</v>
      </c>
      <c r="D14" s="55">
        <f>D13+(D16-D13)*1/3</f>
        <v>3.74</v>
      </c>
      <c r="E14" s="136">
        <f>E13</f>
        <v>0.23</v>
      </c>
    </row>
    <row r="15" spans="1:5" ht="24.95" customHeight="1">
      <c r="A15" s="54" t="s">
        <v>165</v>
      </c>
      <c r="B15" s="56">
        <f>$B$11+($B$16-$B$11)*4/5</f>
        <v>1.1819999999999999</v>
      </c>
      <c r="C15" s="56">
        <f>$C$11+($C$16-$C$11)*4/5</f>
        <v>2.3519999999999999</v>
      </c>
      <c r="D15" s="56">
        <f>D14+(D16-D14)*2/3</f>
        <v>3.5933333333333333</v>
      </c>
      <c r="E15" s="136">
        <f>E14</f>
        <v>0.23</v>
      </c>
    </row>
    <row r="16" spans="1:5" ht="24.95" customHeight="1">
      <c r="A16" s="54" t="s">
        <v>156</v>
      </c>
      <c r="B16" s="55">
        <v>1.18</v>
      </c>
      <c r="C16" s="55">
        <v>2.35</v>
      </c>
      <c r="D16" s="55">
        <v>3.52</v>
      </c>
      <c r="E16" s="136">
        <v>0.23</v>
      </c>
    </row>
    <row r="17" spans="1:5" ht="24.95" customHeight="1">
      <c r="A17" s="54" t="s">
        <v>166</v>
      </c>
      <c r="B17" s="55">
        <f>(B16+B18)/2</f>
        <v>1.17</v>
      </c>
      <c r="C17" s="56">
        <f>(C16+C18)/2</f>
        <v>2.335</v>
      </c>
      <c r="D17" s="55">
        <v>3.19</v>
      </c>
      <c r="E17" s="136">
        <v>0.22</v>
      </c>
    </row>
    <row r="18" spans="1:5" ht="24.95" customHeight="1">
      <c r="A18" s="54" t="s">
        <v>157</v>
      </c>
      <c r="B18" s="55">
        <v>1.1599999999999999</v>
      </c>
      <c r="C18" s="55">
        <v>2.3199999999999998</v>
      </c>
      <c r="D18" s="55">
        <v>2.98</v>
      </c>
      <c r="E18" s="136">
        <v>0.21</v>
      </c>
    </row>
    <row r="19" spans="1:5" ht="24.95" customHeight="1">
      <c r="A19" s="54" t="s">
        <v>158</v>
      </c>
      <c r="B19" s="55">
        <v>1.1499999999999999</v>
      </c>
      <c r="C19" s="55">
        <v>2.29</v>
      </c>
      <c r="D19" s="55" t="s">
        <v>142</v>
      </c>
      <c r="E19" s="136">
        <v>0.19</v>
      </c>
    </row>
    <row r="20" spans="1:5" ht="24.95" customHeight="1">
      <c r="A20" s="57" t="s">
        <v>159</v>
      </c>
      <c r="B20" s="58">
        <v>1.1299999999999999</v>
      </c>
      <c r="C20" s="58">
        <v>2.27</v>
      </c>
      <c r="D20" s="58" t="s">
        <v>142</v>
      </c>
      <c r="E20" s="137">
        <v>0.17</v>
      </c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T55"/>
  <sheetViews>
    <sheetView view="pageBreakPreview" zoomScale="85" zoomScaleNormal="100" zoomScaleSheetLayoutView="85" workbookViewId="0">
      <selection activeCell="K3" sqref="K3"/>
    </sheetView>
  </sheetViews>
  <sheetFormatPr defaultRowHeight="20.100000000000001" customHeight="1"/>
  <cols>
    <col min="1" max="1" width="8.625" style="106" customWidth="1"/>
    <col min="2" max="2" width="10.25" style="106" customWidth="1"/>
    <col min="3" max="3" width="11.625" style="106" bestFit="1" customWidth="1"/>
    <col min="4" max="4" width="12.375" style="106" customWidth="1"/>
    <col min="5" max="5" width="11.5" style="106" customWidth="1"/>
    <col min="6" max="6" width="11.625" style="106" customWidth="1"/>
    <col min="7" max="7" width="10.625" style="106" bestFit="1" customWidth="1"/>
    <col min="8" max="8" width="9.25" style="106" bestFit="1" customWidth="1"/>
    <col min="9" max="9" width="10.875" style="106" customWidth="1"/>
    <col min="10" max="10" width="11.625" style="106" bestFit="1" customWidth="1"/>
    <col min="11" max="11" width="12.625" style="106" bestFit="1" customWidth="1"/>
    <col min="12" max="12" width="11.5" style="106" customWidth="1"/>
    <col min="13" max="13" width="12.25" style="106" customWidth="1"/>
    <col min="14" max="14" width="11.5" style="106" customWidth="1"/>
    <col min="15" max="15" width="11" style="106" customWidth="1"/>
    <col min="16" max="16" width="8.625" style="106" customWidth="1"/>
    <col min="17" max="17" width="11.25" style="106" customWidth="1"/>
    <col min="18" max="18" width="10.375" style="106" bestFit="1" customWidth="1"/>
    <col min="19" max="19" width="10.625" style="106" bestFit="1" customWidth="1"/>
    <col min="20" max="20" width="12.625" style="106" bestFit="1" customWidth="1"/>
    <col min="21" max="16384" width="9" style="106"/>
  </cols>
  <sheetData>
    <row r="1" spans="1:20" ht="20.100000000000001" customHeight="1">
      <c r="A1" s="433" t="s">
        <v>334</v>
      </c>
      <c r="B1" s="433"/>
      <c r="C1" s="433"/>
      <c r="D1" s="433"/>
      <c r="E1" s="433"/>
      <c r="F1" s="139"/>
      <c r="G1" s="139"/>
      <c r="I1" s="139"/>
      <c r="J1" s="139"/>
      <c r="K1" s="139"/>
      <c r="L1" s="139"/>
      <c r="S1" s="120" t="s">
        <v>261</v>
      </c>
    </row>
    <row r="2" spans="1:20" ht="19.5" customHeight="1">
      <c r="A2" s="477" t="s">
        <v>0</v>
      </c>
      <c r="B2" s="479" t="s">
        <v>1</v>
      </c>
      <c r="C2" s="475" t="s">
        <v>322</v>
      </c>
      <c r="D2" s="472" t="s">
        <v>318</v>
      </c>
      <c r="E2" s="473"/>
      <c r="F2" s="473"/>
      <c r="G2" s="473"/>
      <c r="H2" s="473"/>
      <c r="I2" s="473"/>
      <c r="J2" s="473"/>
      <c r="K2" s="474"/>
      <c r="L2" s="482" t="s">
        <v>319</v>
      </c>
      <c r="M2" s="473"/>
      <c r="N2" s="473"/>
      <c r="O2" s="473"/>
      <c r="P2" s="473"/>
      <c r="Q2" s="473"/>
      <c r="R2" s="473"/>
      <c r="S2" s="474"/>
    </row>
    <row r="3" spans="1:20" ht="26.25" customHeight="1">
      <c r="A3" s="478"/>
      <c r="B3" s="480"/>
      <c r="C3" s="476"/>
      <c r="D3" s="316" t="s">
        <v>245</v>
      </c>
      <c r="E3" s="65" t="s">
        <v>39</v>
      </c>
      <c r="F3" s="65" t="s">
        <v>42</v>
      </c>
      <c r="G3" s="65" t="s">
        <v>43</v>
      </c>
      <c r="H3" s="65" t="s">
        <v>44</v>
      </c>
      <c r="I3" s="65" t="s">
        <v>248</v>
      </c>
      <c r="J3" s="65" t="s">
        <v>41</v>
      </c>
      <c r="K3" s="88" t="s">
        <v>240</v>
      </c>
      <c r="L3" s="309" t="s">
        <v>245</v>
      </c>
      <c r="M3" s="65" t="s">
        <v>39</v>
      </c>
      <c r="N3" s="65" t="s">
        <v>42</v>
      </c>
      <c r="O3" s="65" t="s">
        <v>43</v>
      </c>
      <c r="P3" s="65" t="s">
        <v>44</v>
      </c>
      <c r="Q3" s="65" t="s">
        <v>248</v>
      </c>
      <c r="R3" s="65" t="s">
        <v>41</v>
      </c>
      <c r="S3" s="88" t="s">
        <v>240</v>
      </c>
    </row>
    <row r="4" spans="1:20" ht="21.95" customHeight="1">
      <c r="A4" s="483" t="s">
        <v>3</v>
      </c>
      <c r="B4" s="484"/>
      <c r="C4" s="312">
        <f t="shared" ref="C4:S4" si="0">SUM(C5:C24)</f>
        <v>23275000</v>
      </c>
      <c r="D4" s="317">
        <f t="shared" si="0"/>
        <v>47557650</v>
      </c>
      <c r="E4" s="307">
        <f t="shared" si="0"/>
        <v>22697349</v>
      </c>
      <c r="F4" s="307">
        <f t="shared" si="0"/>
        <v>16335326</v>
      </c>
      <c r="G4" s="307">
        <f t="shared" si="0"/>
        <v>3975900</v>
      </c>
      <c r="H4" s="307">
        <f t="shared" si="0"/>
        <v>96000</v>
      </c>
      <c r="I4" s="307">
        <f t="shared" si="0"/>
        <v>3080797</v>
      </c>
      <c r="J4" s="307">
        <f t="shared" si="0"/>
        <v>189700</v>
      </c>
      <c r="K4" s="308">
        <f t="shared" si="0"/>
        <v>1182578</v>
      </c>
      <c r="L4" s="310">
        <f t="shared" si="0"/>
        <v>26057894</v>
      </c>
      <c r="M4" s="307">
        <f t="shared" si="0"/>
        <v>8569145</v>
      </c>
      <c r="N4" s="307">
        <f t="shared" si="0"/>
        <v>10687571</v>
      </c>
      <c r="O4" s="307">
        <f t="shared" si="0"/>
        <v>3906300</v>
      </c>
      <c r="P4" s="307">
        <f t="shared" si="0"/>
        <v>64000</v>
      </c>
      <c r="Q4" s="307">
        <f t="shared" si="0"/>
        <v>2025944</v>
      </c>
      <c r="R4" s="307">
        <f t="shared" si="0"/>
        <v>148300</v>
      </c>
      <c r="S4" s="308">
        <f t="shared" si="0"/>
        <v>656634</v>
      </c>
      <c r="T4" s="139">
        <f>L4+D4</f>
        <v>73615544</v>
      </c>
    </row>
    <row r="5" spans="1:20" ht="21.95" customHeight="1">
      <c r="A5" s="481" t="s">
        <v>4</v>
      </c>
      <c r="B5" s="85" t="s">
        <v>5</v>
      </c>
      <c r="C5" s="314"/>
      <c r="D5" s="383"/>
      <c r="E5" s="110"/>
      <c r="F5" s="110"/>
      <c r="G5" s="110"/>
      <c r="H5" s="110"/>
      <c r="I5" s="110"/>
      <c r="J5" s="110"/>
      <c r="K5" s="111"/>
      <c r="L5" s="311">
        <f>SUM(M5:S5)</f>
        <v>1500998</v>
      </c>
      <c r="M5" s="107">
        <f>'6. 소규모하수도 사업비 산출근거'!G5</f>
        <v>0</v>
      </c>
      <c r="N5" s="107">
        <f>'6. 소규모하수도 사업비 산출근거'!I5</f>
        <v>986665</v>
      </c>
      <c r="O5" s="107">
        <f>'6. 소규모하수도 사업비 산출근거'!J5</f>
        <v>316100</v>
      </c>
      <c r="P5" s="107">
        <f>'6. 소규모하수도 사업비 산출근거'!K5</f>
        <v>32000</v>
      </c>
      <c r="Q5" s="107">
        <f>'6. 소규모하수도 사업비 산출근거'!N5+'6. 소규모하수도 사업비 산출근거'!O5+'6. 소규모하수도 사업비 산출근거'!P5+'6. 소규모하수도 사업비 산출근거'!Q5</f>
        <v>85095</v>
      </c>
      <c r="R5" s="107">
        <f>'6. 소규모하수도 사업비 산출근거'!H5</f>
        <v>0</v>
      </c>
      <c r="S5" s="108">
        <f>'6. 소규모하수도 사업비 산출근거'!L5+'6. 소규모하수도 사업비 산출근거'!M5</f>
        <v>81138</v>
      </c>
    </row>
    <row r="6" spans="1:20" ht="21.95" customHeight="1">
      <c r="A6" s="481"/>
      <c r="B6" s="85" t="s">
        <v>8</v>
      </c>
      <c r="C6" s="394">
        <v>2080000</v>
      </c>
      <c r="D6" s="382">
        <f t="shared" ref="D6:D24" si="1">SUM(E6:K6)</f>
        <v>5238253</v>
      </c>
      <c r="E6" s="107">
        <f>'6. 소규모하수도 사업비 산출근거'!G6</f>
        <v>2279441</v>
      </c>
      <c r="F6" s="107">
        <f>'6. 소규모하수도 사업비 산출근거'!I6</f>
        <v>1875268</v>
      </c>
      <c r="G6" s="107">
        <f>'6. 소규모하수도 사업비 산출근거'!J6</f>
        <v>362500</v>
      </c>
      <c r="H6" s="107">
        <f>'6. 소규모하수도 사업비 산출근거'!K6</f>
        <v>32000</v>
      </c>
      <c r="I6" s="107">
        <f>'6. 소규모하수도 사업비 산출근거'!N6+'6. 소규모하수도 사업비 산출근거'!O6+'6. 소규모하수도 사업비 산출근거'!P6+'6. 소규모하수도 사업비 산출근거'!Q6</f>
        <v>486572</v>
      </c>
      <c r="J6" s="107">
        <f>'6. 소규모하수도 사업비 산출근거'!H6</f>
        <v>39700</v>
      </c>
      <c r="K6" s="108">
        <f>'6. 소규모하수도 사업비 산출근거'!L6+'6. 소규모하수도 사업비 산출근거'!M6</f>
        <v>162772</v>
      </c>
      <c r="L6" s="311"/>
      <c r="M6" s="110"/>
      <c r="N6" s="110"/>
      <c r="O6" s="110"/>
      <c r="P6" s="110"/>
      <c r="Q6" s="110"/>
      <c r="R6" s="110"/>
      <c r="S6" s="111"/>
    </row>
    <row r="7" spans="1:20" ht="21.95" customHeight="1">
      <c r="A7" s="481" t="s">
        <v>344</v>
      </c>
      <c r="B7" s="85" t="s">
        <v>9</v>
      </c>
      <c r="C7" s="313">
        <v>3259000</v>
      </c>
      <c r="D7" s="383"/>
      <c r="E7" s="107">
        <f>'6. 소규모하수도 사업비 산출근거'!G7</f>
        <v>0</v>
      </c>
      <c r="F7" s="107">
        <f>'6. 소규모하수도 사업비 산출근거'!I7</f>
        <v>0</v>
      </c>
      <c r="G7" s="107">
        <f>'6. 소규모하수도 사업비 산출근거'!J7</f>
        <v>0</v>
      </c>
      <c r="H7" s="107">
        <f>'6. 소규모하수도 사업비 산출근거'!K7</f>
        <v>0</v>
      </c>
      <c r="I7" s="107">
        <f>'6. 소규모하수도 사업비 산출근거'!N7+'6. 소규모하수도 사업비 산출근거'!O7+'6. 소규모하수도 사업비 산출근거'!P7+'6. 소규모하수도 사업비 산출근거'!Q7</f>
        <v>0</v>
      </c>
      <c r="J7" s="107">
        <f>'6. 소규모하수도 사업비 산출근거'!H7</f>
        <v>0</v>
      </c>
      <c r="K7" s="108">
        <f>'6. 소규모하수도 사업비 산출근거'!L7+'6. 소규모하수도 사업비 산출근거'!M7</f>
        <v>0</v>
      </c>
      <c r="L7" s="311">
        <f>SUM(M7:S7)</f>
        <v>0</v>
      </c>
      <c r="M7" s="107">
        <f>'6. 소규모하수도 사업비 산출근거'!G7</f>
        <v>0</v>
      </c>
      <c r="N7" s="107">
        <f>'6. 소규모하수도 사업비 산출근거'!I7</f>
        <v>0</v>
      </c>
      <c r="O7" s="107">
        <f>'6. 소규모하수도 사업비 산출근거'!J7</f>
        <v>0</v>
      </c>
      <c r="P7" s="107">
        <f>'6. 소규모하수도 사업비 산출근거'!K7</f>
        <v>0</v>
      </c>
      <c r="Q7" s="107">
        <f>'6. 소규모하수도 사업비 산출근거'!N7+'6. 소규모하수도 사업비 산출근거'!O7+'6. 소규모하수도 사업비 산출근거'!P7+'6. 소규모하수도 사업비 산출근거'!Q7</f>
        <v>0</v>
      </c>
      <c r="R7" s="107">
        <f>'6. 소규모하수도 사업비 산출근거'!H7</f>
        <v>0</v>
      </c>
      <c r="S7" s="108">
        <f>'6. 소규모하수도 사업비 산출근거'!L7+'6. 소규모하수도 사업비 산출근거'!M7</f>
        <v>0</v>
      </c>
    </row>
    <row r="8" spans="1:20" ht="21.95" customHeight="1">
      <c r="A8" s="481"/>
      <c r="B8" s="85" t="s">
        <v>10</v>
      </c>
      <c r="C8" s="314"/>
      <c r="D8" s="382">
        <f t="shared" ref="D8" si="2">SUM(E8:K8)</f>
        <v>6422713</v>
      </c>
      <c r="E8" s="107">
        <f>'6. 소규모하수도 사업비 산출근거'!G8</f>
        <v>1687912</v>
      </c>
      <c r="F8" s="107">
        <f>'6. 소규모하수도 사업비 산출근거'!I8</f>
        <v>3372680</v>
      </c>
      <c r="G8" s="107">
        <f>'6. 소규모하수도 사업비 산출근거'!J8</f>
        <v>513300</v>
      </c>
      <c r="H8" s="107">
        <f>'6. 소규모하수도 사업비 산출근거'!K8</f>
        <v>0</v>
      </c>
      <c r="I8" s="107">
        <f>'6. 소규모하수도 사업비 산출근거'!N8+'6. 소규모하수도 사업비 산출근거'!O8+'6. 소규모하수도 사업비 산출근거'!P8+'6. 소규모하수도 사업비 산출근거'!Q8</f>
        <v>596595</v>
      </c>
      <c r="J8" s="107">
        <f>'6. 소규모하수도 사업비 산출근거'!H8</f>
        <v>32800</v>
      </c>
      <c r="K8" s="108">
        <f>'6. 소규모하수도 사업비 산출근거'!L8+'6. 소규모하수도 사업비 산출근거'!M8</f>
        <v>219426</v>
      </c>
      <c r="L8" s="311"/>
      <c r="M8" s="107"/>
      <c r="N8" s="107"/>
      <c r="O8" s="107"/>
      <c r="P8" s="107"/>
      <c r="Q8" s="107"/>
      <c r="R8" s="107"/>
      <c r="S8" s="108"/>
    </row>
    <row r="9" spans="1:20" ht="21.95" customHeight="1">
      <c r="A9" s="481"/>
      <c r="B9" s="85" t="s">
        <v>11</v>
      </c>
      <c r="C9" s="314"/>
      <c r="D9" s="382">
        <f t="shared" si="1"/>
        <v>6592227</v>
      </c>
      <c r="E9" s="107">
        <f>'6. 소규모하수도 사업비 산출근거'!G9</f>
        <v>1872992</v>
      </c>
      <c r="F9" s="107">
        <f>'6. 소규모하수도 사업비 산출근거'!I9</f>
        <v>3267936</v>
      </c>
      <c r="G9" s="107">
        <f>'6. 소규모하수도 사업비 산출근거'!J9</f>
        <v>585800</v>
      </c>
      <c r="H9" s="107">
        <f>'6. 소규모하수도 사업비 산출근거'!K9</f>
        <v>0</v>
      </c>
      <c r="I9" s="107">
        <f>'6. 소규모하수도 사업비 산출근거'!N9+'6. 소규모하수도 사업비 산출근거'!O9+'6. 소규모하수도 사업비 산출근거'!P9+'6. 소규모하수도 사업비 산출근거'!Q9</f>
        <v>612341</v>
      </c>
      <c r="J9" s="107">
        <f>'6. 소규모하수도 사업비 산출근거'!H9</f>
        <v>35000</v>
      </c>
      <c r="K9" s="108">
        <f>'6. 소규모하수도 사업비 산출근거'!L9+'6. 소규모하수도 사업비 산출근거'!M9</f>
        <v>218158</v>
      </c>
      <c r="L9" s="311"/>
      <c r="M9" s="110"/>
      <c r="N9" s="110"/>
      <c r="O9" s="110"/>
      <c r="P9" s="110"/>
      <c r="Q9" s="110"/>
      <c r="R9" s="110"/>
      <c r="S9" s="111"/>
    </row>
    <row r="10" spans="1:20" ht="21.95" customHeight="1">
      <c r="A10" s="481" t="s">
        <v>345</v>
      </c>
      <c r="B10" s="85" t="s">
        <v>12</v>
      </c>
      <c r="C10" s="313">
        <v>3193000</v>
      </c>
      <c r="D10" s="382">
        <f t="shared" si="1"/>
        <v>0</v>
      </c>
      <c r="E10" s="107">
        <f>'6. 소규모하수도 사업비 산출근거'!G10</f>
        <v>0</v>
      </c>
      <c r="F10" s="107">
        <f>'6. 소규모하수도 사업비 산출근거'!I10</f>
        <v>0</v>
      </c>
      <c r="G10" s="107">
        <f>'6. 소규모하수도 사업비 산출근거'!J10</f>
        <v>0</v>
      </c>
      <c r="H10" s="107">
        <f>'6. 소규모하수도 사업비 산출근거'!K10</f>
        <v>0</v>
      </c>
      <c r="I10" s="107">
        <f>'6. 소규모하수도 사업비 산출근거'!N10+'6. 소규모하수도 사업비 산출근거'!O10+'6. 소규모하수도 사업비 산출근거'!P10+'6. 소규모하수도 사업비 산출근거'!Q10</f>
        <v>0</v>
      </c>
      <c r="J10" s="107">
        <f>'6. 소규모하수도 사업비 산출근거'!H10</f>
        <v>0</v>
      </c>
      <c r="K10" s="108">
        <f>'6. 소규모하수도 사업비 산출근거'!L10+'6. 소규모하수도 사업비 산출근거'!M10</f>
        <v>0</v>
      </c>
      <c r="L10" s="311"/>
      <c r="M10" s="110"/>
      <c r="N10" s="110"/>
      <c r="O10" s="110"/>
      <c r="P10" s="110"/>
      <c r="Q10" s="110"/>
      <c r="R10" s="110"/>
      <c r="S10" s="111"/>
    </row>
    <row r="11" spans="1:20" ht="21.95" customHeight="1">
      <c r="A11" s="481"/>
      <c r="B11" s="85" t="s">
        <v>13</v>
      </c>
      <c r="C11" s="314"/>
      <c r="D11" s="382">
        <f t="shared" si="1"/>
        <v>5117031</v>
      </c>
      <c r="E11" s="107">
        <f>'6. 소규모하수도 사업비 산출근거'!G11</f>
        <v>1959899</v>
      </c>
      <c r="F11" s="107">
        <f>'6. 소규모하수도 사업비 산출근거'!I11</f>
        <v>2218272</v>
      </c>
      <c r="G11" s="107">
        <f>'6. 소규모하수도 사업비 산출근거'!J11</f>
        <v>478500</v>
      </c>
      <c r="H11" s="107">
        <f>'6. 소규모하수도 사업비 산출근거'!K11</f>
        <v>0</v>
      </c>
      <c r="I11" s="107">
        <f>'6. 소규모하수도 사업비 산출근거'!N11+'6. 소규모하수도 사업비 산출근거'!O11+'6. 소규모하수도 사업비 산출근거'!P11+'6. 소규모하수도 사업비 산출근거'!Q11</f>
        <v>272276</v>
      </c>
      <c r="J11" s="107">
        <f>'6. 소규모하수도 사업비 산출근거'!H11</f>
        <v>36100</v>
      </c>
      <c r="K11" s="108">
        <f>'6. 소규모하수도 사업비 산출근거'!L11+'6. 소규모하수도 사업비 산출근거'!M11</f>
        <v>151984</v>
      </c>
      <c r="L11" s="311"/>
      <c r="M11" s="110"/>
      <c r="N11" s="110"/>
      <c r="O11" s="110"/>
      <c r="P11" s="110"/>
      <c r="Q11" s="110"/>
      <c r="R11" s="110"/>
      <c r="S11" s="111"/>
    </row>
    <row r="12" spans="1:20" ht="21.95" customHeight="1">
      <c r="A12" s="481"/>
      <c r="B12" s="85" t="s">
        <v>14</v>
      </c>
      <c r="C12" s="313"/>
      <c r="D12" s="382">
        <f t="shared" si="1"/>
        <v>3434000</v>
      </c>
      <c r="E12" s="107">
        <v>3434000</v>
      </c>
      <c r="F12" s="107">
        <f>'6. 소규모하수도 사업비 산출근거'!I12</f>
        <v>0</v>
      </c>
      <c r="G12" s="107">
        <f>'6. 소규모하수도 사업비 산출근거'!J12</f>
        <v>0</v>
      </c>
      <c r="H12" s="107">
        <f>'6. 소규모하수도 사업비 산출근거'!K12</f>
        <v>0</v>
      </c>
      <c r="I12" s="107">
        <f>'6. 소규모하수도 사업비 산출근거'!N12+'6. 소규모하수도 사업비 산출근거'!O12+'6. 소규모하수도 사업비 산출근거'!P12+'6. 소규모하수도 사업비 산출근거'!Q12</f>
        <v>0</v>
      </c>
      <c r="J12" s="107">
        <f>'6. 소규모하수도 사업비 산출근거'!H12</f>
        <v>0</v>
      </c>
      <c r="K12" s="108">
        <f>'6. 소규모하수도 사업비 산출근거'!L12+'6. 소규모하수도 사업비 산출근거'!M12</f>
        <v>0</v>
      </c>
      <c r="L12" s="311"/>
      <c r="M12" s="110"/>
      <c r="N12" s="110"/>
      <c r="O12" s="110"/>
      <c r="P12" s="110"/>
      <c r="Q12" s="110"/>
      <c r="R12" s="110"/>
      <c r="S12" s="111"/>
    </row>
    <row r="13" spans="1:20" ht="21.95" customHeight="1">
      <c r="A13" s="481"/>
      <c r="B13" s="85" t="s">
        <v>15</v>
      </c>
      <c r="C13" s="313"/>
      <c r="D13" s="382">
        <f t="shared" si="1"/>
        <v>2099000</v>
      </c>
      <c r="E13" s="107">
        <v>2099000</v>
      </c>
      <c r="F13" s="107">
        <f>'6. 소규모하수도 사업비 산출근거'!I13</f>
        <v>0</v>
      </c>
      <c r="G13" s="107">
        <f>'6. 소규모하수도 사업비 산출근거'!J13</f>
        <v>0</v>
      </c>
      <c r="H13" s="107">
        <f>'6. 소규모하수도 사업비 산출근거'!K13</f>
        <v>0</v>
      </c>
      <c r="I13" s="107">
        <f>'6. 소규모하수도 사업비 산출근거'!N13+'6. 소규모하수도 사업비 산출근거'!O13+'6. 소규모하수도 사업비 산출근거'!P13+'6. 소규모하수도 사업비 산출근거'!Q13</f>
        <v>0</v>
      </c>
      <c r="J13" s="107">
        <f>'6. 소규모하수도 사업비 산출근거'!H13</f>
        <v>0</v>
      </c>
      <c r="K13" s="108">
        <f>'6. 소규모하수도 사업비 산출근거'!L13+'6. 소규모하수도 사업비 산출근거'!M13</f>
        <v>0</v>
      </c>
      <c r="L13" s="311"/>
      <c r="M13" s="110"/>
      <c r="N13" s="110"/>
      <c r="O13" s="110"/>
      <c r="P13" s="110"/>
      <c r="Q13" s="110"/>
      <c r="R13" s="110"/>
      <c r="S13" s="111"/>
    </row>
    <row r="14" spans="1:20" ht="21.95" customHeight="1">
      <c r="A14" s="481"/>
      <c r="B14" s="85" t="s">
        <v>17</v>
      </c>
      <c r="C14" s="313">
        <v>2920000</v>
      </c>
      <c r="D14" s="382">
        <f t="shared" ref="D14:D15" si="3">SUM(E14:K14)</f>
        <v>4417825</v>
      </c>
      <c r="E14" s="107">
        <f>'6. 소규모하수도 사업비 산출근거'!G14</f>
        <v>1687912</v>
      </c>
      <c r="F14" s="107">
        <f>'6. 소규모하수도 사업비 산출근거'!I14</f>
        <v>1692550</v>
      </c>
      <c r="G14" s="107">
        <f>'6. 소규모하수도 사업비 산출근거'!J14</f>
        <v>638000</v>
      </c>
      <c r="H14" s="107">
        <f>'6. 소규모하수도 사업비 산출근거'!K14</f>
        <v>32000</v>
      </c>
      <c r="I14" s="107">
        <f>'6. 소규모하수도 사업비 산출근거'!N14+'6. 소규모하수도 사업비 산출근거'!O14+'6. 소규모하수도 사업비 산출근거'!P14+'6. 소규모하수도 사업비 산출근거'!Q14</f>
        <v>235071</v>
      </c>
      <c r="J14" s="107">
        <f>'6. 소규모하수도 사업비 산출근거'!H14</f>
        <v>0</v>
      </c>
      <c r="K14" s="108">
        <f>'6. 소규모하수도 사업비 산출근거'!L14+'6. 소규모하수도 사업비 산출근거'!M14</f>
        <v>132292</v>
      </c>
      <c r="L14" s="311"/>
      <c r="M14" s="110"/>
      <c r="N14" s="110"/>
      <c r="O14" s="110"/>
      <c r="P14" s="110"/>
      <c r="Q14" s="110"/>
      <c r="R14" s="110"/>
      <c r="S14" s="111"/>
    </row>
    <row r="15" spans="1:20" ht="21.95" customHeight="1">
      <c r="A15" s="481"/>
      <c r="B15" s="85" t="s">
        <v>18</v>
      </c>
      <c r="C15" s="314"/>
      <c r="D15" s="382">
        <f t="shared" si="3"/>
        <v>0</v>
      </c>
      <c r="E15" s="107">
        <f>'6. 소규모하수도 사업비 산출근거'!G15</f>
        <v>0</v>
      </c>
      <c r="F15" s="107">
        <f>'6. 소규모하수도 사업비 산출근거'!I15</f>
        <v>0</v>
      </c>
      <c r="G15" s="107">
        <f>'6. 소규모하수도 사업비 산출근거'!J15</f>
        <v>0</v>
      </c>
      <c r="H15" s="107">
        <f>'6. 소규모하수도 사업비 산출근거'!K15</f>
        <v>0</v>
      </c>
      <c r="I15" s="107">
        <f>'6. 소규모하수도 사업비 산출근거'!N15+'6. 소규모하수도 사업비 산출근거'!O15+'6. 소규모하수도 사업비 산출근거'!P15+'6. 소규모하수도 사업비 산출근거'!Q15</f>
        <v>0</v>
      </c>
      <c r="J15" s="107">
        <f>'6. 소규모하수도 사업비 산출근거'!H15</f>
        <v>0</v>
      </c>
      <c r="K15" s="108">
        <f>'6. 소규모하수도 사업비 산출근거'!L15+'6. 소규모하수도 사업비 산출근거'!M15</f>
        <v>0</v>
      </c>
      <c r="L15" s="311"/>
      <c r="M15" s="110"/>
      <c r="N15" s="110"/>
      <c r="O15" s="110"/>
      <c r="P15" s="110"/>
      <c r="Q15" s="110"/>
      <c r="R15" s="110"/>
      <c r="S15" s="111"/>
    </row>
    <row r="16" spans="1:20" ht="21.95" customHeight="1">
      <c r="A16" s="481"/>
      <c r="B16" s="85" t="s">
        <v>19</v>
      </c>
      <c r="C16" s="314"/>
      <c r="D16" s="383"/>
      <c r="E16" s="110"/>
      <c r="F16" s="110"/>
      <c r="G16" s="110"/>
      <c r="H16" s="110"/>
      <c r="I16" s="110"/>
      <c r="J16" s="110"/>
      <c r="K16" s="111"/>
      <c r="L16" s="311">
        <f>SUM(M16:S16)</f>
        <v>2296281</v>
      </c>
      <c r="M16" s="107">
        <f>'6. 소규모하수도 사업비 산출근거'!G16</f>
        <v>1371006</v>
      </c>
      <c r="N16" s="107">
        <f>'6. 소규모하수도 사업비 산출근거'!I16</f>
        <v>481152</v>
      </c>
      <c r="O16" s="107">
        <f>'6. 소규모하수도 사업비 산출근거'!J16</f>
        <v>249400</v>
      </c>
      <c r="P16" s="107">
        <f>'6. 소규모하수도 사업비 산출근거'!K16</f>
        <v>0</v>
      </c>
      <c r="Q16" s="107">
        <f>'6. 소규모하수도 사업비 산출근거'!N16+'6. 소규모하수도 사업비 산출근거'!O16+'6. 소규모하수도 사업비 산출근거'!P16+'6. 소규모하수도 사업비 산출근거'!Q16</f>
        <v>126089</v>
      </c>
      <c r="R16" s="107">
        <f>'6. 소규모하수도 사업비 산출근거'!H16</f>
        <v>28600</v>
      </c>
      <c r="S16" s="108">
        <f>'6. 소규모하수도 사업비 산출근거'!L16+'6. 소규모하수도 사업비 산출근거'!M16</f>
        <v>40034</v>
      </c>
    </row>
    <row r="17" spans="1:19" ht="21.95" customHeight="1">
      <c r="A17" s="481"/>
      <c r="B17" s="85" t="s">
        <v>20</v>
      </c>
      <c r="C17" s="314"/>
      <c r="D17" s="383"/>
      <c r="E17" s="110"/>
      <c r="F17" s="110"/>
      <c r="G17" s="110"/>
      <c r="H17" s="110"/>
      <c r="I17" s="110"/>
      <c r="J17" s="110"/>
      <c r="K17" s="111"/>
      <c r="L17" s="311">
        <f>SUM(M17:S17)</f>
        <v>2378080</v>
      </c>
      <c r="M17" s="107">
        <f>'6. 소규모하수도 사업비 산출근거'!G17</f>
        <v>1483276</v>
      </c>
      <c r="N17" s="107">
        <f>'6. 소규모하수도 사업비 산출근거'!I17</f>
        <v>455280</v>
      </c>
      <c r="O17" s="107">
        <f>'6. 소규모하수도 사업비 산출근거'!J17</f>
        <v>240700</v>
      </c>
      <c r="P17" s="107">
        <f>'6. 소규모하수도 사업비 산출근거'!K17</f>
        <v>0</v>
      </c>
      <c r="Q17" s="107">
        <f>'6. 소규모하수도 사업비 산출근거'!N17+'6. 소규모하수도 사업비 산출근거'!O17+'6. 소규모하수도 사업비 산출근거'!P17+'6. 소규모하수도 사업비 산출근거'!Q17</f>
        <v>130580</v>
      </c>
      <c r="R17" s="107">
        <f>'6. 소규모하수도 사업비 산출근거'!H17</f>
        <v>30100</v>
      </c>
      <c r="S17" s="108">
        <f>'6. 소규모하수도 사업비 산출근거'!L17+'6. 소규모하수도 사업비 산출근거'!M17</f>
        <v>38144</v>
      </c>
    </row>
    <row r="18" spans="1:19" ht="21.95" customHeight="1">
      <c r="A18" s="365" t="s">
        <v>21</v>
      </c>
      <c r="B18" s="85" t="s">
        <v>348</v>
      </c>
      <c r="C18" s="314"/>
      <c r="D18" s="395"/>
      <c r="E18" s="110"/>
      <c r="F18" s="110"/>
      <c r="G18" s="110"/>
      <c r="H18" s="110"/>
      <c r="I18" s="110"/>
      <c r="J18" s="110"/>
      <c r="K18" s="111"/>
      <c r="L18" s="382">
        <f>SUM(M18:S18)</f>
        <v>15782748</v>
      </c>
      <c r="M18" s="107">
        <f>'6. 소규모하수도 사업비 산출근거'!G18</f>
        <v>3932350</v>
      </c>
      <c r="N18" s="107">
        <f>'6. 소규모하수도 사업비 산출근거'!I18</f>
        <v>7318330</v>
      </c>
      <c r="O18" s="107">
        <f>'6. 소규모하수도 사업비 산출근거'!J18</f>
        <v>2589700</v>
      </c>
      <c r="P18" s="107">
        <f>'6. 소규모하수도 사업비 산출근거'!K18</f>
        <v>32000</v>
      </c>
      <c r="Q18" s="107">
        <f>'6. 소규모하수도 사업비 산출근거'!N18+'6. 소규모하수도 사업비 산출근거'!O18+'6. 소규모하수도 사업비 산출근거'!P18+'6. 소규모하수도 사업비 산출근거'!Q18</f>
        <v>1466032</v>
      </c>
      <c r="R18" s="107">
        <f>'6. 소규모하수도 사업비 산출근거'!H18</f>
        <v>55700</v>
      </c>
      <c r="S18" s="108">
        <f>'6. 소규모하수도 사업비 산출근거'!L18+'6. 소규모하수도 사업비 산출근거'!M18</f>
        <v>388636</v>
      </c>
    </row>
    <row r="19" spans="1:19" ht="21.95" customHeight="1">
      <c r="A19" s="392" t="s">
        <v>356</v>
      </c>
      <c r="B19" s="85" t="s">
        <v>359</v>
      </c>
      <c r="C19" s="394">
        <v>1618000</v>
      </c>
      <c r="D19" s="382"/>
      <c r="E19" s="107"/>
      <c r="F19" s="107"/>
      <c r="G19" s="107"/>
      <c r="H19" s="107"/>
      <c r="I19" s="107"/>
      <c r="J19" s="107"/>
      <c r="K19" s="108"/>
      <c r="L19" s="311"/>
      <c r="M19" s="107"/>
      <c r="N19" s="107"/>
      <c r="O19" s="107"/>
      <c r="P19" s="107"/>
      <c r="Q19" s="107"/>
      <c r="R19" s="107"/>
      <c r="S19" s="108"/>
    </row>
    <row r="20" spans="1:19" ht="21.95" customHeight="1">
      <c r="A20" s="365" t="s">
        <v>24</v>
      </c>
      <c r="B20" s="85" t="s">
        <v>25</v>
      </c>
      <c r="C20" s="313">
        <v>2934000</v>
      </c>
      <c r="D20" s="382">
        <f t="shared" si="1"/>
        <v>0</v>
      </c>
      <c r="E20" s="107">
        <f>'6. 소규모하수도 사업비 산출근거'!G20</f>
        <v>0</v>
      </c>
      <c r="F20" s="107">
        <f>'6. 소규모하수도 사업비 산출근거'!I20</f>
        <v>0</v>
      </c>
      <c r="G20" s="107">
        <f>'6. 소규모하수도 사업비 산출근거'!J20</f>
        <v>0</v>
      </c>
      <c r="H20" s="107">
        <f>'6. 소규모하수도 사업비 산출근거'!K20</f>
        <v>0</v>
      </c>
      <c r="I20" s="107">
        <f>'6. 소규모하수도 사업비 산출근거'!N20+'6. 소규모하수도 사업비 산출근거'!O20+'6. 소규모하수도 사업비 산출근거'!P20+'6. 소규모하수도 사업비 산출근거'!Q20</f>
        <v>0</v>
      </c>
      <c r="J20" s="107">
        <f>'6. 소규모하수도 사업비 산출근거'!H20</f>
        <v>0</v>
      </c>
      <c r="K20" s="108">
        <f>'6. 소규모하수도 사업비 산출근거'!L20+'6. 소규모하수도 사업비 산출근거'!M20</f>
        <v>0</v>
      </c>
      <c r="L20" s="311"/>
      <c r="M20" s="110"/>
      <c r="N20" s="110"/>
      <c r="O20" s="110"/>
      <c r="P20" s="110"/>
      <c r="Q20" s="110"/>
      <c r="R20" s="110"/>
      <c r="S20" s="111"/>
    </row>
    <row r="21" spans="1:19" ht="21.95" customHeight="1">
      <c r="A21" s="365" t="s">
        <v>29</v>
      </c>
      <c r="B21" s="85" t="s">
        <v>30</v>
      </c>
      <c r="C21" s="313"/>
      <c r="D21" s="382">
        <f t="shared" si="1"/>
        <v>4785000</v>
      </c>
      <c r="E21" s="107">
        <v>4785000</v>
      </c>
      <c r="F21" s="107">
        <f>'6. 소규모하수도 사업비 산출근거'!I21</f>
        <v>0</v>
      </c>
      <c r="G21" s="107">
        <f>'6. 소규모하수도 사업비 산출근거'!J21</f>
        <v>0</v>
      </c>
      <c r="H21" s="107">
        <f>'6. 소규모하수도 사업비 산출근거'!K21</f>
        <v>0</v>
      </c>
      <c r="I21" s="107">
        <f>'6. 소규모하수도 사업비 산출근거'!N21+'6. 소규모하수도 사업비 산출근거'!O21+'6. 소규모하수도 사업비 산출근거'!P21+'6. 소규모하수도 사업비 산출근거'!Q21</f>
        <v>0</v>
      </c>
      <c r="J21" s="107">
        <f>'6. 소규모하수도 사업비 산출근거'!H21</f>
        <v>0</v>
      </c>
      <c r="K21" s="108">
        <f>'6. 소규모하수도 사업비 산출근거'!L21+'6. 소규모하수도 사업비 산출근거'!M21</f>
        <v>0</v>
      </c>
      <c r="L21" s="311"/>
      <c r="M21" s="110"/>
      <c r="N21" s="110"/>
      <c r="O21" s="110"/>
      <c r="P21" s="110"/>
      <c r="Q21" s="110"/>
      <c r="R21" s="110"/>
      <c r="S21" s="111"/>
    </row>
    <row r="22" spans="1:19" ht="21.95" customHeight="1">
      <c r="A22" s="481" t="s">
        <v>33</v>
      </c>
      <c r="B22" s="85" t="s">
        <v>34</v>
      </c>
      <c r="C22" s="394">
        <v>3671000</v>
      </c>
      <c r="D22" s="382">
        <f t="shared" si="1"/>
        <v>9451601</v>
      </c>
      <c r="E22" s="107">
        <f>'6. 소규모하수도 사업비 산출근거'!G22</f>
        <v>2891193</v>
      </c>
      <c r="F22" s="107">
        <f>'6. 소규모하수도 사업비 산출근거'!I22</f>
        <v>3908620</v>
      </c>
      <c r="G22" s="107">
        <f>'6. 소규모하수도 사업비 산출근거'!J22</f>
        <v>1397800</v>
      </c>
      <c r="H22" s="107">
        <f>'6. 소규모하수도 사업비 산출근거'!K22</f>
        <v>32000</v>
      </c>
      <c r="I22" s="107">
        <f>'6. 소규모하수도 사업비 산출근거'!N22+'6. 소규모하수도 사업비 산출근거'!O22+'6. 소규모하수도 사업비 산출근거'!P22+'6. 소규모하수도 사업비 산출근거'!Q22</f>
        <v>877942</v>
      </c>
      <c r="J22" s="107">
        <f>'6. 소규모하수도 사업비 산출근거'!H22</f>
        <v>46100</v>
      </c>
      <c r="K22" s="108">
        <f>'6. 소규모하수도 사업비 산출근거'!L22+'6. 소규모하수도 사업비 산출근거'!M22</f>
        <v>297946</v>
      </c>
      <c r="L22" s="311"/>
      <c r="M22" s="110"/>
      <c r="N22" s="110"/>
      <c r="O22" s="110"/>
      <c r="P22" s="110"/>
      <c r="Q22" s="110"/>
      <c r="R22" s="110"/>
      <c r="S22" s="111"/>
    </row>
    <row r="23" spans="1:19" ht="21.95" customHeight="1">
      <c r="A23" s="481"/>
      <c r="B23" s="85" t="s">
        <v>36</v>
      </c>
      <c r="C23" s="314"/>
      <c r="D23" s="383"/>
      <c r="E23" s="110"/>
      <c r="F23" s="110"/>
      <c r="G23" s="110"/>
      <c r="H23" s="110"/>
      <c r="I23" s="110"/>
      <c r="J23" s="110"/>
      <c r="K23" s="111"/>
      <c r="L23" s="311">
        <f t="shared" ref="L23" si="4">SUM(M23:S23)</f>
        <v>4099787</v>
      </c>
      <c r="M23" s="107">
        <f>'6. 소규모하수도 사업비 산출근거'!G23</f>
        <v>1782513</v>
      </c>
      <c r="N23" s="107">
        <f>'6. 소규모하수도 사업비 산출근거'!I23</f>
        <v>1446144</v>
      </c>
      <c r="O23" s="107">
        <f>'6. 소규모하수도 사업비 산출근거'!J23</f>
        <v>510400</v>
      </c>
      <c r="P23" s="107">
        <f>'6. 소규모하수도 사업비 산출근거'!K23</f>
        <v>0</v>
      </c>
      <c r="Q23" s="107">
        <f>'6. 소규모하수도 사업비 산출근거'!N23+'6. 소규모하수도 사업비 산출근거'!O23+'6. 소규모하수도 사업비 산출근거'!P23+'6. 소규모하수도 사업비 산출근거'!Q23</f>
        <v>218148</v>
      </c>
      <c r="R23" s="107">
        <f>'6. 소규모하수도 사업비 산출근거'!H23</f>
        <v>33900</v>
      </c>
      <c r="S23" s="108">
        <f>'6. 소규모하수도 사업비 산출근거'!L23+'6. 소규모하수도 사업비 산출근거'!M23</f>
        <v>108682</v>
      </c>
    </row>
    <row r="24" spans="1:19" ht="21.95" customHeight="1">
      <c r="A24" s="366" t="s">
        <v>37</v>
      </c>
      <c r="B24" s="369" t="s">
        <v>38</v>
      </c>
      <c r="C24" s="315">
        <v>3600000</v>
      </c>
      <c r="D24" s="384">
        <f t="shared" si="1"/>
        <v>0</v>
      </c>
      <c r="E24" s="109">
        <f>'6. 소규모하수도 사업비 산출근거'!G24</f>
        <v>0</v>
      </c>
      <c r="F24" s="109">
        <f>'6. 소규모하수도 사업비 산출근거'!I24</f>
        <v>0</v>
      </c>
      <c r="G24" s="109">
        <f>'6. 소규모하수도 사업비 산출근거'!J24</f>
        <v>0</v>
      </c>
      <c r="H24" s="109">
        <f>'6. 소규모하수도 사업비 산출근거'!K24</f>
        <v>0</v>
      </c>
      <c r="I24" s="109">
        <f>'6. 소규모하수도 사업비 산출근거'!N24+'6. 소규모하수도 사업비 산출근거'!O24+'6. 소규모하수도 사업비 산출근거'!P24+'6. 소규모하수도 사업비 산출근거'!Q24</f>
        <v>0</v>
      </c>
      <c r="J24" s="109">
        <f>'6. 소규모하수도 사업비 산출근거'!H24</f>
        <v>0</v>
      </c>
      <c r="K24" s="349">
        <f>'6. 소규모하수도 사업비 산출근거'!L24+'6. 소규모하수도 사업비 산출근거'!M24</f>
        <v>0</v>
      </c>
      <c r="L24" s="385"/>
      <c r="M24" s="112"/>
      <c r="N24" s="112"/>
      <c r="O24" s="112"/>
      <c r="P24" s="112"/>
      <c r="Q24" s="112"/>
      <c r="R24" s="112"/>
      <c r="S24" s="113"/>
    </row>
    <row r="25" spans="1:19" ht="20.100000000000001" customHeight="1">
      <c r="C25" s="139">
        <f>F22+G22+H22</f>
        <v>5338420</v>
      </c>
      <c r="F25" s="139">
        <f>N18+O18+P18</f>
        <v>9940030</v>
      </c>
    </row>
    <row r="26" spans="1:19" ht="20.100000000000001" customHeight="1">
      <c r="D26" s="328"/>
      <c r="E26" s="328"/>
      <c r="F26" s="328"/>
      <c r="G26" s="328"/>
      <c r="H26" s="328"/>
      <c r="I26" s="328"/>
      <c r="J26" s="328"/>
      <c r="K26" s="328"/>
    </row>
    <row r="27" spans="1:19" ht="20.100000000000001" customHeight="1">
      <c r="C27" s="328">
        <f t="shared" ref="C27:C40" si="5">C5/1000</f>
        <v>0</v>
      </c>
      <c r="D27" s="328">
        <f>L5/1000</f>
        <v>1500.998</v>
      </c>
      <c r="E27" s="328">
        <f t="shared" ref="E27:K27" si="6">M5/1000</f>
        <v>0</v>
      </c>
      <c r="F27" s="328">
        <f t="shared" si="6"/>
        <v>986.66499999999996</v>
      </c>
      <c r="G27" s="328">
        <f t="shared" si="6"/>
        <v>316.10000000000002</v>
      </c>
      <c r="H27" s="328">
        <f t="shared" si="6"/>
        <v>32</v>
      </c>
      <c r="I27" s="328">
        <f t="shared" si="6"/>
        <v>85.094999999999999</v>
      </c>
      <c r="J27" s="328">
        <f t="shared" si="6"/>
        <v>0</v>
      </c>
      <c r="K27" s="328">
        <f t="shared" si="6"/>
        <v>81.138000000000005</v>
      </c>
    </row>
    <row r="28" spans="1:19" ht="20.100000000000001" customHeight="1">
      <c r="C28" s="328">
        <f t="shared" si="5"/>
        <v>2080</v>
      </c>
      <c r="D28" s="328">
        <f t="shared" ref="D28:K28" si="7">D6/1000</f>
        <v>5238.2529999999997</v>
      </c>
      <c r="E28" s="328">
        <f t="shared" si="7"/>
        <v>2279.4409999999998</v>
      </c>
      <c r="F28" s="328">
        <f t="shared" si="7"/>
        <v>1875.268</v>
      </c>
      <c r="G28" s="328">
        <f t="shared" si="7"/>
        <v>362.5</v>
      </c>
      <c r="H28" s="328">
        <f t="shared" si="7"/>
        <v>32</v>
      </c>
      <c r="I28" s="328">
        <f t="shared" si="7"/>
        <v>486.572</v>
      </c>
      <c r="J28" s="328">
        <f t="shared" si="7"/>
        <v>39.700000000000003</v>
      </c>
      <c r="K28" s="328">
        <f t="shared" si="7"/>
        <v>162.77199999999999</v>
      </c>
    </row>
    <row r="29" spans="1:19" ht="20.100000000000001" customHeight="1">
      <c r="C29" s="328">
        <f t="shared" si="5"/>
        <v>3259</v>
      </c>
      <c r="D29" s="328">
        <f t="shared" ref="D29:K29" si="8">D7/1000</f>
        <v>0</v>
      </c>
      <c r="E29" s="328">
        <f t="shared" si="8"/>
        <v>0</v>
      </c>
      <c r="F29" s="328">
        <f t="shared" si="8"/>
        <v>0</v>
      </c>
      <c r="G29" s="328">
        <f t="shared" si="8"/>
        <v>0</v>
      </c>
      <c r="H29" s="328">
        <f t="shared" si="8"/>
        <v>0</v>
      </c>
      <c r="I29" s="328">
        <f t="shared" si="8"/>
        <v>0</v>
      </c>
      <c r="J29" s="328">
        <f t="shared" si="8"/>
        <v>0</v>
      </c>
      <c r="K29" s="328">
        <f t="shared" si="8"/>
        <v>0</v>
      </c>
    </row>
    <row r="30" spans="1:19" ht="20.100000000000001" customHeight="1">
      <c r="C30" s="328">
        <f t="shared" si="5"/>
        <v>0</v>
      </c>
      <c r="D30" s="328">
        <f t="shared" ref="D30:K30" si="9">D8/1000</f>
        <v>6422.7129999999997</v>
      </c>
      <c r="E30" s="328">
        <f t="shared" si="9"/>
        <v>1687.912</v>
      </c>
      <c r="F30" s="328">
        <f t="shared" si="9"/>
        <v>3372.68</v>
      </c>
      <c r="G30" s="328">
        <f t="shared" si="9"/>
        <v>513.29999999999995</v>
      </c>
      <c r="H30" s="328">
        <f t="shared" si="9"/>
        <v>0</v>
      </c>
      <c r="I30" s="328">
        <f t="shared" si="9"/>
        <v>596.59500000000003</v>
      </c>
      <c r="J30" s="328">
        <f t="shared" si="9"/>
        <v>32.799999999999997</v>
      </c>
      <c r="K30" s="328">
        <f t="shared" si="9"/>
        <v>219.42599999999999</v>
      </c>
    </row>
    <row r="31" spans="1:19" ht="20.100000000000001" customHeight="1">
      <c r="C31" s="328">
        <f t="shared" si="5"/>
        <v>0</v>
      </c>
      <c r="D31" s="328">
        <f t="shared" ref="D31:K31" si="10">D9/1000</f>
        <v>6592.2269999999999</v>
      </c>
      <c r="E31" s="328">
        <f t="shared" si="10"/>
        <v>1872.992</v>
      </c>
      <c r="F31" s="328">
        <f t="shared" si="10"/>
        <v>3267.9360000000001</v>
      </c>
      <c r="G31" s="328">
        <f t="shared" si="10"/>
        <v>585.79999999999995</v>
      </c>
      <c r="H31" s="328">
        <f t="shared" si="10"/>
        <v>0</v>
      </c>
      <c r="I31" s="328">
        <f t="shared" si="10"/>
        <v>612.34100000000001</v>
      </c>
      <c r="J31" s="328">
        <f t="shared" si="10"/>
        <v>35</v>
      </c>
      <c r="K31" s="328">
        <f t="shared" si="10"/>
        <v>218.15799999999999</v>
      </c>
    </row>
    <row r="32" spans="1:19" ht="20.100000000000001" customHeight="1">
      <c r="C32" s="328">
        <f t="shared" si="5"/>
        <v>3193</v>
      </c>
      <c r="D32" s="328">
        <f t="shared" ref="D32:K32" si="11">D10/1000</f>
        <v>0</v>
      </c>
      <c r="E32" s="328">
        <f t="shared" si="11"/>
        <v>0</v>
      </c>
      <c r="F32" s="328">
        <f t="shared" si="11"/>
        <v>0</v>
      </c>
      <c r="G32" s="328">
        <f t="shared" si="11"/>
        <v>0</v>
      </c>
      <c r="H32" s="328">
        <f t="shared" si="11"/>
        <v>0</v>
      </c>
      <c r="I32" s="328">
        <f t="shared" si="11"/>
        <v>0</v>
      </c>
      <c r="J32" s="328">
        <f t="shared" si="11"/>
        <v>0</v>
      </c>
      <c r="K32" s="328">
        <f t="shared" si="11"/>
        <v>0</v>
      </c>
    </row>
    <row r="33" spans="3:11" ht="20.100000000000001" customHeight="1">
      <c r="C33" s="328">
        <f t="shared" si="5"/>
        <v>0</v>
      </c>
      <c r="D33" s="328">
        <f t="shared" ref="D33:K33" si="12">D11/1000</f>
        <v>5117.0309999999999</v>
      </c>
      <c r="E33" s="328">
        <f t="shared" si="12"/>
        <v>1959.8989999999999</v>
      </c>
      <c r="F33" s="328">
        <f t="shared" si="12"/>
        <v>2218.2719999999999</v>
      </c>
      <c r="G33" s="328">
        <f t="shared" si="12"/>
        <v>478.5</v>
      </c>
      <c r="H33" s="328">
        <f t="shared" si="12"/>
        <v>0</v>
      </c>
      <c r="I33" s="328">
        <f t="shared" si="12"/>
        <v>272.27600000000001</v>
      </c>
      <c r="J33" s="328">
        <f t="shared" si="12"/>
        <v>36.1</v>
      </c>
      <c r="K33" s="328">
        <f t="shared" si="12"/>
        <v>151.98400000000001</v>
      </c>
    </row>
    <row r="34" spans="3:11" ht="20.100000000000001" customHeight="1">
      <c r="C34" s="328">
        <f t="shared" si="5"/>
        <v>0</v>
      </c>
      <c r="D34" s="328">
        <f t="shared" ref="D34:K34" si="13">D12/1000</f>
        <v>3434</v>
      </c>
      <c r="E34" s="328">
        <f t="shared" si="13"/>
        <v>3434</v>
      </c>
      <c r="F34" s="328">
        <f t="shared" si="13"/>
        <v>0</v>
      </c>
      <c r="G34" s="328">
        <f t="shared" si="13"/>
        <v>0</v>
      </c>
      <c r="H34" s="328">
        <f t="shared" si="13"/>
        <v>0</v>
      </c>
      <c r="I34" s="328">
        <f t="shared" si="13"/>
        <v>0</v>
      </c>
      <c r="J34" s="328">
        <f t="shared" si="13"/>
        <v>0</v>
      </c>
      <c r="K34" s="328">
        <f t="shared" si="13"/>
        <v>0</v>
      </c>
    </row>
    <row r="35" spans="3:11" ht="20.100000000000001" customHeight="1">
      <c r="C35" s="328">
        <f t="shared" si="5"/>
        <v>0</v>
      </c>
      <c r="D35" s="328">
        <f t="shared" ref="D35:K35" si="14">D13/1000</f>
        <v>2099</v>
      </c>
      <c r="E35" s="328">
        <f t="shared" si="14"/>
        <v>2099</v>
      </c>
      <c r="F35" s="328">
        <f t="shared" si="14"/>
        <v>0</v>
      </c>
      <c r="G35" s="328">
        <f t="shared" si="14"/>
        <v>0</v>
      </c>
      <c r="H35" s="328">
        <f t="shared" si="14"/>
        <v>0</v>
      </c>
      <c r="I35" s="328">
        <f t="shared" si="14"/>
        <v>0</v>
      </c>
      <c r="J35" s="328">
        <f t="shared" si="14"/>
        <v>0</v>
      </c>
      <c r="K35" s="328">
        <f t="shared" si="14"/>
        <v>0</v>
      </c>
    </row>
    <row r="36" spans="3:11" ht="20.100000000000001" customHeight="1">
      <c r="C36" s="328">
        <f t="shared" si="5"/>
        <v>2920</v>
      </c>
      <c r="D36" s="328">
        <f t="shared" ref="D36:K36" si="15">D14/1000</f>
        <v>4417.8249999999998</v>
      </c>
      <c r="E36" s="328">
        <f t="shared" si="15"/>
        <v>1687.912</v>
      </c>
      <c r="F36" s="328">
        <f t="shared" si="15"/>
        <v>1692.55</v>
      </c>
      <c r="G36" s="328">
        <f t="shared" si="15"/>
        <v>638</v>
      </c>
      <c r="H36" s="328">
        <f t="shared" si="15"/>
        <v>32</v>
      </c>
      <c r="I36" s="328">
        <f t="shared" si="15"/>
        <v>235.071</v>
      </c>
      <c r="J36" s="328">
        <f t="shared" si="15"/>
        <v>0</v>
      </c>
      <c r="K36" s="328">
        <f t="shared" si="15"/>
        <v>132.292</v>
      </c>
    </row>
    <row r="37" spans="3:11" ht="20.100000000000001" customHeight="1">
      <c r="C37" s="328">
        <f t="shared" si="5"/>
        <v>0</v>
      </c>
      <c r="D37" s="328">
        <f t="shared" ref="D37:K37" si="16">D15/1000</f>
        <v>0</v>
      </c>
      <c r="E37" s="328">
        <f t="shared" si="16"/>
        <v>0</v>
      </c>
      <c r="F37" s="328">
        <f t="shared" si="16"/>
        <v>0</v>
      </c>
      <c r="G37" s="328">
        <f t="shared" si="16"/>
        <v>0</v>
      </c>
      <c r="H37" s="328">
        <f t="shared" si="16"/>
        <v>0</v>
      </c>
      <c r="I37" s="328">
        <f t="shared" si="16"/>
        <v>0</v>
      </c>
      <c r="J37" s="328">
        <f t="shared" si="16"/>
        <v>0</v>
      </c>
      <c r="K37" s="328">
        <f t="shared" si="16"/>
        <v>0</v>
      </c>
    </row>
    <row r="38" spans="3:11" ht="20.100000000000001" customHeight="1">
      <c r="C38" s="328">
        <f t="shared" si="5"/>
        <v>0</v>
      </c>
      <c r="D38" s="328">
        <f>L16/1000</f>
        <v>2296.2809999999999</v>
      </c>
      <c r="E38" s="328">
        <f t="shared" ref="E38:K38" si="17">M16/1000</f>
        <v>1371.0060000000001</v>
      </c>
      <c r="F38" s="328">
        <f t="shared" si="17"/>
        <v>481.15199999999999</v>
      </c>
      <c r="G38" s="328">
        <f t="shared" si="17"/>
        <v>249.4</v>
      </c>
      <c r="H38" s="328">
        <f t="shared" si="17"/>
        <v>0</v>
      </c>
      <c r="I38" s="328">
        <f t="shared" si="17"/>
        <v>126.089</v>
      </c>
      <c r="J38" s="328">
        <f t="shared" si="17"/>
        <v>28.6</v>
      </c>
      <c r="K38" s="328">
        <f t="shared" si="17"/>
        <v>40.033999999999999</v>
      </c>
    </row>
    <row r="39" spans="3:11" ht="20.100000000000001" customHeight="1">
      <c r="C39" s="328">
        <f t="shared" si="5"/>
        <v>0</v>
      </c>
      <c r="D39" s="328">
        <f>L17/1000</f>
        <v>2378.08</v>
      </c>
      <c r="E39" s="328">
        <f t="shared" ref="E39" si="18">M17/1000</f>
        <v>1483.2760000000001</v>
      </c>
      <c r="F39" s="328">
        <f t="shared" ref="F39" si="19">N17/1000</f>
        <v>455.28</v>
      </c>
      <c r="G39" s="328">
        <f t="shared" ref="G39" si="20">O17/1000</f>
        <v>240.7</v>
      </c>
      <c r="H39" s="328">
        <f t="shared" ref="H39" si="21">P17/1000</f>
        <v>0</v>
      </c>
      <c r="I39" s="328">
        <f t="shared" ref="I39" si="22">Q17/1000</f>
        <v>130.58000000000001</v>
      </c>
      <c r="J39" s="328">
        <f t="shared" ref="J39" si="23">R17/1000</f>
        <v>30.1</v>
      </c>
      <c r="K39" s="328">
        <f t="shared" ref="K39" si="24">S17/1000</f>
        <v>38.143999999999998</v>
      </c>
    </row>
    <row r="40" spans="3:11" ht="20.100000000000001" customHeight="1">
      <c r="C40" s="328">
        <f t="shared" si="5"/>
        <v>0</v>
      </c>
      <c r="D40" s="328">
        <f>L18/1000</f>
        <v>15782.748</v>
      </c>
      <c r="E40" s="328">
        <f t="shared" ref="E40:K40" si="25">M18/1000</f>
        <v>3932.35</v>
      </c>
      <c r="F40" s="328">
        <f t="shared" si="25"/>
        <v>7318.33</v>
      </c>
      <c r="G40" s="328">
        <f t="shared" si="25"/>
        <v>2589.6999999999998</v>
      </c>
      <c r="H40" s="328">
        <f t="shared" si="25"/>
        <v>32</v>
      </c>
      <c r="I40" s="328">
        <f t="shared" si="25"/>
        <v>1466.0319999999999</v>
      </c>
      <c r="J40" s="328">
        <f t="shared" si="25"/>
        <v>55.7</v>
      </c>
      <c r="K40" s="328">
        <f t="shared" si="25"/>
        <v>388.63600000000002</v>
      </c>
    </row>
    <row r="41" spans="3:11" ht="20.100000000000001" customHeight="1">
      <c r="C41" s="328">
        <f t="shared" ref="C41:C45" si="26">C20/1000</f>
        <v>2934</v>
      </c>
      <c r="D41" s="328">
        <f t="shared" ref="D41:K41" si="27">D20/1000</f>
        <v>0</v>
      </c>
      <c r="E41" s="328">
        <f t="shared" si="27"/>
        <v>0</v>
      </c>
      <c r="F41" s="328">
        <f t="shared" si="27"/>
        <v>0</v>
      </c>
      <c r="G41" s="328">
        <f t="shared" si="27"/>
        <v>0</v>
      </c>
      <c r="H41" s="328">
        <f t="shared" si="27"/>
        <v>0</v>
      </c>
      <c r="I41" s="328">
        <f t="shared" si="27"/>
        <v>0</v>
      </c>
      <c r="J41" s="328">
        <f t="shared" si="27"/>
        <v>0</v>
      </c>
      <c r="K41" s="328">
        <f t="shared" si="27"/>
        <v>0</v>
      </c>
    </row>
    <row r="42" spans="3:11" ht="20.100000000000001" customHeight="1">
      <c r="C42" s="328">
        <f t="shared" si="26"/>
        <v>0</v>
      </c>
      <c r="D42" s="328">
        <f t="shared" ref="D42:K42" si="28">D21/1000</f>
        <v>4785</v>
      </c>
      <c r="E42" s="328">
        <f t="shared" si="28"/>
        <v>4785</v>
      </c>
      <c r="F42" s="328">
        <f t="shared" si="28"/>
        <v>0</v>
      </c>
      <c r="G42" s="328">
        <f t="shared" si="28"/>
        <v>0</v>
      </c>
      <c r="H42" s="328">
        <f t="shared" si="28"/>
        <v>0</v>
      </c>
      <c r="I42" s="328">
        <f t="shared" si="28"/>
        <v>0</v>
      </c>
      <c r="J42" s="328">
        <f t="shared" si="28"/>
        <v>0</v>
      </c>
      <c r="K42" s="328">
        <f t="shared" si="28"/>
        <v>0</v>
      </c>
    </row>
    <row r="43" spans="3:11" ht="20.100000000000001" customHeight="1">
      <c r="C43" s="328">
        <f t="shared" si="26"/>
        <v>3671</v>
      </c>
      <c r="D43" s="328">
        <f t="shared" ref="D43:K43" si="29">D22/1000</f>
        <v>9451.6010000000006</v>
      </c>
      <c r="E43" s="328">
        <f t="shared" si="29"/>
        <v>2891.1930000000002</v>
      </c>
      <c r="F43" s="328">
        <f t="shared" si="29"/>
        <v>3908.62</v>
      </c>
      <c r="G43" s="328">
        <f t="shared" si="29"/>
        <v>1397.8</v>
      </c>
      <c r="H43" s="328">
        <f t="shared" si="29"/>
        <v>32</v>
      </c>
      <c r="I43" s="328">
        <f t="shared" si="29"/>
        <v>877.94200000000001</v>
      </c>
      <c r="J43" s="328">
        <f t="shared" si="29"/>
        <v>46.1</v>
      </c>
      <c r="K43" s="328">
        <f t="shared" si="29"/>
        <v>297.94600000000003</v>
      </c>
    </row>
    <row r="44" spans="3:11" ht="20.100000000000001" customHeight="1">
      <c r="C44" s="328">
        <f t="shared" si="26"/>
        <v>0</v>
      </c>
      <c r="D44" s="328">
        <f>L23/1000</f>
        <v>4099.7870000000003</v>
      </c>
      <c r="E44" s="328">
        <f t="shared" ref="E44:K44" si="30">M23/1000</f>
        <v>1782.5129999999999</v>
      </c>
      <c r="F44" s="328">
        <f t="shared" si="30"/>
        <v>1446.144</v>
      </c>
      <c r="G44" s="328">
        <f t="shared" si="30"/>
        <v>510.4</v>
      </c>
      <c r="H44" s="328">
        <f t="shared" si="30"/>
        <v>0</v>
      </c>
      <c r="I44" s="328">
        <f t="shared" si="30"/>
        <v>218.148</v>
      </c>
      <c r="J44" s="328">
        <f t="shared" si="30"/>
        <v>33.9</v>
      </c>
      <c r="K44" s="328">
        <f t="shared" si="30"/>
        <v>108.682</v>
      </c>
    </row>
    <row r="45" spans="3:11" ht="20.100000000000001" customHeight="1">
      <c r="C45" s="328">
        <f t="shared" si="26"/>
        <v>3600</v>
      </c>
      <c r="D45" s="328">
        <f t="shared" ref="D45:K45" si="31">D24/1000</f>
        <v>0</v>
      </c>
      <c r="E45" s="328">
        <f t="shared" si="31"/>
        <v>0</v>
      </c>
      <c r="F45" s="328">
        <f t="shared" si="31"/>
        <v>0</v>
      </c>
      <c r="G45" s="328">
        <f t="shared" si="31"/>
        <v>0</v>
      </c>
      <c r="H45" s="328">
        <f t="shared" si="31"/>
        <v>0</v>
      </c>
      <c r="I45" s="328">
        <f t="shared" si="31"/>
        <v>0</v>
      </c>
      <c r="J45" s="328">
        <f t="shared" si="31"/>
        <v>0</v>
      </c>
      <c r="K45" s="328">
        <f t="shared" si="31"/>
        <v>0</v>
      </c>
    </row>
    <row r="46" spans="3:11" ht="20.100000000000001" customHeight="1">
      <c r="D46" s="328"/>
      <c r="E46" s="328"/>
      <c r="F46" s="328"/>
      <c r="G46" s="328"/>
      <c r="H46" s="328"/>
      <c r="I46" s="328"/>
      <c r="J46" s="328"/>
      <c r="K46" s="328"/>
    </row>
    <row r="47" spans="3:11" ht="20.100000000000001" customHeight="1">
      <c r="D47" s="328"/>
      <c r="E47" s="328"/>
      <c r="F47" s="328"/>
      <c r="G47" s="328"/>
      <c r="H47" s="328"/>
      <c r="I47" s="328"/>
      <c r="J47" s="328"/>
      <c r="K47" s="328"/>
    </row>
    <row r="48" spans="3:11" ht="20.100000000000001" customHeight="1">
      <c r="D48" s="328"/>
      <c r="E48" s="328"/>
      <c r="F48" s="328"/>
      <c r="G48" s="328"/>
      <c r="H48" s="328"/>
      <c r="I48" s="328"/>
      <c r="J48" s="328"/>
      <c r="K48" s="328"/>
    </row>
    <row r="49" spans="4:11" ht="20.100000000000001" customHeight="1">
      <c r="D49" s="328"/>
      <c r="E49" s="328"/>
      <c r="F49" s="328"/>
      <c r="G49" s="328"/>
      <c r="H49" s="328"/>
      <c r="I49" s="328"/>
      <c r="J49" s="328"/>
      <c r="K49" s="328"/>
    </row>
    <row r="50" spans="4:11" ht="20.100000000000001" customHeight="1">
      <c r="D50" s="328"/>
      <c r="E50" s="328"/>
      <c r="F50" s="328"/>
      <c r="G50" s="328"/>
      <c r="H50" s="328"/>
      <c r="I50" s="328"/>
      <c r="J50" s="328"/>
      <c r="K50" s="328"/>
    </row>
    <row r="51" spans="4:11" ht="20.100000000000001" customHeight="1">
      <c r="D51" s="328"/>
      <c r="E51" s="328"/>
      <c r="F51" s="328"/>
      <c r="G51" s="328"/>
      <c r="H51" s="328"/>
      <c r="I51" s="328"/>
      <c r="J51" s="328"/>
      <c r="K51" s="328"/>
    </row>
    <row r="52" spans="4:11" ht="20.100000000000001" customHeight="1">
      <c r="D52" s="328"/>
      <c r="E52" s="328"/>
      <c r="F52" s="328"/>
      <c r="G52" s="328"/>
      <c r="H52" s="328"/>
      <c r="I52" s="328"/>
      <c r="J52" s="328"/>
      <c r="K52" s="328"/>
    </row>
    <row r="53" spans="4:11" ht="20.100000000000001" customHeight="1">
      <c r="D53" s="328"/>
      <c r="E53" s="328"/>
      <c r="F53" s="328"/>
      <c r="G53" s="328"/>
      <c r="H53" s="328"/>
      <c r="I53" s="328"/>
      <c r="J53" s="328"/>
      <c r="K53" s="328"/>
    </row>
    <row r="54" spans="4:11" ht="20.100000000000001" customHeight="1">
      <c r="D54" s="328"/>
      <c r="E54" s="328"/>
      <c r="F54" s="328"/>
      <c r="G54" s="328"/>
      <c r="H54" s="328"/>
      <c r="I54" s="328"/>
      <c r="J54" s="328"/>
      <c r="K54" s="328"/>
    </row>
    <row r="55" spans="4:11" ht="20.100000000000001" customHeight="1">
      <c r="D55" s="328"/>
      <c r="E55" s="328"/>
      <c r="F55" s="328"/>
      <c r="G55" s="328"/>
      <c r="H55" s="328"/>
      <c r="I55" s="328"/>
      <c r="J55" s="328"/>
      <c r="K55" s="328"/>
    </row>
  </sheetData>
  <mergeCells count="11">
    <mergeCell ref="A5:A6"/>
    <mergeCell ref="A7:A9"/>
    <mergeCell ref="A10:A17"/>
    <mergeCell ref="A22:A23"/>
    <mergeCell ref="L2:S2"/>
    <mergeCell ref="A4:B4"/>
    <mergeCell ref="A1:E1"/>
    <mergeCell ref="D2:K2"/>
    <mergeCell ref="C2:C3"/>
    <mergeCell ref="A2:A3"/>
    <mergeCell ref="B2:B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T28"/>
  <sheetViews>
    <sheetView view="pageBreakPreview" zoomScale="85" zoomScaleNormal="85" zoomScaleSheetLayoutView="85" workbookViewId="0">
      <selection activeCell="F19" sqref="F19"/>
    </sheetView>
  </sheetViews>
  <sheetFormatPr defaultRowHeight="27.95" customHeight="1"/>
  <cols>
    <col min="1" max="1" width="8.125" style="35" customWidth="1"/>
    <col min="2" max="2" width="13.125" style="35" bestFit="1" customWidth="1"/>
    <col min="3" max="3" width="8.375" style="35" customWidth="1"/>
    <col min="4" max="4" width="7.625" style="35" customWidth="1"/>
    <col min="5" max="5" width="8.75" style="37" customWidth="1"/>
    <col min="6" max="7" width="12.875" style="37" bestFit="1" customWidth="1"/>
    <col min="8" max="8" width="10.375" style="37" bestFit="1" customWidth="1"/>
    <col min="9" max="9" width="12.375" style="37" customWidth="1"/>
    <col min="10" max="10" width="12" style="37" customWidth="1"/>
    <col min="11" max="11" width="9.5" style="37" customWidth="1"/>
    <col min="12" max="12" width="11.75" style="37" bestFit="1" customWidth="1"/>
    <col min="13" max="13" width="10" style="37" bestFit="1" customWidth="1"/>
    <col min="14" max="14" width="10.375" style="37" bestFit="1" customWidth="1"/>
    <col min="15" max="16" width="11.75" style="37" bestFit="1" customWidth="1"/>
    <col min="17" max="17" width="10.375" style="37" bestFit="1" customWidth="1"/>
    <col min="18" max="18" width="12.875" style="37" bestFit="1" customWidth="1"/>
    <col min="19" max="19" width="6.25" style="35" bestFit="1" customWidth="1"/>
    <col min="20" max="20" width="14" style="35" customWidth="1"/>
    <col min="21" max="16384" width="9" style="35"/>
  </cols>
  <sheetData>
    <row r="1" spans="1:19" s="1" customFormat="1" ht="27.95" customHeight="1">
      <c r="A1" s="433" t="s">
        <v>335</v>
      </c>
      <c r="B1" s="433"/>
      <c r="C1" s="433"/>
      <c r="D1" s="433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74" t="s">
        <v>261</v>
      </c>
    </row>
    <row r="2" spans="1:19" ht="27.95" customHeight="1">
      <c r="A2" s="477" t="s">
        <v>0</v>
      </c>
      <c r="B2" s="479" t="s">
        <v>1</v>
      </c>
      <c r="C2" s="479" t="s">
        <v>40</v>
      </c>
      <c r="D2" s="479"/>
      <c r="E2" s="493" t="s">
        <v>173</v>
      </c>
      <c r="F2" s="491" t="s">
        <v>174</v>
      </c>
      <c r="G2" s="488"/>
      <c r="H2" s="488"/>
      <c r="I2" s="488"/>
      <c r="J2" s="488"/>
      <c r="K2" s="488"/>
      <c r="L2" s="488"/>
      <c r="M2" s="492"/>
      <c r="N2" s="490" t="s">
        <v>179</v>
      </c>
      <c r="O2" s="488"/>
      <c r="P2" s="488"/>
      <c r="Q2" s="488"/>
      <c r="R2" s="488" t="s">
        <v>172</v>
      </c>
      <c r="S2" s="486" t="s">
        <v>2</v>
      </c>
    </row>
    <row r="3" spans="1:19" ht="27.95" customHeight="1">
      <c r="A3" s="478"/>
      <c r="B3" s="480"/>
      <c r="C3" s="367" t="s">
        <v>71</v>
      </c>
      <c r="D3" s="367" t="s">
        <v>215</v>
      </c>
      <c r="E3" s="494"/>
      <c r="F3" s="64" t="s">
        <v>70</v>
      </c>
      <c r="G3" s="65" t="s">
        <v>39</v>
      </c>
      <c r="H3" s="65" t="s">
        <v>41</v>
      </c>
      <c r="I3" s="65" t="s">
        <v>42</v>
      </c>
      <c r="J3" s="65" t="s">
        <v>43</v>
      </c>
      <c r="K3" s="65" t="s">
        <v>44</v>
      </c>
      <c r="L3" s="65" t="s">
        <v>180</v>
      </c>
      <c r="M3" s="88" t="s">
        <v>181</v>
      </c>
      <c r="N3" s="368" t="s">
        <v>175</v>
      </c>
      <c r="O3" s="65" t="s">
        <v>176</v>
      </c>
      <c r="P3" s="65" t="s">
        <v>177</v>
      </c>
      <c r="Q3" s="65" t="s">
        <v>178</v>
      </c>
      <c r="R3" s="489"/>
      <c r="S3" s="487"/>
    </row>
    <row r="4" spans="1:19" s="36" customFormat="1" ht="27.95" customHeight="1">
      <c r="A4" s="483" t="s">
        <v>3</v>
      </c>
      <c r="B4" s="484"/>
      <c r="C4" s="32"/>
      <c r="D4" s="32"/>
      <c r="E4" s="304"/>
      <c r="F4" s="34">
        <f t="shared" ref="F4:F9" si="0">SUM(G4:M4)</f>
        <v>58190803</v>
      </c>
      <c r="G4" s="33">
        <f t="shared" ref="G4:Q4" si="1">SUM(G5:G24)</f>
        <v>20948494</v>
      </c>
      <c r="H4" s="33">
        <f t="shared" si="1"/>
        <v>338000</v>
      </c>
      <c r="I4" s="33">
        <f t="shared" si="1"/>
        <v>27022897</v>
      </c>
      <c r="J4" s="33">
        <f t="shared" si="1"/>
        <v>7882200</v>
      </c>
      <c r="K4" s="33">
        <f t="shared" si="1"/>
        <v>160000</v>
      </c>
      <c r="L4" s="33">
        <f t="shared" si="1"/>
        <v>1378652</v>
      </c>
      <c r="M4" s="89">
        <f t="shared" si="1"/>
        <v>460560</v>
      </c>
      <c r="N4" s="379">
        <f t="shared" si="1"/>
        <v>746521</v>
      </c>
      <c r="O4" s="33">
        <f t="shared" si="1"/>
        <v>1489682</v>
      </c>
      <c r="P4" s="33">
        <f t="shared" si="1"/>
        <v>2716063</v>
      </c>
      <c r="Q4" s="33">
        <f t="shared" si="1"/>
        <v>154475</v>
      </c>
      <c r="R4" s="375">
        <f>F4+N4+O4+P4+Q4</f>
        <v>63297544</v>
      </c>
      <c r="S4" s="376"/>
    </row>
    <row r="5" spans="1:19" ht="27.95" customHeight="1">
      <c r="A5" s="481" t="s">
        <v>4</v>
      </c>
      <c r="B5" s="85" t="s">
        <v>5</v>
      </c>
      <c r="C5" s="4">
        <f>'[26]3. 단계별 시설용량'!G4</f>
        <v>380</v>
      </c>
      <c r="D5" s="4"/>
      <c r="E5" s="305"/>
      <c r="F5" s="30">
        <f t="shared" si="0"/>
        <v>1415903</v>
      </c>
      <c r="G5" s="27">
        <v>0</v>
      </c>
      <c r="H5" s="27"/>
      <c r="I5" s="27">
        <f>'7. 소규모하수도_하수관거공사비'!C6</f>
        <v>986665</v>
      </c>
      <c r="J5" s="27">
        <f>'7. 소규모하수도_하수관거공사비'!H6</f>
        <v>316100</v>
      </c>
      <c r="K5" s="27">
        <f>'7. 소규모하수도_하수관거공사비'!G6</f>
        <v>32000</v>
      </c>
      <c r="L5" s="27">
        <f>'7. 소규모하수도_하수관거공사비'!I6</f>
        <v>70578</v>
      </c>
      <c r="M5" s="90">
        <f>'7. 소규모하수도_하수관거공사비'!L6</f>
        <v>10560</v>
      </c>
      <c r="N5" s="380">
        <f>ROUND(F5*1.37/100,0)</f>
        <v>19398</v>
      </c>
      <c r="O5" s="27">
        <f>ROUND($F5*2.75/100,0)</f>
        <v>38937</v>
      </c>
      <c r="P5" s="27">
        <f>ROUND($F5*1.53/100,0)</f>
        <v>21663</v>
      </c>
      <c r="Q5" s="27">
        <f>ROUND($F5*0.36/100,0)</f>
        <v>5097</v>
      </c>
      <c r="R5" s="375">
        <f t="shared" ref="R5:R24" si="2">F5+N5+O5+P5+Q5</f>
        <v>1500998</v>
      </c>
      <c r="S5" s="2" t="s">
        <v>6</v>
      </c>
    </row>
    <row r="6" spans="1:19" ht="27.95" customHeight="1">
      <c r="A6" s="481"/>
      <c r="B6" s="85" t="s">
        <v>8</v>
      </c>
      <c r="C6" s="4">
        <v>160</v>
      </c>
      <c r="D6" s="4">
        <f t="shared" ref="D6:D23" si="3">ROUND(72.809*C6^0.3342,0)</f>
        <v>397</v>
      </c>
      <c r="E6" s="305">
        <v>100000</v>
      </c>
      <c r="F6" s="30">
        <f t="shared" si="0"/>
        <v>4751681</v>
      </c>
      <c r="G6" s="27">
        <f t="shared" ref="G6:G17" si="4">ROUND((5.13*C6^0.804+65.03*C6^0.386+18.44*C6^0.526+0.11*C6^0.941+54.35*C6^0.493)*1.335*1000,0)</f>
        <v>2279441</v>
      </c>
      <c r="H6" s="27">
        <f t="shared" ref="H6:H18" si="5">ROUND(D6*E6/1000,0)</f>
        <v>39700</v>
      </c>
      <c r="I6" s="27">
        <f>'7. 소규모하수도_하수관거공사비'!C7</f>
        <v>1875268</v>
      </c>
      <c r="J6" s="27">
        <f>'7. 소규모하수도_하수관거공사비'!H7</f>
        <v>362500</v>
      </c>
      <c r="K6" s="27">
        <f>'7. 소규모하수도_하수관거공사비'!G7</f>
        <v>32000</v>
      </c>
      <c r="L6" s="27">
        <f>'7. 소규모하수도_하수관거공사비'!I7</f>
        <v>134092</v>
      </c>
      <c r="M6" s="90">
        <f>'7. 소규모하수도_하수관거공사비'!L7</f>
        <v>28680</v>
      </c>
      <c r="N6" s="380">
        <f>ROUND(F6*1.27/100,0)</f>
        <v>60346</v>
      </c>
      <c r="O6" s="27">
        <f>ROUND($F6*2.53/100,0)</f>
        <v>120218</v>
      </c>
      <c r="P6" s="27">
        <f>ROUND($F6*6.19/100,0)</f>
        <v>294129</v>
      </c>
      <c r="Q6" s="27">
        <f>ROUND($F6*0.25/100,0)</f>
        <v>11879</v>
      </c>
      <c r="R6" s="375">
        <f t="shared" si="2"/>
        <v>5238253</v>
      </c>
      <c r="S6" s="2" t="s">
        <v>346</v>
      </c>
    </row>
    <row r="7" spans="1:19" ht="27.95" customHeight="1">
      <c r="A7" s="481" t="s">
        <v>344</v>
      </c>
      <c r="B7" s="85" t="s">
        <v>9</v>
      </c>
      <c r="C7" s="4">
        <f>'[26]3. 단계별 시설용량'!G6</f>
        <v>110</v>
      </c>
      <c r="D7" s="4"/>
      <c r="E7" s="305"/>
      <c r="F7" s="30">
        <f t="shared" si="0"/>
        <v>0</v>
      </c>
      <c r="G7" s="27"/>
      <c r="H7" s="27">
        <f t="shared" si="5"/>
        <v>0</v>
      </c>
      <c r="I7" s="27">
        <f>'7. 소규모하수도_하수관거공사비'!C8</f>
        <v>0</v>
      </c>
      <c r="J7" s="27">
        <f>'7. 소규모하수도_하수관거공사비'!H8</f>
        <v>0</v>
      </c>
      <c r="K7" s="27">
        <f>'7. 소규모하수도_하수관거공사비'!G8</f>
        <v>0</v>
      </c>
      <c r="L7" s="27">
        <f>'7. 소규모하수도_하수관거공사비'!I8</f>
        <v>0</v>
      </c>
      <c r="M7" s="90">
        <f>'7. 소규모하수도_하수관거공사비'!L8</f>
        <v>0</v>
      </c>
      <c r="N7" s="380">
        <f>ROUND(F7*1.27/100,0)</f>
        <v>0</v>
      </c>
      <c r="O7" s="27">
        <f>ROUND($F7*2.53/100,0)</f>
        <v>0</v>
      </c>
      <c r="P7" s="27">
        <f>ROUND($F7*6.19/100,0)</f>
        <v>0</v>
      </c>
      <c r="Q7" s="27">
        <f>ROUND($F7*0.25/100,0)</f>
        <v>0</v>
      </c>
      <c r="R7" s="375">
        <f t="shared" si="2"/>
        <v>0</v>
      </c>
      <c r="S7" s="2" t="s">
        <v>6</v>
      </c>
    </row>
    <row r="8" spans="1:19" ht="27.95" customHeight="1">
      <c r="A8" s="481"/>
      <c r="B8" s="85" t="s">
        <v>10</v>
      </c>
      <c r="C8" s="4">
        <f>'[26]3. 단계별 시설용량'!G7</f>
        <v>90</v>
      </c>
      <c r="D8" s="4">
        <f t="shared" si="3"/>
        <v>328</v>
      </c>
      <c r="E8" s="305">
        <v>100000</v>
      </c>
      <c r="F8" s="30">
        <f t="shared" si="0"/>
        <v>5826118</v>
      </c>
      <c r="G8" s="27">
        <f t="shared" si="4"/>
        <v>1687912</v>
      </c>
      <c r="H8" s="27">
        <f t="shared" si="5"/>
        <v>32800</v>
      </c>
      <c r="I8" s="27">
        <f>'7. 소규모하수도_하수관거공사비'!C9</f>
        <v>3372680</v>
      </c>
      <c r="J8" s="27">
        <f>'7. 소규모하수도_하수관거공사비'!H9</f>
        <v>513300</v>
      </c>
      <c r="K8" s="27">
        <f>'7. 소규모하수도_하수관거공사비'!G9</f>
        <v>0</v>
      </c>
      <c r="L8" s="27">
        <f>'7. 소규모하수도_하수관거공사비'!I9</f>
        <v>159846</v>
      </c>
      <c r="M8" s="90">
        <f>'7. 소규모하수도_하수관거공사비'!L9</f>
        <v>59580</v>
      </c>
      <c r="N8" s="380">
        <f>ROUND(F8*1.27/100,0)</f>
        <v>73992</v>
      </c>
      <c r="O8" s="27">
        <f>ROUND($F8*2.53/100,0)</f>
        <v>147401</v>
      </c>
      <c r="P8" s="27">
        <f>ROUND($F8*6.19/100,0)</f>
        <v>360637</v>
      </c>
      <c r="Q8" s="27">
        <f>ROUND($F8*0.25/100,0)</f>
        <v>14565</v>
      </c>
      <c r="R8" s="375">
        <f t="shared" si="2"/>
        <v>6422713</v>
      </c>
      <c r="S8" s="2" t="s">
        <v>346</v>
      </c>
    </row>
    <row r="9" spans="1:19" ht="27.95" customHeight="1">
      <c r="A9" s="481"/>
      <c r="B9" s="85" t="s">
        <v>11</v>
      </c>
      <c r="C9" s="4">
        <f>'[26]3. 단계별 시설용량'!G8</f>
        <v>110</v>
      </c>
      <c r="D9" s="4">
        <f t="shared" si="3"/>
        <v>350</v>
      </c>
      <c r="E9" s="305">
        <v>100000</v>
      </c>
      <c r="F9" s="30">
        <f t="shared" si="0"/>
        <v>5979886</v>
      </c>
      <c r="G9" s="27">
        <f t="shared" si="4"/>
        <v>1872992</v>
      </c>
      <c r="H9" s="27">
        <f t="shared" si="5"/>
        <v>35000</v>
      </c>
      <c r="I9" s="27">
        <f>'7. 소규모하수도_하수관거공사비'!C10</f>
        <v>3267936</v>
      </c>
      <c r="J9" s="27">
        <f>'7. 소규모하수도_하수관거공사비'!H10</f>
        <v>585800</v>
      </c>
      <c r="K9" s="27">
        <f>'7. 소규모하수도_하수관거공사비'!G10</f>
        <v>0</v>
      </c>
      <c r="L9" s="27">
        <f>'7. 소규모하수도_하수관거공사비'!I10</f>
        <v>159778</v>
      </c>
      <c r="M9" s="90">
        <f>'7. 소규모하수도_하수관거공사비'!L10</f>
        <v>58380</v>
      </c>
      <c r="N9" s="380">
        <f>ROUND(F9*1.27/100,0)</f>
        <v>75945</v>
      </c>
      <c r="O9" s="27">
        <f>ROUND($F9*2.53/100,0)</f>
        <v>151291</v>
      </c>
      <c r="P9" s="27">
        <f>ROUND($F9*6.19/100,0)</f>
        <v>370155</v>
      </c>
      <c r="Q9" s="27">
        <f>ROUND($F9*0.25/100,0)</f>
        <v>14950</v>
      </c>
      <c r="R9" s="375">
        <f t="shared" si="2"/>
        <v>6592227</v>
      </c>
      <c r="S9" s="2" t="s">
        <v>346</v>
      </c>
    </row>
    <row r="10" spans="1:19" ht="27.95" customHeight="1">
      <c r="A10" s="481" t="s">
        <v>345</v>
      </c>
      <c r="B10" s="85" t="s">
        <v>12</v>
      </c>
      <c r="C10" s="4">
        <f>'[26]3. 단계별 시설용량'!G9</f>
        <v>310</v>
      </c>
      <c r="D10" s="4"/>
      <c r="E10" s="305"/>
      <c r="F10" s="30">
        <f t="shared" ref="F10:F24" si="6">SUM(G10:M10)</f>
        <v>0</v>
      </c>
      <c r="G10" s="27"/>
      <c r="H10" s="27">
        <f t="shared" si="5"/>
        <v>0</v>
      </c>
      <c r="I10" s="27">
        <f>'7. 소규모하수도_하수관거공사비'!C11</f>
        <v>0</v>
      </c>
      <c r="J10" s="27">
        <f>'7. 소규모하수도_하수관거공사비'!H11</f>
        <v>0</v>
      </c>
      <c r="K10" s="27">
        <f>'7. 소규모하수도_하수관거공사비'!G11</f>
        <v>0</v>
      </c>
      <c r="L10" s="27">
        <f>'7. 소규모하수도_하수관거공사비'!I11</f>
        <v>0</v>
      </c>
      <c r="M10" s="90">
        <f>'7. 소규모하수도_하수관거공사비'!L11</f>
        <v>0</v>
      </c>
      <c r="N10" s="380">
        <f>ROUND(F10*1.27/100,0)</f>
        <v>0</v>
      </c>
      <c r="O10" s="27">
        <f>ROUND($F10*2.53/100,0)</f>
        <v>0</v>
      </c>
      <c r="P10" s="27">
        <f>ROUND($F10*6.19/100,0)</f>
        <v>0</v>
      </c>
      <c r="Q10" s="27">
        <f>ROUND($F10*0.25/100,0)</f>
        <v>0</v>
      </c>
      <c r="R10" s="375">
        <f t="shared" si="2"/>
        <v>0</v>
      </c>
      <c r="S10" s="2" t="s">
        <v>6</v>
      </c>
    </row>
    <row r="11" spans="1:19" ht="27.95" customHeight="1">
      <c r="A11" s="481"/>
      <c r="B11" s="85" t="s">
        <v>13</v>
      </c>
      <c r="C11" s="4">
        <f>'[26]3. 단계별 시설용량'!G10</f>
        <v>120</v>
      </c>
      <c r="D11" s="4">
        <f t="shared" si="3"/>
        <v>361</v>
      </c>
      <c r="E11" s="305">
        <v>100000</v>
      </c>
      <c r="F11" s="30">
        <f t="shared" si="6"/>
        <v>4844755</v>
      </c>
      <c r="G11" s="27">
        <f t="shared" si="4"/>
        <v>1959899</v>
      </c>
      <c r="H11" s="27">
        <f t="shared" si="5"/>
        <v>36100</v>
      </c>
      <c r="I11" s="27">
        <f>'7. 소규모하수도_하수관거공사비'!C12</f>
        <v>2218272</v>
      </c>
      <c r="J11" s="27">
        <f>'7. 소규모하수도_하수관거공사비'!H12</f>
        <v>478500</v>
      </c>
      <c r="K11" s="27">
        <f>'7. 소규모하수도_하수관거공사비'!G12</f>
        <v>0</v>
      </c>
      <c r="L11" s="27">
        <f>'7. 소규모하수도_하수관거공사비'!I12</f>
        <v>112384</v>
      </c>
      <c r="M11" s="90">
        <f>'7. 소규모하수도_하수관거공사비'!L12</f>
        <v>39600</v>
      </c>
      <c r="N11" s="380">
        <f>ROUND(F11*1.3/100,0)</f>
        <v>62982</v>
      </c>
      <c r="O11" s="27">
        <f>ROUND($F11*2.6/100,0)</f>
        <v>125964</v>
      </c>
      <c r="P11" s="27">
        <f>ROUND($F11*1.45/100,0)</f>
        <v>70249</v>
      </c>
      <c r="Q11" s="27">
        <f>ROUND($F11*0.27/100,0)</f>
        <v>13081</v>
      </c>
      <c r="R11" s="375">
        <f t="shared" si="2"/>
        <v>5117031</v>
      </c>
      <c r="S11" s="2" t="s">
        <v>346</v>
      </c>
    </row>
    <row r="12" spans="1:19" ht="27.95" customHeight="1">
      <c r="A12" s="481"/>
      <c r="B12" s="85" t="s">
        <v>14</v>
      </c>
      <c r="C12" s="4">
        <f>'[26]3. 단계별 시설용량'!G11</f>
        <v>100</v>
      </c>
      <c r="D12" s="4"/>
      <c r="E12" s="305"/>
      <c r="F12" s="30">
        <f t="shared" ref="F12:F17" si="7">SUM(G12:M12)</f>
        <v>0</v>
      </c>
      <c r="G12" s="27"/>
      <c r="H12" s="27">
        <f t="shared" si="5"/>
        <v>0</v>
      </c>
      <c r="I12" s="27">
        <f>'7. 소규모하수도_하수관거공사비'!C13</f>
        <v>0</v>
      </c>
      <c r="J12" s="27">
        <f>'7. 소규모하수도_하수관거공사비'!H13</f>
        <v>0</v>
      </c>
      <c r="K12" s="27">
        <f>'7. 소규모하수도_하수관거공사비'!G13</f>
        <v>0</v>
      </c>
      <c r="L12" s="27">
        <f>'7. 소규모하수도_하수관거공사비'!I13</f>
        <v>0</v>
      </c>
      <c r="M12" s="90">
        <f>'7. 소규모하수도_하수관거공사비'!L13</f>
        <v>0</v>
      </c>
      <c r="N12" s="380">
        <f>ROUND(F12*1.37/100,0)</f>
        <v>0</v>
      </c>
      <c r="O12" s="27">
        <f>ROUND($F12*2.75/100,0)</f>
        <v>0</v>
      </c>
      <c r="P12" s="27">
        <f>ROUND($F12*1.53/100,0)</f>
        <v>0</v>
      </c>
      <c r="Q12" s="27">
        <f>ROUND($F12*0.36/100,0)</f>
        <v>0</v>
      </c>
      <c r="R12" s="375">
        <f t="shared" si="2"/>
        <v>0</v>
      </c>
      <c r="S12" s="2" t="s">
        <v>346</v>
      </c>
    </row>
    <row r="13" spans="1:19" ht="27.95" customHeight="1">
      <c r="A13" s="481"/>
      <c r="B13" s="85" t="s">
        <v>15</v>
      </c>
      <c r="C13" s="4">
        <f>'[26]3. 단계별 시설용량'!G12</f>
        <v>60</v>
      </c>
      <c r="D13" s="4"/>
      <c r="E13" s="305"/>
      <c r="F13" s="30">
        <f t="shared" si="7"/>
        <v>0</v>
      </c>
      <c r="G13" s="27"/>
      <c r="H13" s="27">
        <f t="shared" si="5"/>
        <v>0</v>
      </c>
      <c r="I13" s="27">
        <f>'7. 소규모하수도_하수관거공사비'!C14</f>
        <v>0</v>
      </c>
      <c r="J13" s="27">
        <f>'7. 소규모하수도_하수관거공사비'!H14</f>
        <v>0</v>
      </c>
      <c r="K13" s="27">
        <f>'7. 소규모하수도_하수관거공사비'!G14</f>
        <v>0</v>
      </c>
      <c r="L13" s="27">
        <f>'7. 소규모하수도_하수관거공사비'!I14</f>
        <v>0</v>
      </c>
      <c r="M13" s="90">
        <f>'7. 소규모하수도_하수관거공사비'!L14</f>
        <v>0</v>
      </c>
      <c r="N13" s="380">
        <f>ROUND(F13*1.49/100,0)</f>
        <v>0</v>
      </c>
      <c r="O13" s="27">
        <f>ROUND($F13*2.99/100,0)</f>
        <v>0</v>
      </c>
      <c r="P13" s="27">
        <f>ROUND($F13*1.66/100,0)</f>
        <v>0</v>
      </c>
      <c r="Q13" s="27">
        <f>ROUND($F13*0.63/100,0)</f>
        <v>0</v>
      </c>
      <c r="R13" s="375">
        <f t="shared" si="2"/>
        <v>0</v>
      </c>
      <c r="S13" s="2" t="s">
        <v>346</v>
      </c>
    </row>
    <row r="14" spans="1:19" ht="27.95" customHeight="1">
      <c r="A14" s="481"/>
      <c r="B14" s="85" t="s">
        <v>17</v>
      </c>
      <c r="C14" s="4">
        <f>'[26]3. 단계별 시설용량'!G13-130</f>
        <v>90</v>
      </c>
      <c r="D14" s="4"/>
      <c r="E14" s="305"/>
      <c r="F14" s="30">
        <f t="shared" si="7"/>
        <v>4182754</v>
      </c>
      <c r="G14" s="27">
        <f t="shared" si="4"/>
        <v>1687912</v>
      </c>
      <c r="H14" s="27">
        <f t="shared" si="5"/>
        <v>0</v>
      </c>
      <c r="I14" s="27">
        <f>'7. 소규모하수도_하수관거공사비'!C15</f>
        <v>1692550</v>
      </c>
      <c r="J14" s="27">
        <f>'7. 소규모하수도_하수관거공사비'!H15</f>
        <v>638000</v>
      </c>
      <c r="K14" s="27">
        <f>'7. 소규모하수도_하수관거공사비'!G15</f>
        <v>32000</v>
      </c>
      <c r="L14" s="27">
        <f>'7. 소규모하수도_하수관거공사비'!I15</f>
        <v>104632</v>
      </c>
      <c r="M14" s="90">
        <f>'7. 소규모하수도_하수관거공사비'!L15</f>
        <v>27660</v>
      </c>
      <c r="N14" s="380">
        <f>ROUND(F14*1.3/100,0)</f>
        <v>54376</v>
      </c>
      <c r="O14" s="27">
        <f>ROUND($F14*2.6/100,0)</f>
        <v>108752</v>
      </c>
      <c r="P14" s="27">
        <f>ROUND($F14*1.45/100,0)</f>
        <v>60650</v>
      </c>
      <c r="Q14" s="27">
        <f>ROUND($F14*0.27/100,0)</f>
        <v>11293</v>
      </c>
      <c r="R14" s="375">
        <f t="shared" si="2"/>
        <v>4417825</v>
      </c>
      <c r="S14" s="2" t="s">
        <v>7</v>
      </c>
    </row>
    <row r="15" spans="1:19" ht="27.95" customHeight="1">
      <c r="A15" s="481"/>
      <c r="B15" s="85" t="s">
        <v>18</v>
      </c>
      <c r="C15" s="4">
        <f>'[26]3. 단계별 시설용량'!G14</f>
        <v>150</v>
      </c>
      <c r="D15" s="4"/>
      <c r="E15" s="305"/>
      <c r="F15" s="30">
        <f t="shared" si="7"/>
        <v>0</v>
      </c>
      <c r="G15" s="27"/>
      <c r="H15" s="27">
        <f t="shared" si="5"/>
        <v>0</v>
      </c>
      <c r="I15" s="27">
        <f>'7. 소규모하수도_하수관거공사비'!C16</f>
        <v>0</v>
      </c>
      <c r="J15" s="27">
        <f>'7. 소규모하수도_하수관거공사비'!H16</f>
        <v>0</v>
      </c>
      <c r="K15" s="27">
        <f>'7. 소규모하수도_하수관거공사비'!G16</f>
        <v>0</v>
      </c>
      <c r="L15" s="27">
        <f>'7. 소규모하수도_하수관거공사비'!I16</f>
        <v>0</v>
      </c>
      <c r="M15" s="90">
        <f>'7. 소규모하수도_하수관거공사비'!L16</f>
        <v>0</v>
      </c>
      <c r="N15" s="380">
        <f>ROUND(F15*1.49/100,0)</f>
        <v>0</v>
      </c>
      <c r="O15" s="27">
        <f>ROUND($F15*2.99/100,0)</f>
        <v>0</v>
      </c>
      <c r="P15" s="27">
        <f>ROUND($F15*1.66/100,0)</f>
        <v>0</v>
      </c>
      <c r="Q15" s="27">
        <f>ROUND($F15*0.63/100,0)</f>
        <v>0</v>
      </c>
      <c r="R15" s="375">
        <f t="shared" si="2"/>
        <v>0</v>
      </c>
      <c r="S15" s="2" t="s">
        <v>7</v>
      </c>
    </row>
    <row r="16" spans="1:19" ht="27.95" customHeight="1">
      <c r="A16" s="481"/>
      <c r="B16" s="85" t="s">
        <v>19</v>
      </c>
      <c r="C16" s="4">
        <f>'[26]3. 단계별 시설용량'!G15</f>
        <v>60</v>
      </c>
      <c r="D16" s="4">
        <f t="shared" si="3"/>
        <v>286</v>
      </c>
      <c r="E16" s="305">
        <v>100000</v>
      </c>
      <c r="F16" s="30">
        <f t="shared" si="7"/>
        <v>2170192</v>
      </c>
      <c r="G16" s="27">
        <f t="shared" si="4"/>
        <v>1371006</v>
      </c>
      <c r="H16" s="27">
        <f t="shared" si="5"/>
        <v>28600</v>
      </c>
      <c r="I16" s="27">
        <f>'7. 소규모하수도_하수관거공사비'!C17</f>
        <v>481152</v>
      </c>
      <c r="J16" s="27">
        <f>'7. 소규모하수도_하수관거공사비'!H17</f>
        <v>249400</v>
      </c>
      <c r="K16" s="27">
        <f>'7. 소규모하수도_하수관거공사비'!G17</f>
        <v>0</v>
      </c>
      <c r="L16" s="27">
        <f>'7. 소규모하수도_하수관거공사비'!I17</f>
        <v>31454</v>
      </c>
      <c r="M16" s="90">
        <f>'7. 소규모하수도_하수관거공사비'!L17</f>
        <v>8580</v>
      </c>
      <c r="N16" s="380">
        <f>ROUND(F16*1.32/100,0)</f>
        <v>28647</v>
      </c>
      <c r="O16" s="27">
        <f>ROUND($F16*2.65/100,0)</f>
        <v>57510</v>
      </c>
      <c r="P16" s="27">
        <f>ROUND($F16*1.48/100,0)</f>
        <v>32119</v>
      </c>
      <c r="Q16" s="27">
        <f>ROUND($F16*0.36/100,0)</f>
        <v>7813</v>
      </c>
      <c r="R16" s="375">
        <f t="shared" si="2"/>
        <v>2296281</v>
      </c>
      <c r="S16" s="2" t="s">
        <v>347</v>
      </c>
    </row>
    <row r="17" spans="1:20" ht="27.95" customHeight="1">
      <c r="A17" s="481"/>
      <c r="B17" s="85" t="s">
        <v>20</v>
      </c>
      <c r="C17" s="4">
        <f>'[26]3. 단계별 시설용량'!G16</f>
        <v>70</v>
      </c>
      <c r="D17" s="4">
        <f t="shared" si="3"/>
        <v>301</v>
      </c>
      <c r="E17" s="305">
        <v>100000</v>
      </c>
      <c r="F17" s="30">
        <f t="shared" si="7"/>
        <v>2247500</v>
      </c>
      <c r="G17" s="27">
        <f t="shared" si="4"/>
        <v>1483276</v>
      </c>
      <c r="H17" s="27">
        <f t="shared" si="5"/>
        <v>30100</v>
      </c>
      <c r="I17" s="27">
        <f>'7. 소규모하수도_하수관거공사비'!C18</f>
        <v>455280</v>
      </c>
      <c r="J17" s="27">
        <f>'7. 소규모하수도_하수관거공사비'!H18</f>
        <v>240700</v>
      </c>
      <c r="K17" s="27">
        <f>'7. 소규모하수도_하수관거공사비'!G18</f>
        <v>0</v>
      </c>
      <c r="L17" s="27">
        <f>'7. 소규모하수도_하수관거공사비'!I18</f>
        <v>29984</v>
      </c>
      <c r="M17" s="90">
        <f>'7. 소규모하수도_하수관거공사비'!L18</f>
        <v>8160</v>
      </c>
      <c r="N17" s="380">
        <f>ROUND(F17*1.32/100,0)</f>
        <v>29667</v>
      </c>
      <c r="O17" s="27">
        <f>ROUND($F17*2.65/100,0)</f>
        <v>59559</v>
      </c>
      <c r="P17" s="27">
        <f>ROUND($F17*1.48/100,0)</f>
        <v>33263</v>
      </c>
      <c r="Q17" s="27">
        <f>ROUND($F17*0.36/100,0)</f>
        <v>8091</v>
      </c>
      <c r="R17" s="375">
        <f t="shared" si="2"/>
        <v>2378080</v>
      </c>
      <c r="S17" s="2" t="s">
        <v>347</v>
      </c>
    </row>
    <row r="18" spans="1:20" ht="27.95" customHeight="1">
      <c r="A18" s="392" t="s">
        <v>21</v>
      </c>
      <c r="B18" s="85" t="s">
        <v>348</v>
      </c>
      <c r="C18" s="4">
        <v>440</v>
      </c>
      <c r="D18" s="4">
        <f t="shared" si="3"/>
        <v>557</v>
      </c>
      <c r="E18" s="305">
        <v>100000</v>
      </c>
      <c r="F18" s="30">
        <f t="shared" si="6"/>
        <v>14316716</v>
      </c>
      <c r="G18" s="27">
        <f>ROUND((5.13*C18^0.804+65.03*C18^0.386+18.44*C18^0.526+0.11*C18^0.941+54.35*C18^0.493)*1.335*1000,0)</f>
        <v>3932350</v>
      </c>
      <c r="H18" s="27">
        <f t="shared" si="5"/>
        <v>55700</v>
      </c>
      <c r="I18" s="27">
        <f>'7. 소규모하수도_하수관거공사비'!C19</f>
        <v>7318330</v>
      </c>
      <c r="J18" s="27">
        <f>'7. 소규모하수도_하수관거공사비'!H19</f>
        <v>2589700</v>
      </c>
      <c r="K18" s="27">
        <f>'7. 소규모하수도_하수관거공사비'!G19</f>
        <v>32000</v>
      </c>
      <c r="L18" s="27">
        <f>'7. 소규모하수도_하수관거공사비'!I19</f>
        <v>262216</v>
      </c>
      <c r="M18" s="90">
        <f>'7. 소규모하수도_하수관거공사비'!L19</f>
        <v>126420</v>
      </c>
      <c r="N18" s="380">
        <f>ROUND(F18*1.27/100,0)</f>
        <v>181822</v>
      </c>
      <c r="O18" s="27">
        <f>ROUND($F18*2.53/100,0)</f>
        <v>362213</v>
      </c>
      <c r="P18" s="27">
        <f>ROUND($F18*6.19/100,0)</f>
        <v>886205</v>
      </c>
      <c r="Q18" s="27">
        <f>ROUND($F18*0.25/100,0)</f>
        <v>35792</v>
      </c>
      <c r="R18" s="375">
        <f t="shared" si="2"/>
        <v>15782748</v>
      </c>
      <c r="S18" s="2" t="s">
        <v>358</v>
      </c>
    </row>
    <row r="19" spans="1:20" ht="27.95" customHeight="1">
      <c r="A19" s="392" t="s">
        <v>356</v>
      </c>
      <c r="B19" s="85" t="s">
        <v>357</v>
      </c>
      <c r="C19" s="4">
        <v>30</v>
      </c>
      <c r="D19" s="4">
        <v>0</v>
      </c>
      <c r="E19" s="305"/>
      <c r="F19" s="30">
        <f t="shared" si="6"/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90">
        <v>0</v>
      </c>
      <c r="N19" s="380">
        <f>ROUND(F19*1.27/100,0)</f>
        <v>0</v>
      </c>
      <c r="O19" s="27">
        <f>ROUND($F19*2.53/100,0)</f>
        <v>0</v>
      </c>
      <c r="P19" s="27">
        <f>ROUND($F19*6.19/100,0)</f>
        <v>0</v>
      </c>
      <c r="Q19" s="27">
        <f>ROUND($F19*0.25/100,0)</f>
        <v>0</v>
      </c>
      <c r="R19" s="375">
        <f t="shared" si="2"/>
        <v>0</v>
      </c>
      <c r="S19" s="2" t="s">
        <v>320</v>
      </c>
    </row>
    <row r="20" spans="1:20" ht="27.95" customHeight="1">
      <c r="A20" s="365" t="s">
        <v>24</v>
      </c>
      <c r="B20" s="85" t="s">
        <v>25</v>
      </c>
      <c r="C20" s="4">
        <f>'[26]3. 단계별 시설용량'!$G$18</f>
        <v>160</v>
      </c>
      <c r="D20" s="4">
        <v>0</v>
      </c>
      <c r="E20" s="305"/>
      <c r="F20" s="30">
        <f t="shared" si="6"/>
        <v>0</v>
      </c>
      <c r="G20" s="27">
        <v>0</v>
      </c>
      <c r="H20" s="27">
        <v>0</v>
      </c>
      <c r="I20" s="27">
        <f>'7. 소규모하수도_하수관거공사비'!C21</f>
        <v>0</v>
      </c>
      <c r="J20" s="27">
        <f>'7. 소규모하수도_하수관거공사비'!H21</f>
        <v>0</v>
      </c>
      <c r="K20" s="27">
        <f>'7. 소규모하수도_하수관거공사비'!G21</f>
        <v>0</v>
      </c>
      <c r="L20" s="27">
        <f>'7. 소규모하수도_하수관거공사비'!I21</f>
        <v>0</v>
      </c>
      <c r="M20" s="90">
        <f>'7. 소규모하수도_하수관거공사비'!L21</f>
        <v>0</v>
      </c>
      <c r="N20" s="380">
        <f t="shared" ref="N20" si="8">ROUND(F20*1.27/100,0)</f>
        <v>0</v>
      </c>
      <c r="O20" s="27">
        <f t="shared" ref="O20" si="9">ROUND($F20*2.53/100,0)</f>
        <v>0</v>
      </c>
      <c r="P20" s="27">
        <f t="shared" ref="P20" si="10">ROUND($F20*6.19/100,0)</f>
        <v>0</v>
      </c>
      <c r="Q20" s="27">
        <f t="shared" ref="Q20" si="11">ROUND($F20*0.25/100,0)</f>
        <v>0</v>
      </c>
      <c r="R20" s="375">
        <f t="shared" si="2"/>
        <v>0</v>
      </c>
      <c r="S20" s="2" t="s">
        <v>346</v>
      </c>
    </row>
    <row r="21" spans="1:20" ht="27.95" customHeight="1">
      <c r="A21" s="365" t="s">
        <v>29</v>
      </c>
      <c r="B21" s="85" t="s">
        <v>30</v>
      </c>
      <c r="C21" s="4">
        <f>'[26]3. 단계별 시설용량'!$G$19</f>
        <v>120</v>
      </c>
      <c r="D21" s="4"/>
      <c r="E21" s="305"/>
      <c r="F21" s="30">
        <f t="shared" si="6"/>
        <v>0</v>
      </c>
      <c r="G21" s="27"/>
      <c r="H21" s="27">
        <f>ROUND(D21*E21/1000,0)</f>
        <v>0</v>
      </c>
      <c r="I21" s="27">
        <f>'7. 소규모하수도_하수관거공사비'!C22</f>
        <v>0</v>
      </c>
      <c r="J21" s="27">
        <f>'7. 소규모하수도_하수관거공사비'!H22</f>
        <v>0</v>
      </c>
      <c r="K21" s="27">
        <f>'7. 소규모하수도_하수관거공사비'!G22</f>
        <v>0</v>
      </c>
      <c r="L21" s="27">
        <f>'7. 소규모하수도_하수관거공사비'!I22</f>
        <v>0</v>
      </c>
      <c r="M21" s="90">
        <f>'7. 소규모하수도_하수관거공사비'!L22</f>
        <v>0</v>
      </c>
      <c r="N21" s="380">
        <f>ROUND(F21*1.32/100,0)</f>
        <v>0</v>
      </c>
      <c r="O21" s="27">
        <f>ROUND($F21*2.65/100,0)</f>
        <v>0</v>
      </c>
      <c r="P21" s="27">
        <f>ROUND($F21*1.48/100,0)</f>
        <v>0</v>
      </c>
      <c r="Q21" s="27">
        <f>ROUND($F21*0.36/100,0)</f>
        <v>0</v>
      </c>
      <c r="R21" s="375">
        <f t="shared" si="2"/>
        <v>0</v>
      </c>
      <c r="S21" s="2" t="s">
        <v>346</v>
      </c>
    </row>
    <row r="22" spans="1:20" ht="27.95" customHeight="1">
      <c r="A22" s="481" t="s">
        <v>33</v>
      </c>
      <c r="B22" s="85" t="s">
        <v>34</v>
      </c>
      <c r="C22" s="4">
        <v>250</v>
      </c>
      <c r="D22" s="4">
        <f t="shared" si="3"/>
        <v>461</v>
      </c>
      <c r="E22" s="305">
        <v>100000</v>
      </c>
      <c r="F22" s="30">
        <f t="shared" si="6"/>
        <v>8573659</v>
      </c>
      <c r="G22" s="27">
        <f t="shared" ref="G22:G23" si="12">ROUND((5.13*C22^0.804+65.03*C22^0.386+18.44*C22^0.526+0.11*C22^0.941+54.35*C22^0.493)*1.335*1000,0)</f>
        <v>2891193</v>
      </c>
      <c r="H22" s="27">
        <f t="shared" ref="H22:H24" si="13">ROUND(D22*E22/1000,0)</f>
        <v>46100</v>
      </c>
      <c r="I22" s="27">
        <f>'7. 소규모하수도_하수관거공사비'!C23</f>
        <v>3908620</v>
      </c>
      <c r="J22" s="27">
        <f>'7. 소규모하수도_하수관거공사비'!H23</f>
        <v>1397800</v>
      </c>
      <c r="K22" s="27">
        <f>'7. 소규모하수도_하수관거공사비'!G23</f>
        <v>32000</v>
      </c>
      <c r="L22" s="27">
        <f>'7. 소규모하수도_하수관거공사비'!I23</f>
        <v>230806</v>
      </c>
      <c r="M22" s="90">
        <f>'7. 소규모하수도_하수관거공사비'!L23</f>
        <v>67140</v>
      </c>
      <c r="N22" s="380">
        <f>ROUND(F22*1.27/100,0)</f>
        <v>108885</v>
      </c>
      <c r="O22" s="27">
        <f>ROUND($F22*2.53/100,0)</f>
        <v>216914</v>
      </c>
      <c r="P22" s="27">
        <f>ROUND($F22*6.19/100,0)</f>
        <v>530709</v>
      </c>
      <c r="Q22" s="27">
        <f>ROUND($F22*0.25/100,0)</f>
        <v>21434</v>
      </c>
      <c r="R22" s="375">
        <f t="shared" si="2"/>
        <v>9451601</v>
      </c>
      <c r="S22" s="2" t="s">
        <v>346</v>
      </c>
      <c r="T22" s="268"/>
    </row>
    <row r="23" spans="1:20" ht="27.95" customHeight="1">
      <c r="A23" s="481"/>
      <c r="B23" s="85" t="s">
        <v>36</v>
      </c>
      <c r="C23" s="4">
        <f>'[26]3. 단계별 시설용량'!$G$21</f>
        <v>100</v>
      </c>
      <c r="D23" s="4">
        <f t="shared" si="3"/>
        <v>339</v>
      </c>
      <c r="E23" s="305">
        <v>100000</v>
      </c>
      <c r="F23" s="30">
        <f t="shared" si="6"/>
        <v>3881639</v>
      </c>
      <c r="G23" s="27">
        <f t="shared" si="12"/>
        <v>1782513</v>
      </c>
      <c r="H23" s="27">
        <f t="shared" si="13"/>
        <v>33900</v>
      </c>
      <c r="I23" s="27">
        <f>'7. 소규모하수도_하수관거공사비'!C24</f>
        <v>1446144</v>
      </c>
      <c r="J23" s="27">
        <f>'7. 소규모하수도_하수관거공사비'!H24</f>
        <v>510400</v>
      </c>
      <c r="K23" s="27">
        <f>'7. 소규모하수도_하수관거공사비'!G24</f>
        <v>0</v>
      </c>
      <c r="L23" s="27">
        <f>'7. 소규모하수도_하수관거공사비'!I24</f>
        <v>82882</v>
      </c>
      <c r="M23" s="90">
        <f>'7. 소규모하수도_하수관거공사비'!L24</f>
        <v>25800</v>
      </c>
      <c r="N23" s="380">
        <f>ROUND(F23*1.3/100,0)</f>
        <v>50461</v>
      </c>
      <c r="O23" s="27">
        <f>ROUND($F23*2.6/100,0)</f>
        <v>100923</v>
      </c>
      <c r="P23" s="27">
        <f>ROUND($F23*1.45/100,0)</f>
        <v>56284</v>
      </c>
      <c r="Q23" s="27">
        <f>ROUND($F23*0.27/100,0)</f>
        <v>10480</v>
      </c>
      <c r="R23" s="375">
        <f t="shared" si="2"/>
        <v>4099787</v>
      </c>
      <c r="S23" s="2" t="s">
        <v>347</v>
      </c>
    </row>
    <row r="24" spans="1:20" ht="27.95" customHeight="1">
      <c r="A24" s="366" t="s">
        <v>37</v>
      </c>
      <c r="B24" s="369" t="s">
        <v>38</v>
      </c>
      <c r="C24" s="377">
        <f>'[26]3. 단계별 시설용량'!$G$22</f>
        <v>160</v>
      </c>
      <c r="D24" s="377"/>
      <c r="E24" s="306"/>
      <c r="F24" s="31">
        <f t="shared" si="6"/>
        <v>0</v>
      </c>
      <c r="G24" s="28"/>
      <c r="H24" s="28">
        <f t="shared" si="13"/>
        <v>0</v>
      </c>
      <c r="I24" s="28">
        <f>'7. 소규모하수도_하수관거공사비'!C25</f>
        <v>0</v>
      </c>
      <c r="J24" s="28">
        <f>'7. 소규모하수도_하수관거공사비'!H25</f>
        <v>0</v>
      </c>
      <c r="K24" s="28">
        <f>'7. 소규모하수도_하수관거공사비'!G25</f>
        <v>0</v>
      </c>
      <c r="L24" s="28">
        <f>'7. 소규모하수도_하수관거공사비'!I25</f>
        <v>0</v>
      </c>
      <c r="M24" s="303">
        <f>'7. 소규모하수도_하수관거공사비'!L25</f>
        <v>0</v>
      </c>
      <c r="N24" s="381">
        <f>ROUND(F24*1.37/100,0)</f>
        <v>0</v>
      </c>
      <c r="O24" s="28">
        <f>ROUND($F24*2.75/100,0)</f>
        <v>0</v>
      </c>
      <c r="P24" s="28">
        <f>ROUND($F24*1.53/100,0)</f>
        <v>0</v>
      </c>
      <c r="Q24" s="28">
        <f>ROUND($F24*0.36/100,0)</f>
        <v>0</v>
      </c>
      <c r="R24" s="378">
        <f t="shared" si="2"/>
        <v>0</v>
      </c>
      <c r="S24" s="3" t="s">
        <v>7</v>
      </c>
    </row>
    <row r="25" spans="1:20" ht="27.95" customHeight="1">
      <c r="A25" s="35" t="s">
        <v>73</v>
      </c>
    </row>
    <row r="26" spans="1:20" ht="27.95" customHeight="1">
      <c r="A26" s="485" t="s">
        <v>324</v>
      </c>
      <c r="B26" s="485"/>
      <c r="C26" s="485"/>
      <c r="D26" s="485"/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</row>
    <row r="27" spans="1:20" ht="27.95" customHeight="1">
      <c r="A27" s="35" t="s">
        <v>325</v>
      </c>
    </row>
    <row r="28" spans="1:20" ht="27.95" customHeight="1">
      <c r="A28" s="35" t="s">
        <v>74</v>
      </c>
    </row>
  </sheetData>
  <mergeCells count="15">
    <mergeCell ref="A4:B4"/>
    <mergeCell ref="N2:Q2"/>
    <mergeCell ref="F2:M2"/>
    <mergeCell ref="E2:E3"/>
    <mergeCell ref="C2:D2"/>
    <mergeCell ref="S2:S3"/>
    <mergeCell ref="A2:A3"/>
    <mergeCell ref="B2:B3"/>
    <mergeCell ref="R2:R3"/>
    <mergeCell ref="A1:D1"/>
    <mergeCell ref="A26:S26"/>
    <mergeCell ref="A22:A23"/>
    <mergeCell ref="A5:A6"/>
    <mergeCell ref="A7:A9"/>
    <mergeCell ref="A10:A17"/>
  </mergeCells>
  <phoneticPr fontId="4" type="noConversion"/>
  <pageMargins left="0.70866141732283472" right="0.5118110236220472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O52"/>
  <sheetViews>
    <sheetView view="pageBreakPreview" topLeftCell="A19" zoomScale="85" zoomScaleNormal="85" zoomScaleSheetLayoutView="85" workbookViewId="0">
      <selection activeCell="H19" sqref="H19"/>
    </sheetView>
  </sheetViews>
  <sheetFormatPr defaultRowHeight="24" customHeight="1"/>
  <cols>
    <col min="1" max="12" width="12.5" style="20" customWidth="1"/>
    <col min="13" max="13" width="12.5" style="21" customWidth="1"/>
    <col min="14" max="14" width="9" style="20"/>
    <col min="15" max="15" width="10.125" style="20" bestFit="1" customWidth="1"/>
    <col min="16" max="16384" width="9" style="20"/>
  </cols>
  <sheetData>
    <row r="1" spans="1:15" ht="24" customHeight="1">
      <c r="A1" s="433" t="s">
        <v>336</v>
      </c>
      <c r="B1" s="433"/>
      <c r="C1" s="433"/>
      <c r="D1" s="433"/>
      <c r="I1" s="1"/>
      <c r="J1" s="1"/>
      <c r="K1" s="1"/>
      <c r="M1" s="120" t="s">
        <v>261</v>
      </c>
    </row>
    <row r="2" spans="1:15" ht="24" customHeight="1">
      <c r="A2" s="477" t="s">
        <v>0</v>
      </c>
      <c r="B2" s="479" t="s">
        <v>1</v>
      </c>
      <c r="C2" s="479" t="s">
        <v>69</v>
      </c>
      <c r="D2" s="479"/>
      <c r="E2" s="479"/>
      <c r="F2" s="479"/>
      <c r="G2" s="479" t="s">
        <v>68</v>
      </c>
      <c r="H2" s="479" t="s">
        <v>43</v>
      </c>
      <c r="I2" s="479" t="s">
        <v>213</v>
      </c>
      <c r="J2" s="479"/>
      <c r="K2" s="479"/>
      <c r="L2" s="479" t="s">
        <v>214</v>
      </c>
      <c r="M2" s="474" t="s">
        <v>63</v>
      </c>
    </row>
    <row r="3" spans="1:15" ht="24" customHeight="1">
      <c r="A3" s="504"/>
      <c r="B3" s="497"/>
      <c r="C3" s="262" t="s">
        <v>64</v>
      </c>
      <c r="D3" s="262" t="s">
        <v>65</v>
      </c>
      <c r="E3" s="262" t="s">
        <v>66</v>
      </c>
      <c r="F3" s="262" t="s">
        <v>67</v>
      </c>
      <c r="G3" s="497"/>
      <c r="H3" s="497"/>
      <c r="I3" s="262" t="s">
        <v>210</v>
      </c>
      <c r="J3" s="262" t="s">
        <v>211</v>
      </c>
      <c r="K3" s="262" t="s">
        <v>212</v>
      </c>
      <c r="L3" s="497"/>
      <c r="M3" s="505"/>
    </row>
    <row r="4" spans="1:15" ht="24" customHeight="1">
      <c r="A4" s="500" t="s">
        <v>72</v>
      </c>
      <c r="B4" s="501"/>
      <c r="C4" s="263"/>
      <c r="D4" s="100">
        <f>'2.하수관거 사업비_산출근거'!G37*1000</f>
        <v>173000</v>
      </c>
      <c r="E4" s="100">
        <f>'2.하수관거 사업비_산출근거'!G38*1000</f>
        <v>336000</v>
      </c>
      <c r="F4" s="100">
        <f>'2.하수관거 사업비_산출근거'!G39*1000</f>
        <v>361000</v>
      </c>
      <c r="G4" s="100">
        <f>'2.하수관거 사업비_산출근거'!G79*1000</f>
        <v>32000000</v>
      </c>
      <c r="H4" s="100">
        <f>ROUND('2.하수관거 사업비_산출근거'!G91*1000,-5)</f>
        <v>2900000</v>
      </c>
      <c r="I4" s="101"/>
      <c r="J4" s="100">
        <f>'2.하수관거 사업비_산출근거'!G98*1000</f>
        <v>20000</v>
      </c>
      <c r="K4" s="100">
        <f>'2.하수관거 사업비_산출근거'!G99*1000</f>
        <v>18000</v>
      </c>
      <c r="L4" s="100">
        <f>'2.하수관거 사업비_산출근거'!G96*1000</f>
        <v>6000000</v>
      </c>
      <c r="M4" s="102"/>
    </row>
    <row r="5" spans="1:15" ht="24" customHeight="1">
      <c r="A5" s="502" t="s">
        <v>3</v>
      </c>
      <c r="B5" s="503"/>
      <c r="C5" s="302">
        <f t="shared" ref="C5:L5" si="0">SUM(C6:C25)</f>
        <v>27022897</v>
      </c>
      <c r="D5" s="302">
        <f t="shared" si="0"/>
        <v>1124673</v>
      </c>
      <c r="E5" s="302">
        <f t="shared" si="0"/>
        <v>24350256</v>
      </c>
      <c r="F5" s="302">
        <f t="shared" si="0"/>
        <v>1547968</v>
      </c>
      <c r="G5" s="302">
        <f t="shared" si="0"/>
        <v>160000</v>
      </c>
      <c r="H5" s="302">
        <f t="shared" si="0"/>
        <v>7882200</v>
      </c>
      <c r="I5" s="302">
        <f t="shared" si="0"/>
        <v>1378652</v>
      </c>
      <c r="J5" s="302">
        <f t="shared" si="0"/>
        <v>470840</v>
      </c>
      <c r="K5" s="302">
        <f t="shared" si="0"/>
        <v>907812</v>
      </c>
      <c r="L5" s="302">
        <f t="shared" si="0"/>
        <v>460560</v>
      </c>
      <c r="M5" s="105"/>
      <c r="O5" s="23"/>
    </row>
    <row r="6" spans="1:15" ht="24" customHeight="1">
      <c r="A6" s="481" t="s">
        <v>4</v>
      </c>
      <c r="B6" s="85" t="s">
        <v>5</v>
      </c>
      <c r="C6" s="24">
        <f>SUM(D6:F6)</f>
        <v>986665</v>
      </c>
      <c r="D6" s="25">
        <f>ROUND(D31*D$4/1000,0)</f>
        <v>395305</v>
      </c>
      <c r="E6" s="25">
        <f t="shared" ref="E6:H6" si="1">ROUND(E31*E$4/1000,0)</f>
        <v>591360</v>
      </c>
      <c r="F6" s="25">
        <f t="shared" si="1"/>
        <v>0</v>
      </c>
      <c r="G6" s="25">
        <f t="shared" si="1"/>
        <v>32000</v>
      </c>
      <c r="H6" s="25">
        <f t="shared" si="1"/>
        <v>316100</v>
      </c>
      <c r="I6" s="25">
        <f>J6+K6</f>
        <v>70578</v>
      </c>
      <c r="J6" s="25">
        <f>ROUND(J31*J$4/1000,0)</f>
        <v>22860</v>
      </c>
      <c r="K6" s="25">
        <f>ROUND(K31*K$4/1000,0)</f>
        <v>47718</v>
      </c>
      <c r="L6" s="25">
        <f>ROUND(L31*L$4/1000,0)</f>
        <v>10560</v>
      </c>
      <c r="M6" s="81"/>
    </row>
    <row r="7" spans="1:15" ht="24" customHeight="1">
      <c r="A7" s="481"/>
      <c r="B7" s="85" t="s">
        <v>8</v>
      </c>
      <c r="C7" s="24">
        <f>SUM(D7:F7)</f>
        <v>1875268</v>
      </c>
      <c r="D7" s="25">
        <f t="shared" ref="D7:H7" si="2">ROUND(D32*D$4/1000,0)</f>
        <v>269188</v>
      </c>
      <c r="E7" s="25">
        <f t="shared" si="2"/>
        <v>1606080</v>
      </c>
      <c r="F7" s="25">
        <f t="shared" si="2"/>
        <v>0</v>
      </c>
      <c r="G7" s="25">
        <f t="shared" si="2"/>
        <v>32000</v>
      </c>
      <c r="H7" s="25">
        <f t="shared" si="2"/>
        <v>362500</v>
      </c>
      <c r="I7" s="25">
        <f>J7+K7</f>
        <v>134092</v>
      </c>
      <c r="J7" s="25">
        <f t="shared" ref="J7:L7" si="3">ROUND(J32*J$4/1000,0)</f>
        <v>38260</v>
      </c>
      <c r="K7" s="25">
        <f t="shared" si="3"/>
        <v>95832</v>
      </c>
      <c r="L7" s="25">
        <f t="shared" si="3"/>
        <v>28680</v>
      </c>
      <c r="M7" s="81"/>
    </row>
    <row r="8" spans="1:15" ht="24" customHeight="1">
      <c r="A8" s="481" t="s">
        <v>344</v>
      </c>
      <c r="B8" s="85" t="s">
        <v>9</v>
      </c>
      <c r="C8" s="24">
        <f>SUM(D8:F8)</f>
        <v>0</v>
      </c>
      <c r="D8" s="25">
        <f t="shared" ref="D8:H8" si="4">ROUND(D33*D$4/1000,0)</f>
        <v>0</v>
      </c>
      <c r="E8" s="25">
        <f t="shared" si="4"/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ref="I8:I22" si="5">J8+K8</f>
        <v>0</v>
      </c>
      <c r="J8" s="25">
        <f t="shared" ref="J8:L8" si="6">ROUND(J33*J$4/1000,0)</f>
        <v>0</v>
      </c>
      <c r="K8" s="25">
        <f t="shared" si="6"/>
        <v>0</v>
      </c>
      <c r="L8" s="25">
        <f t="shared" si="6"/>
        <v>0</v>
      </c>
      <c r="M8" s="81"/>
    </row>
    <row r="9" spans="1:15" ht="24" customHeight="1">
      <c r="A9" s="481"/>
      <c r="B9" s="85" t="s">
        <v>10</v>
      </c>
      <c r="C9" s="24">
        <f>SUM(D9:F9)</f>
        <v>3372680</v>
      </c>
      <c r="D9" s="25">
        <f t="shared" ref="D9:H9" si="7">ROUND(D34*D$4/1000,0)</f>
        <v>0</v>
      </c>
      <c r="E9" s="25">
        <f t="shared" si="7"/>
        <v>2849952</v>
      </c>
      <c r="F9" s="25">
        <f t="shared" si="7"/>
        <v>522728</v>
      </c>
      <c r="G9" s="25">
        <f t="shared" si="7"/>
        <v>0</v>
      </c>
      <c r="H9" s="25">
        <f t="shared" si="7"/>
        <v>513300</v>
      </c>
      <c r="I9" s="25">
        <f>J9+K9</f>
        <v>159846</v>
      </c>
      <c r="J9" s="25">
        <f t="shared" ref="J9:L9" si="8">ROUND(J34*J$4/1000,0)</f>
        <v>63240</v>
      </c>
      <c r="K9" s="25">
        <f t="shared" si="8"/>
        <v>96606</v>
      </c>
      <c r="L9" s="25">
        <f t="shared" si="8"/>
        <v>59580</v>
      </c>
      <c r="M9" s="81"/>
    </row>
    <row r="10" spans="1:15" ht="24" customHeight="1">
      <c r="A10" s="481"/>
      <c r="B10" s="85" t="s">
        <v>11</v>
      </c>
      <c r="C10" s="24">
        <f>SUM(D10:F10)</f>
        <v>3267936</v>
      </c>
      <c r="D10" s="25">
        <f t="shared" ref="D10:H10" si="9">ROUND(D35*D$4/1000,0)</f>
        <v>0</v>
      </c>
      <c r="E10" s="25">
        <f t="shared" si="9"/>
        <v>3267936</v>
      </c>
      <c r="F10" s="25">
        <f t="shared" si="9"/>
        <v>0</v>
      </c>
      <c r="G10" s="25">
        <f t="shared" si="9"/>
        <v>0</v>
      </c>
      <c r="H10" s="25">
        <f t="shared" si="9"/>
        <v>585800</v>
      </c>
      <c r="I10" s="25">
        <f>J10+K10</f>
        <v>159778</v>
      </c>
      <c r="J10" s="25">
        <f t="shared" ref="J10:L10" si="10">ROUND(J35*J$4/1000,0)</f>
        <v>61660</v>
      </c>
      <c r="K10" s="25">
        <f t="shared" si="10"/>
        <v>98118</v>
      </c>
      <c r="L10" s="25">
        <f t="shared" si="10"/>
        <v>58380</v>
      </c>
      <c r="M10" s="81"/>
    </row>
    <row r="11" spans="1:15" ht="24" customHeight="1">
      <c r="A11" s="481" t="s">
        <v>345</v>
      </c>
      <c r="B11" s="85" t="s">
        <v>12</v>
      </c>
      <c r="C11" s="24">
        <f t="shared" ref="C11:C22" si="11">SUM(D11:F11)</f>
        <v>0</v>
      </c>
      <c r="D11" s="25">
        <f t="shared" ref="D11:H11" si="12">ROUND(D36*D$4/1000,0)</f>
        <v>0</v>
      </c>
      <c r="E11" s="25">
        <f t="shared" si="12"/>
        <v>0</v>
      </c>
      <c r="F11" s="25">
        <f t="shared" si="12"/>
        <v>0</v>
      </c>
      <c r="G11" s="25">
        <f t="shared" si="12"/>
        <v>0</v>
      </c>
      <c r="H11" s="25">
        <f t="shared" si="12"/>
        <v>0</v>
      </c>
      <c r="I11" s="25">
        <f t="shared" si="5"/>
        <v>0</v>
      </c>
      <c r="J11" s="25">
        <f t="shared" ref="J11:L11" si="13">ROUND(J36*J$4/1000,0)</f>
        <v>0</v>
      </c>
      <c r="K11" s="25">
        <f t="shared" si="13"/>
        <v>0</v>
      </c>
      <c r="L11" s="25">
        <f t="shared" si="13"/>
        <v>0</v>
      </c>
      <c r="M11" s="81"/>
      <c r="O11" s="23"/>
    </row>
    <row r="12" spans="1:15" ht="24" customHeight="1">
      <c r="A12" s="481"/>
      <c r="B12" s="85" t="s">
        <v>13</v>
      </c>
      <c r="C12" s="24">
        <f t="shared" si="11"/>
        <v>2218272</v>
      </c>
      <c r="D12" s="25">
        <f t="shared" ref="D12:H12" si="14">ROUND(D37*D$4/1000,0)</f>
        <v>0</v>
      </c>
      <c r="E12" s="25">
        <f t="shared" si="14"/>
        <v>2218272</v>
      </c>
      <c r="F12" s="25">
        <f t="shared" si="14"/>
        <v>0</v>
      </c>
      <c r="G12" s="25">
        <f t="shared" si="14"/>
        <v>0</v>
      </c>
      <c r="H12" s="25">
        <f t="shared" si="14"/>
        <v>478500</v>
      </c>
      <c r="I12" s="25">
        <f t="shared" si="5"/>
        <v>112384</v>
      </c>
      <c r="J12" s="25">
        <f t="shared" ref="J12:L12" si="15">ROUND(J37*J$4/1000,0)</f>
        <v>41860</v>
      </c>
      <c r="K12" s="25">
        <f t="shared" si="15"/>
        <v>70524</v>
      </c>
      <c r="L12" s="25">
        <f t="shared" si="15"/>
        <v>39600</v>
      </c>
      <c r="M12" s="81"/>
    </row>
    <row r="13" spans="1:15" ht="24" customHeight="1">
      <c r="A13" s="481"/>
      <c r="B13" s="85" t="s">
        <v>14</v>
      </c>
      <c r="C13" s="24">
        <f t="shared" ref="C13:C18" si="16">SUM(D13:F13)</f>
        <v>0</v>
      </c>
      <c r="D13" s="25">
        <f t="shared" ref="D13:H13" si="17">ROUND(D38*D$4/1000,0)</f>
        <v>0</v>
      </c>
      <c r="E13" s="25">
        <f t="shared" si="17"/>
        <v>0</v>
      </c>
      <c r="F13" s="25">
        <f t="shared" si="17"/>
        <v>0</v>
      </c>
      <c r="G13" s="25">
        <f t="shared" si="17"/>
        <v>0</v>
      </c>
      <c r="H13" s="25">
        <f t="shared" si="17"/>
        <v>0</v>
      </c>
      <c r="I13" s="25">
        <f t="shared" ref="I13:I18" si="18">J13+K13</f>
        <v>0</v>
      </c>
      <c r="J13" s="25">
        <f t="shared" ref="J13:L13" si="19">ROUND(J38*J$4/1000,0)</f>
        <v>0</v>
      </c>
      <c r="K13" s="25">
        <f t="shared" si="19"/>
        <v>0</v>
      </c>
      <c r="L13" s="25">
        <f t="shared" si="19"/>
        <v>0</v>
      </c>
      <c r="M13" s="81"/>
    </row>
    <row r="14" spans="1:15" ht="24" customHeight="1">
      <c r="A14" s="481"/>
      <c r="B14" s="85" t="s">
        <v>15</v>
      </c>
      <c r="C14" s="24">
        <f t="shared" si="16"/>
        <v>0</v>
      </c>
      <c r="D14" s="25">
        <f t="shared" ref="D14:H14" si="20">ROUND(D39*D$4/1000,0)</f>
        <v>0</v>
      </c>
      <c r="E14" s="25">
        <f t="shared" si="20"/>
        <v>0</v>
      </c>
      <c r="F14" s="25">
        <f t="shared" si="20"/>
        <v>0</v>
      </c>
      <c r="G14" s="25">
        <f t="shared" si="20"/>
        <v>0</v>
      </c>
      <c r="H14" s="25">
        <f t="shared" si="20"/>
        <v>0</v>
      </c>
      <c r="I14" s="25">
        <f t="shared" si="18"/>
        <v>0</v>
      </c>
      <c r="J14" s="25">
        <f t="shared" ref="J14:L14" si="21">ROUND(J39*J$4/1000,0)</f>
        <v>0</v>
      </c>
      <c r="K14" s="25">
        <f t="shared" si="21"/>
        <v>0</v>
      </c>
      <c r="L14" s="25">
        <f t="shared" si="21"/>
        <v>0</v>
      </c>
      <c r="M14" s="81"/>
    </row>
    <row r="15" spans="1:15" ht="24" customHeight="1">
      <c r="A15" s="481"/>
      <c r="B15" s="85" t="s">
        <v>17</v>
      </c>
      <c r="C15" s="24">
        <f t="shared" si="16"/>
        <v>1692550</v>
      </c>
      <c r="D15" s="25">
        <f t="shared" ref="D15:H15" si="22">ROUND(D40*D$4/1000,0)</f>
        <v>143590</v>
      </c>
      <c r="E15" s="25">
        <f t="shared" si="22"/>
        <v>1548960</v>
      </c>
      <c r="F15" s="25">
        <f t="shared" si="22"/>
        <v>0</v>
      </c>
      <c r="G15" s="25">
        <f t="shared" si="22"/>
        <v>32000</v>
      </c>
      <c r="H15" s="25">
        <f t="shared" si="22"/>
        <v>638000</v>
      </c>
      <c r="I15" s="25">
        <f t="shared" si="18"/>
        <v>104632</v>
      </c>
      <c r="J15" s="25">
        <f t="shared" ref="J15:L15" si="23">ROUND(J40*J$4/1000,0)</f>
        <v>33460</v>
      </c>
      <c r="K15" s="25">
        <f t="shared" si="23"/>
        <v>71172</v>
      </c>
      <c r="L15" s="25">
        <f t="shared" si="23"/>
        <v>27660</v>
      </c>
      <c r="M15" s="81"/>
    </row>
    <row r="16" spans="1:15" ht="24" customHeight="1">
      <c r="A16" s="481"/>
      <c r="B16" s="85" t="s">
        <v>18</v>
      </c>
      <c r="C16" s="24">
        <f t="shared" si="16"/>
        <v>0</v>
      </c>
      <c r="D16" s="25">
        <f t="shared" ref="D16:H16" si="24">ROUND(D41*D$4/1000,0)</f>
        <v>0</v>
      </c>
      <c r="E16" s="25">
        <f t="shared" si="24"/>
        <v>0</v>
      </c>
      <c r="F16" s="25">
        <f t="shared" si="24"/>
        <v>0</v>
      </c>
      <c r="G16" s="25">
        <f t="shared" si="24"/>
        <v>0</v>
      </c>
      <c r="H16" s="25">
        <f t="shared" si="24"/>
        <v>0</v>
      </c>
      <c r="I16" s="25">
        <f t="shared" si="18"/>
        <v>0</v>
      </c>
      <c r="J16" s="25">
        <f t="shared" ref="J16:L16" si="25">ROUND(J41*J$4/1000,0)</f>
        <v>0</v>
      </c>
      <c r="K16" s="25">
        <f t="shared" si="25"/>
        <v>0</v>
      </c>
      <c r="L16" s="25">
        <f t="shared" si="25"/>
        <v>0</v>
      </c>
      <c r="M16" s="81"/>
    </row>
    <row r="17" spans="1:13" ht="24" customHeight="1">
      <c r="A17" s="481"/>
      <c r="B17" s="85" t="s">
        <v>19</v>
      </c>
      <c r="C17" s="24">
        <f t="shared" si="16"/>
        <v>481152</v>
      </c>
      <c r="D17" s="25">
        <f t="shared" ref="D17:H17" si="26">ROUND(D42*D$4/1000,0)</f>
        <v>0</v>
      </c>
      <c r="E17" s="25">
        <f t="shared" si="26"/>
        <v>481152</v>
      </c>
      <c r="F17" s="25">
        <f t="shared" si="26"/>
        <v>0</v>
      </c>
      <c r="G17" s="25">
        <f t="shared" si="26"/>
        <v>0</v>
      </c>
      <c r="H17" s="25">
        <f t="shared" si="26"/>
        <v>249400</v>
      </c>
      <c r="I17" s="25">
        <f t="shared" si="18"/>
        <v>31454</v>
      </c>
      <c r="J17" s="25">
        <f t="shared" ref="J17:L17" si="27">ROUND(J42*J$4/1000,0)</f>
        <v>9080</v>
      </c>
      <c r="K17" s="25">
        <f t="shared" si="27"/>
        <v>22374</v>
      </c>
      <c r="L17" s="25">
        <f t="shared" si="27"/>
        <v>8580</v>
      </c>
      <c r="M17" s="81"/>
    </row>
    <row r="18" spans="1:13" ht="24" customHeight="1">
      <c r="A18" s="481"/>
      <c r="B18" s="85" t="s">
        <v>20</v>
      </c>
      <c r="C18" s="24">
        <f t="shared" si="16"/>
        <v>455280</v>
      </c>
      <c r="D18" s="25">
        <f t="shared" ref="D18:H18" si="28">ROUND(D43*D$4/1000,0)</f>
        <v>0</v>
      </c>
      <c r="E18" s="25">
        <f t="shared" si="28"/>
        <v>455280</v>
      </c>
      <c r="F18" s="25">
        <f t="shared" si="28"/>
        <v>0</v>
      </c>
      <c r="G18" s="25">
        <f t="shared" si="28"/>
        <v>0</v>
      </c>
      <c r="H18" s="25">
        <f t="shared" si="28"/>
        <v>240700</v>
      </c>
      <c r="I18" s="25">
        <f t="shared" si="18"/>
        <v>29984</v>
      </c>
      <c r="J18" s="25">
        <f t="shared" ref="J18:L18" si="29">ROUND(J43*J$4/1000,0)</f>
        <v>8600</v>
      </c>
      <c r="K18" s="25">
        <f t="shared" si="29"/>
        <v>21384</v>
      </c>
      <c r="L18" s="25">
        <f t="shared" si="29"/>
        <v>8160</v>
      </c>
      <c r="M18" s="81"/>
    </row>
    <row r="19" spans="1:13" ht="24" customHeight="1">
      <c r="A19" s="495" t="s">
        <v>21</v>
      </c>
      <c r="B19" s="85" t="s">
        <v>348</v>
      </c>
      <c r="C19" s="24">
        <f t="shared" si="11"/>
        <v>7318330</v>
      </c>
      <c r="D19" s="25">
        <f t="shared" ref="D19:H19" si="30">ROUND(D44*D$4/1000,0)</f>
        <v>167810</v>
      </c>
      <c r="E19" s="25">
        <f t="shared" si="30"/>
        <v>6125280</v>
      </c>
      <c r="F19" s="25">
        <f t="shared" si="30"/>
        <v>1025240</v>
      </c>
      <c r="G19" s="25">
        <f t="shared" si="30"/>
        <v>32000</v>
      </c>
      <c r="H19" s="25">
        <f t="shared" si="30"/>
        <v>2589700</v>
      </c>
      <c r="I19" s="25">
        <f t="shared" si="5"/>
        <v>262216</v>
      </c>
      <c r="J19" s="25">
        <f t="shared" ref="J19:L19" si="31">ROUND(J44*J$4/1000,0)</f>
        <v>89200</v>
      </c>
      <c r="K19" s="25">
        <f t="shared" si="31"/>
        <v>173016</v>
      </c>
      <c r="L19" s="25">
        <f t="shared" si="31"/>
        <v>126420</v>
      </c>
      <c r="M19" s="81"/>
    </row>
    <row r="20" spans="1:13" ht="24" customHeight="1">
      <c r="A20" s="496"/>
      <c r="B20" s="85" t="s">
        <v>357</v>
      </c>
      <c r="C20" s="24">
        <f t="shared" si="11"/>
        <v>0</v>
      </c>
      <c r="D20" s="25">
        <f t="shared" ref="D20:H20" si="32">ROUND(D45*D$4/1000,0)</f>
        <v>0</v>
      </c>
      <c r="E20" s="25">
        <f t="shared" si="32"/>
        <v>0</v>
      </c>
      <c r="F20" s="25">
        <f t="shared" si="32"/>
        <v>0</v>
      </c>
      <c r="G20" s="25">
        <f t="shared" si="32"/>
        <v>0</v>
      </c>
      <c r="H20" s="25">
        <f t="shared" si="32"/>
        <v>0</v>
      </c>
      <c r="I20" s="25">
        <f t="shared" si="5"/>
        <v>0</v>
      </c>
      <c r="J20" s="25">
        <f t="shared" ref="J20:L20" si="33">ROUND(J45*J$4/1000,0)</f>
        <v>0</v>
      </c>
      <c r="K20" s="25">
        <f t="shared" si="33"/>
        <v>0</v>
      </c>
      <c r="L20" s="25">
        <f t="shared" si="33"/>
        <v>0</v>
      </c>
      <c r="M20" s="81"/>
    </row>
    <row r="21" spans="1:13" ht="24" customHeight="1">
      <c r="A21" s="365" t="s">
        <v>24</v>
      </c>
      <c r="B21" s="85" t="s">
        <v>25</v>
      </c>
      <c r="C21" s="24">
        <f t="shared" ref="C21" si="34">SUM(D21:F21)</f>
        <v>0</v>
      </c>
      <c r="D21" s="25">
        <f t="shared" ref="D21:H21" si="35">ROUND(D46*D$4/1000,0)</f>
        <v>0</v>
      </c>
      <c r="E21" s="25">
        <f t="shared" si="35"/>
        <v>0</v>
      </c>
      <c r="F21" s="25">
        <f t="shared" si="35"/>
        <v>0</v>
      </c>
      <c r="G21" s="25">
        <f t="shared" si="35"/>
        <v>0</v>
      </c>
      <c r="H21" s="25">
        <f t="shared" si="35"/>
        <v>0</v>
      </c>
      <c r="I21" s="25">
        <f t="shared" ref="I21" si="36">J21+K21</f>
        <v>0</v>
      </c>
      <c r="J21" s="25">
        <f t="shared" ref="J21:L21" si="37">ROUND(J46*J$4/1000,0)</f>
        <v>0</v>
      </c>
      <c r="K21" s="25">
        <f t="shared" si="37"/>
        <v>0</v>
      </c>
      <c r="L21" s="25">
        <f t="shared" si="37"/>
        <v>0</v>
      </c>
      <c r="M21" s="81"/>
    </row>
    <row r="22" spans="1:13" ht="24" customHeight="1">
      <c r="A22" s="365" t="s">
        <v>29</v>
      </c>
      <c r="B22" s="85" t="s">
        <v>30</v>
      </c>
      <c r="C22" s="24">
        <f t="shared" si="11"/>
        <v>0</v>
      </c>
      <c r="D22" s="25">
        <f t="shared" ref="D22:H22" si="38">ROUND(D47*D$4/1000,0)</f>
        <v>0</v>
      </c>
      <c r="E22" s="25">
        <f t="shared" si="38"/>
        <v>0</v>
      </c>
      <c r="F22" s="25">
        <f t="shared" si="38"/>
        <v>0</v>
      </c>
      <c r="G22" s="25">
        <f t="shared" si="38"/>
        <v>0</v>
      </c>
      <c r="H22" s="25">
        <f t="shared" si="38"/>
        <v>0</v>
      </c>
      <c r="I22" s="25">
        <f t="shared" si="5"/>
        <v>0</v>
      </c>
      <c r="J22" s="25">
        <f t="shared" ref="J22:L22" si="39">ROUND(J47*J$4/1000,0)</f>
        <v>0</v>
      </c>
      <c r="K22" s="25">
        <f t="shared" si="39"/>
        <v>0</v>
      </c>
      <c r="L22" s="25">
        <f t="shared" si="39"/>
        <v>0</v>
      </c>
      <c r="M22" s="81"/>
    </row>
    <row r="23" spans="1:13" ht="24" customHeight="1">
      <c r="A23" s="481" t="s">
        <v>33</v>
      </c>
      <c r="B23" s="85" t="s">
        <v>34</v>
      </c>
      <c r="C23" s="24">
        <f t="shared" ref="C23" si="40">SUM(D23:F23)</f>
        <v>3908620</v>
      </c>
      <c r="D23" s="25">
        <f t="shared" ref="D23:H23" si="41">ROUND(D48*D$4/1000,0)</f>
        <v>148780</v>
      </c>
      <c r="E23" s="25">
        <f t="shared" si="41"/>
        <v>3759840</v>
      </c>
      <c r="F23" s="25">
        <f t="shared" si="41"/>
        <v>0</v>
      </c>
      <c r="G23" s="25">
        <f t="shared" si="41"/>
        <v>32000</v>
      </c>
      <c r="H23" s="25">
        <f t="shared" si="41"/>
        <v>1397800</v>
      </c>
      <c r="I23" s="25">
        <f t="shared" ref="I23" si="42">J23+K23</f>
        <v>230806</v>
      </c>
      <c r="J23" s="25">
        <f t="shared" ref="J23:L23" si="43">ROUND(J48*J$4/1000,0)</f>
        <v>75340</v>
      </c>
      <c r="K23" s="25">
        <f t="shared" si="43"/>
        <v>155466</v>
      </c>
      <c r="L23" s="25">
        <f t="shared" si="43"/>
        <v>67140</v>
      </c>
      <c r="M23" s="81"/>
    </row>
    <row r="24" spans="1:13" ht="24" customHeight="1">
      <c r="A24" s="481"/>
      <c r="B24" s="85" t="s">
        <v>36</v>
      </c>
      <c r="C24" s="24">
        <f t="shared" ref="C24" si="44">SUM(D24:F24)</f>
        <v>1446144</v>
      </c>
      <c r="D24" s="25">
        <f t="shared" ref="D24:H25" si="45">ROUND(D49*D$4/1000,0)</f>
        <v>0</v>
      </c>
      <c r="E24" s="25">
        <f t="shared" si="45"/>
        <v>1446144</v>
      </c>
      <c r="F24" s="25">
        <f t="shared" si="45"/>
        <v>0</v>
      </c>
      <c r="G24" s="25">
        <f t="shared" si="45"/>
        <v>0</v>
      </c>
      <c r="H24" s="25">
        <f t="shared" si="45"/>
        <v>510400</v>
      </c>
      <c r="I24" s="25">
        <f t="shared" ref="I24" si="46">J24+K24</f>
        <v>82882</v>
      </c>
      <c r="J24" s="25">
        <f t="shared" ref="J24:L24" si="47">ROUND(J49*J$4/1000,0)</f>
        <v>27280</v>
      </c>
      <c r="K24" s="25">
        <f t="shared" si="47"/>
        <v>55602</v>
      </c>
      <c r="L24" s="25">
        <f t="shared" si="47"/>
        <v>25800</v>
      </c>
      <c r="M24" s="81"/>
    </row>
    <row r="25" spans="1:13" ht="24" customHeight="1">
      <c r="A25" s="366" t="s">
        <v>37</v>
      </c>
      <c r="B25" s="369" t="s">
        <v>38</v>
      </c>
      <c r="C25" s="82">
        <f t="shared" ref="C25" si="48">SUM(D25:F25)</f>
        <v>0</v>
      </c>
      <c r="D25" s="26">
        <f>ROUND(D50*D$4/1000,0)</f>
        <v>0</v>
      </c>
      <c r="E25" s="26">
        <f t="shared" si="45"/>
        <v>0</v>
      </c>
      <c r="F25" s="26">
        <f t="shared" si="45"/>
        <v>0</v>
      </c>
      <c r="G25" s="26">
        <f t="shared" si="45"/>
        <v>0</v>
      </c>
      <c r="H25" s="26">
        <f t="shared" si="45"/>
        <v>0</v>
      </c>
      <c r="I25" s="26">
        <f>J25+K25</f>
        <v>0</v>
      </c>
      <c r="J25" s="26">
        <f t="shared" ref="J25:L25" si="49">ROUND(J50*J$4/1000,0)</f>
        <v>0</v>
      </c>
      <c r="K25" s="26">
        <f t="shared" si="49"/>
        <v>0</v>
      </c>
      <c r="L25" s="26">
        <f t="shared" si="49"/>
        <v>0</v>
      </c>
      <c r="M25" s="83"/>
    </row>
    <row r="27" spans="1:13" ht="24" customHeight="1">
      <c r="A27" s="19" t="s">
        <v>62</v>
      </c>
      <c r="B27" s="1"/>
      <c r="C27" s="1"/>
      <c r="D27" s="140"/>
      <c r="I27" s="1"/>
      <c r="J27" s="1"/>
      <c r="K27" s="1"/>
    </row>
    <row r="28" spans="1:13" ht="24" customHeight="1">
      <c r="A28" s="477" t="s">
        <v>0</v>
      </c>
      <c r="B28" s="479" t="s">
        <v>1</v>
      </c>
      <c r="C28" s="479" t="s">
        <v>69</v>
      </c>
      <c r="D28" s="479"/>
      <c r="E28" s="479"/>
      <c r="F28" s="479"/>
      <c r="G28" s="479" t="s">
        <v>68</v>
      </c>
      <c r="H28" s="479" t="s">
        <v>43</v>
      </c>
      <c r="I28" s="479" t="s">
        <v>213</v>
      </c>
      <c r="J28" s="479"/>
      <c r="K28" s="479"/>
      <c r="L28" s="479" t="s">
        <v>214</v>
      </c>
      <c r="M28" s="474" t="s">
        <v>63</v>
      </c>
    </row>
    <row r="29" spans="1:13" ht="24" customHeight="1">
      <c r="A29" s="504"/>
      <c r="B29" s="497"/>
      <c r="C29" s="84" t="s">
        <v>64</v>
      </c>
      <c r="D29" s="84" t="s">
        <v>65</v>
      </c>
      <c r="E29" s="84" t="s">
        <v>66</v>
      </c>
      <c r="F29" s="84" t="s">
        <v>67</v>
      </c>
      <c r="G29" s="497"/>
      <c r="H29" s="497"/>
      <c r="I29" s="84" t="s">
        <v>210</v>
      </c>
      <c r="J29" s="84" t="s">
        <v>211</v>
      </c>
      <c r="K29" s="84" t="s">
        <v>212</v>
      </c>
      <c r="L29" s="497"/>
      <c r="M29" s="505"/>
    </row>
    <row r="30" spans="1:13" ht="24" customHeight="1">
      <c r="A30" s="498" t="s">
        <v>3</v>
      </c>
      <c r="B30" s="499"/>
      <c r="C30" s="103">
        <f t="shared" ref="C30:H30" si="50">SUM(C31:C50)</f>
        <v>83260</v>
      </c>
      <c r="D30" s="103">
        <f t="shared" si="50"/>
        <v>6501</v>
      </c>
      <c r="E30" s="103">
        <f t="shared" si="50"/>
        <v>72471</v>
      </c>
      <c r="F30" s="103">
        <f t="shared" si="50"/>
        <v>4288</v>
      </c>
      <c r="G30" s="103">
        <f t="shared" si="50"/>
        <v>5</v>
      </c>
      <c r="H30" s="103">
        <f t="shared" si="50"/>
        <v>2718</v>
      </c>
      <c r="I30" s="104"/>
      <c r="J30" s="103">
        <f>SUM(J31:J50)</f>
        <v>23542</v>
      </c>
      <c r="K30" s="103">
        <f>SUM(K31:K50)</f>
        <v>50434</v>
      </c>
      <c r="L30" s="103">
        <f>SUM(L31:L50)</f>
        <v>76.759999999999991</v>
      </c>
      <c r="M30" s="105"/>
    </row>
    <row r="31" spans="1:13" ht="24" customHeight="1">
      <c r="A31" s="481" t="s">
        <v>4</v>
      </c>
      <c r="B31" s="85" t="s">
        <v>5</v>
      </c>
      <c r="C31" s="86">
        <f>SUM(D31:F31)</f>
        <v>4045</v>
      </c>
      <c r="D31" s="370">
        <v>2285</v>
      </c>
      <c r="E31" s="370">
        <v>1760</v>
      </c>
      <c r="F31" s="370">
        <v>0</v>
      </c>
      <c r="G31" s="370">
        <v>1</v>
      </c>
      <c r="H31" s="370">
        <v>109</v>
      </c>
      <c r="I31" s="24"/>
      <c r="J31" s="24">
        <v>1143</v>
      </c>
      <c r="K31" s="24">
        <v>2651</v>
      </c>
      <c r="L31" s="87">
        <f>ROUND((E31+F31)/1000,2)</f>
        <v>1.76</v>
      </c>
      <c r="M31" s="81"/>
    </row>
    <row r="32" spans="1:13" ht="24" customHeight="1">
      <c r="A32" s="481"/>
      <c r="B32" s="85" t="s">
        <v>8</v>
      </c>
      <c r="C32" s="86">
        <f t="shared" ref="C32:C50" si="51">SUM(D32:F32)</f>
        <v>6336</v>
      </c>
      <c r="D32" s="370">
        <f>943+613</f>
        <v>1556</v>
      </c>
      <c r="E32" s="370">
        <v>4780</v>
      </c>
      <c r="F32" s="370"/>
      <c r="G32" s="370">
        <v>1</v>
      </c>
      <c r="H32" s="371">
        <v>125</v>
      </c>
      <c r="I32" s="24"/>
      <c r="J32" s="24">
        <v>1913</v>
      </c>
      <c r="K32" s="24">
        <v>5324</v>
      </c>
      <c r="L32" s="87">
        <f t="shared" ref="L32:L50" si="52">ROUND((E32+F32)/1000,2)</f>
        <v>4.78</v>
      </c>
      <c r="M32" s="81"/>
    </row>
    <row r="33" spans="1:13" ht="24" customHeight="1">
      <c r="A33" s="481" t="s">
        <v>344</v>
      </c>
      <c r="B33" s="85" t="s">
        <v>9</v>
      </c>
      <c r="C33" s="86">
        <f t="shared" si="51"/>
        <v>0</v>
      </c>
      <c r="D33" s="370"/>
      <c r="E33" s="370"/>
      <c r="F33" s="370"/>
      <c r="G33" s="370"/>
      <c r="H33" s="371"/>
      <c r="I33" s="22"/>
      <c r="J33" s="22">
        <v>0</v>
      </c>
      <c r="K33" s="22">
        <v>0</v>
      </c>
      <c r="L33" s="87">
        <f t="shared" si="52"/>
        <v>0</v>
      </c>
      <c r="M33" s="81"/>
    </row>
    <row r="34" spans="1:13" ht="24" customHeight="1">
      <c r="A34" s="481"/>
      <c r="B34" s="85" t="s">
        <v>10</v>
      </c>
      <c r="C34" s="86">
        <f t="shared" si="51"/>
        <v>9930</v>
      </c>
      <c r="D34" s="370">
        <v>0</v>
      </c>
      <c r="E34" s="370">
        <v>8482</v>
      </c>
      <c r="F34" s="370">
        <v>1448</v>
      </c>
      <c r="G34" s="370">
        <v>0</v>
      </c>
      <c r="H34" s="371">
        <v>177</v>
      </c>
      <c r="I34" s="22"/>
      <c r="J34" s="22">
        <v>3162</v>
      </c>
      <c r="K34" s="22">
        <v>5367</v>
      </c>
      <c r="L34" s="87">
        <f t="shared" si="52"/>
        <v>9.93</v>
      </c>
      <c r="M34" s="81"/>
    </row>
    <row r="35" spans="1:13" ht="24" customHeight="1">
      <c r="A35" s="481"/>
      <c r="B35" s="85" t="s">
        <v>11</v>
      </c>
      <c r="C35" s="86">
        <f t="shared" si="51"/>
        <v>9726</v>
      </c>
      <c r="D35" s="370">
        <v>0</v>
      </c>
      <c r="E35" s="370">
        <v>9726</v>
      </c>
      <c r="F35" s="370">
        <v>0</v>
      </c>
      <c r="G35" s="370">
        <v>0</v>
      </c>
      <c r="H35" s="371">
        <v>202</v>
      </c>
      <c r="I35" s="22"/>
      <c r="J35" s="22">
        <v>3083</v>
      </c>
      <c r="K35" s="22">
        <v>5451</v>
      </c>
      <c r="L35" s="87">
        <f t="shared" si="52"/>
        <v>9.73</v>
      </c>
      <c r="M35" s="81"/>
    </row>
    <row r="36" spans="1:13" ht="24" customHeight="1">
      <c r="A36" s="481" t="s">
        <v>345</v>
      </c>
      <c r="B36" s="85" t="s">
        <v>12</v>
      </c>
      <c r="C36" s="86">
        <f t="shared" si="51"/>
        <v>0</v>
      </c>
      <c r="D36" s="370"/>
      <c r="E36" s="370"/>
      <c r="F36" s="370"/>
      <c r="G36" s="370"/>
      <c r="H36" s="371"/>
      <c r="I36" s="22"/>
      <c r="J36" s="22">
        <v>0</v>
      </c>
      <c r="K36" s="22">
        <v>0</v>
      </c>
      <c r="L36" s="87">
        <f t="shared" si="52"/>
        <v>0</v>
      </c>
      <c r="M36" s="81"/>
    </row>
    <row r="37" spans="1:13" ht="24" customHeight="1">
      <c r="A37" s="481"/>
      <c r="B37" s="85" t="s">
        <v>13</v>
      </c>
      <c r="C37" s="86">
        <f t="shared" si="51"/>
        <v>6602</v>
      </c>
      <c r="D37" s="370">
        <v>0</v>
      </c>
      <c r="E37" s="370">
        <v>6602</v>
      </c>
      <c r="F37" s="370">
        <v>0</v>
      </c>
      <c r="G37" s="370">
        <v>0</v>
      </c>
      <c r="H37" s="371">
        <v>165</v>
      </c>
      <c r="I37" s="24"/>
      <c r="J37" s="25">
        <v>2093</v>
      </c>
      <c r="K37" s="25">
        <v>3918</v>
      </c>
      <c r="L37" s="87">
        <f t="shared" si="52"/>
        <v>6.6</v>
      </c>
      <c r="M37" s="81"/>
    </row>
    <row r="38" spans="1:13" ht="24" customHeight="1">
      <c r="A38" s="481"/>
      <c r="B38" s="85" t="s">
        <v>14</v>
      </c>
      <c r="C38" s="86">
        <f t="shared" si="51"/>
        <v>0</v>
      </c>
      <c r="D38" s="370"/>
      <c r="E38" s="370"/>
      <c r="F38" s="370"/>
      <c r="G38" s="370"/>
      <c r="H38" s="371"/>
      <c r="I38" s="24"/>
      <c r="J38" s="25"/>
      <c r="K38" s="25"/>
      <c r="L38" s="87"/>
      <c r="M38" s="81"/>
    </row>
    <row r="39" spans="1:13" ht="24" customHeight="1">
      <c r="A39" s="481"/>
      <c r="B39" s="85" t="s">
        <v>15</v>
      </c>
      <c r="C39" s="86">
        <f t="shared" si="51"/>
        <v>0</v>
      </c>
      <c r="D39" s="370"/>
      <c r="E39" s="370"/>
      <c r="F39" s="370"/>
      <c r="G39" s="370"/>
      <c r="H39" s="371"/>
      <c r="I39" s="24"/>
      <c r="J39" s="25"/>
      <c r="K39" s="25"/>
      <c r="L39" s="87"/>
      <c r="M39" s="81"/>
    </row>
    <row r="40" spans="1:13" ht="24" customHeight="1">
      <c r="A40" s="481"/>
      <c r="B40" s="85" t="s">
        <v>17</v>
      </c>
      <c r="C40" s="86">
        <f t="shared" si="51"/>
        <v>5440</v>
      </c>
      <c r="D40" s="370">
        <v>830</v>
      </c>
      <c r="E40" s="370">
        <v>4610</v>
      </c>
      <c r="F40" s="370"/>
      <c r="G40" s="370">
        <v>1</v>
      </c>
      <c r="H40" s="371">
        <v>220</v>
      </c>
      <c r="I40" s="24"/>
      <c r="J40" s="25">
        <v>1673</v>
      </c>
      <c r="K40" s="25">
        <v>3954</v>
      </c>
      <c r="L40" s="87">
        <f t="shared" si="52"/>
        <v>4.6100000000000003</v>
      </c>
      <c r="M40" s="81"/>
    </row>
    <row r="41" spans="1:13" ht="24" customHeight="1">
      <c r="A41" s="481"/>
      <c r="B41" s="85" t="s">
        <v>18</v>
      </c>
      <c r="C41" s="86">
        <f t="shared" si="51"/>
        <v>0</v>
      </c>
      <c r="D41" s="370"/>
      <c r="E41" s="370"/>
      <c r="F41" s="370"/>
      <c r="G41" s="370"/>
      <c r="H41" s="371"/>
      <c r="I41" s="24"/>
      <c r="J41" s="25">
        <v>0</v>
      </c>
      <c r="K41" s="25">
        <v>0</v>
      </c>
      <c r="L41" s="87">
        <f t="shared" si="52"/>
        <v>0</v>
      </c>
      <c r="M41" s="81"/>
    </row>
    <row r="42" spans="1:13" ht="24" customHeight="1">
      <c r="A42" s="481"/>
      <c r="B42" s="85" t="s">
        <v>19</v>
      </c>
      <c r="C42" s="86">
        <f t="shared" si="51"/>
        <v>1432</v>
      </c>
      <c r="D42" s="370">
        <v>0</v>
      </c>
      <c r="E42" s="370">
        <v>1432</v>
      </c>
      <c r="F42" s="370">
        <v>0</v>
      </c>
      <c r="G42" s="370">
        <v>0</v>
      </c>
      <c r="H42" s="370">
        <v>86</v>
      </c>
      <c r="I42" s="24"/>
      <c r="J42" s="25">
        <v>454</v>
      </c>
      <c r="K42" s="25">
        <v>1243</v>
      </c>
      <c r="L42" s="87">
        <f t="shared" si="52"/>
        <v>1.43</v>
      </c>
      <c r="M42" s="81"/>
    </row>
    <row r="43" spans="1:13" ht="24" customHeight="1">
      <c r="A43" s="481"/>
      <c r="B43" s="85" t="s">
        <v>20</v>
      </c>
      <c r="C43" s="86">
        <f t="shared" si="51"/>
        <v>1355</v>
      </c>
      <c r="D43" s="370">
        <v>0</v>
      </c>
      <c r="E43" s="370">
        <v>1355</v>
      </c>
      <c r="F43" s="370">
        <v>0</v>
      </c>
      <c r="G43" s="370">
        <v>0</v>
      </c>
      <c r="H43" s="370">
        <v>83</v>
      </c>
      <c r="I43" s="24"/>
      <c r="J43" s="25">
        <v>430</v>
      </c>
      <c r="K43" s="25">
        <v>1188</v>
      </c>
      <c r="L43" s="87">
        <f t="shared" si="52"/>
        <v>1.36</v>
      </c>
      <c r="M43" s="81"/>
    </row>
    <row r="44" spans="1:13" ht="24" customHeight="1">
      <c r="A44" s="365" t="s">
        <v>21</v>
      </c>
      <c r="B44" s="85" t="s">
        <v>348</v>
      </c>
      <c r="C44" s="86">
        <f t="shared" si="51"/>
        <v>22040</v>
      </c>
      <c r="D44" s="370">
        <v>970</v>
      </c>
      <c r="E44" s="370">
        <v>18230</v>
      </c>
      <c r="F44" s="370">
        <v>2840</v>
      </c>
      <c r="G44" s="370">
        <v>1</v>
      </c>
      <c r="H44" s="371">
        <v>893</v>
      </c>
      <c r="I44" s="24"/>
      <c r="J44" s="25">
        <v>4460</v>
      </c>
      <c r="K44" s="25">
        <v>9612</v>
      </c>
      <c r="L44" s="87">
        <f t="shared" si="52"/>
        <v>21.07</v>
      </c>
      <c r="M44" s="81"/>
    </row>
    <row r="45" spans="1:13" ht="24" customHeight="1">
      <c r="A45" s="392" t="s">
        <v>356</v>
      </c>
      <c r="B45" s="85" t="s">
        <v>357</v>
      </c>
      <c r="C45" s="86">
        <f t="shared" si="51"/>
        <v>0</v>
      </c>
      <c r="D45" s="370">
        <v>0</v>
      </c>
      <c r="E45" s="370">
        <v>0</v>
      </c>
      <c r="F45" s="370"/>
      <c r="G45" s="370">
        <v>0</v>
      </c>
      <c r="H45" s="370">
        <v>0</v>
      </c>
      <c r="I45" s="24"/>
      <c r="J45" s="25"/>
      <c r="K45" s="25"/>
      <c r="L45" s="87"/>
      <c r="M45" s="81"/>
    </row>
    <row r="46" spans="1:13" ht="24" customHeight="1">
      <c r="A46" s="365" t="s">
        <v>24</v>
      </c>
      <c r="B46" s="85" t="s">
        <v>25</v>
      </c>
      <c r="C46" s="86">
        <f t="shared" si="51"/>
        <v>0</v>
      </c>
      <c r="D46" s="370"/>
      <c r="E46" s="370"/>
      <c r="F46" s="370"/>
      <c r="G46" s="370"/>
      <c r="H46" s="371"/>
      <c r="I46" s="24"/>
      <c r="J46" s="25">
        <v>0</v>
      </c>
      <c r="K46" s="25">
        <v>0</v>
      </c>
      <c r="L46" s="87">
        <f t="shared" si="52"/>
        <v>0</v>
      </c>
      <c r="M46" s="81"/>
    </row>
    <row r="47" spans="1:13" ht="24" customHeight="1">
      <c r="A47" s="365" t="s">
        <v>29</v>
      </c>
      <c r="B47" s="85" t="s">
        <v>30</v>
      </c>
      <c r="C47" s="86">
        <f t="shared" si="51"/>
        <v>0</v>
      </c>
      <c r="D47" s="370"/>
      <c r="E47" s="370"/>
      <c r="F47" s="370"/>
      <c r="G47" s="370"/>
      <c r="H47" s="371"/>
      <c r="I47" s="24"/>
      <c r="J47" s="25"/>
      <c r="K47" s="25"/>
      <c r="L47" s="87"/>
      <c r="M47" s="81"/>
    </row>
    <row r="48" spans="1:13" ht="24" customHeight="1">
      <c r="A48" s="481" t="s">
        <v>33</v>
      </c>
      <c r="B48" s="85" t="s">
        <v>34</v>
      </c>
      <c r="C48" s="86">
        <f t="shared" si="51"/>
        <v>12050</v>
      </c>
      <c r="D48" s="370">
        <v>860</v>
      </c>
      <c r="E48" s="370">
        <v>11190</v>
      </c>
      <c r="F48" s="370"/>
      <c r="G48" s="370">
        <v>1</v>
      </c>
      <c r="H48" s="371">
        <v>482</v>
      </c>
      <c r="I48" s="24"/>
      <c r="J48" s="25">
        <v>3767</v>
      </c>
      <c r="K48" s="25">
        <v>8637</v>
      </c>
      <c r="L48" s="87">
        <f t="shared" si="52"/>
        <v>11.19</v>
      </c>
      <c r="M48" s="81"/>
    </row>
    <row r="49" spans="1:13" ht="24" customHeight="1">
      <c r="A49" s="481"/>
      <c r="B49" s="85" t="s">
        <v>36</v>
      </c>
      <c r="C49" s="86">
        <f t="shared" si="51"/>
        <v>4304</v>
      </c>
      <c r="D49" s="370">
        <v>0</v>
      </c>
      <c r="E49" s="370">
        <v>4304</v>
      </c>
      <c r="F49" s="370">
        <v>0</v>
      </c>
      <c r="G49" s="370">
        <v>0</v>
      </c>
      <c r="H49" s="370">
        <v>176</v>
      </c>
      <c r="I49" s="24"/>
      <c r="J49" s="25">
        <v>1364</v>
      </c>
      <c r="K49" s="25">
        <v>3089</v>
      </c>
      <c r="L49" s="87">
        <f t="shared" si="52"/>
        <v>4.3</v>
      </c>
      <c r="M49" s="81"/>
    </row>
    <row r="50" spans="1:13" ht="24" customHeight="1">
      <c r="A50" s="366" t="s">
        <v>37</v>
      </c>
      <c r="B50" s="369" t="s">
        <v>38</v>
      </c>
      <c r="C50" s="86">
        <f t="shared" si="51"/>
        <v>0</v>
      </c>
      <c r="D50" s="372"/>
      <c r="E50" s="372"/>
      <c r="F50" s="372"/>
      <c r="G50" s="372"/>
      <c r="H50" s="373"/>
      <c r="I50" s="24"/>
      <c r="J50" s="25">
        <v>0</v>
      </c>
      <c r="K50" s="25">
        <v>0</v>
      </c>
      <c r="L50" s="87">
        <f t="shared" si="52"/>
        <v>0</v>
      </c>
      <c r="M50" s="81"/>
    </row>
    <row r="52" spans="1:13" ht="24" customHeight="1">
      <c r="I52" s="20">
        <f>22408-3350</f>
        <v>19058</v>
      </c>
    </row>
  </sheetData>
  <mergeCells count="29">
    <mergeCell ref="A1:D1"/>
    <mergeCell ref="A2:A3"/>
    <mergeCell ref="B2:B3"/>
    <mergeCell ref="M2:M3"/>
    <mergeCell ref="A28:A29"/>
    <mergeCell ref="B28:B29"/>
    <mergeCell ref="G2:G3"/>
    <mergeCell ref="H2:H3"/>
    <mergeCell ref="C2:F2"/>
    <mergeCell ref="I2:K2"/>
    <mergeCell ref="M28:M29"/>
    <mergeCell ref="L2:L3"/>
    <mergeCell ref="C28:F28"/>
    <mergeCell ref="G28:G29"/>
    <mergeCell ref="H28:H29"/>
    <mergeCell ref="I28:K28"/>
    <mergeCell ref="L28:L29"/>
    <mergeCell ref="A30:B30"/>
    <mergeCell ref="A31:A32"/>
    <mergeCell ref="A4:B4"/>
    <mergeCell ref="A5:B5"/>
    <mergeCell ref="A6:A7"/>
    <mergeCell ref="A8:A10"/>
    <mergeCell ref="A11:A18"/>
    <mergeCell ref="A33:A35"/>
    <mergeCell ref="A36:A43"/>
    <mergeCell ref="A48:A49"/>
    <mergeCell ref="A23:A24"/>
    <mergeCell ref="A19:A2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L21"/>
  <sheetViews>
    <sheetView view="pageBreakPreview" zoomScale="85" zoomScaleNormal="100" zoomScaleSheetLayoutView="85" workbookViewId="0">
      <selection activeCell="E12" sqref="E12"/>
    </sheetView>
  </sheetViews>
  <sheetFormatPr defaultRowHeight="20.100000000000001" customHeight="1"/>
  <cols>
    <col min="1" max="1" width="12" style="99" customWidth="1"/>
    <col min="2" max="2" width="19.125" style="99" customWidth="1"/>
    <col min="3" max="3" width="10.875" style="99" customWidth="1"/>
    <col min="4" max="4" width="10.125" style="99" customWidth="1"/>
    <col min="5" max="5" width="27.625" style="99" customWidth="1"/>
    <col min="6" max="16384" width="9" style="99"/>
  </cols>
  <sheetData>
    <row r="1" spans="1:12" ht="20.100000000000001" customHeight="1">
      <c r="A1" s="433" t="s">
        <v>337</v>
      </c>
      <c r="B1" s="433"/>
      <c r="C1" s="433"/>
      <c r="D1" s="433"/>
    </row>
    <row r="2" spans="1:12" ht="20.100000000000001" customHeight="1">
      <c r="A2" s="508" t="s">
        <v>0</v>
      </c>
      <c r="B2" s="510" t="s">
        <v>1</v>
      </c>
      <c r="C2" s="513" t="s">
        <v>217</v>
      </c>
      <c r="D2" s="515" t="s">
        <v>218</v>
      </c>
      <c r="E2" s="517" t="s">
        <v>216</v>
      </c>
    </row>
    <row r="3" spans="1:12" ht="20.100000000000001" customHeight="1">
      <c r="A3" s="509"/>
      <c r="B3" s="511"/>
      <c r="C3" s="514"/>
      <c r="D3" s="516"/>
      <c r="E3" s="518"/>
    </row>
    <row r="4" spans="1:12" ht="20.100000000000001" customHeight="1">
      <c r="A4" s="506" t="s">
        <v>3</v>
      </c>
      <c r="B4" s="512"/>
      <c r="C4" s="92"/>
      <c r="D4" s="93"/>
      <c r="E4" s="94"/>
    </row>
    <row r="5" spans="1:12" ht="20.100000000000001" customHeight="1">
      <c r="A5" s="331" t="s">
        <v>338</v>
      </c>
      <c r="B5" s="332" t="s">
        <v>8</v>
      </c>
      <c r="C5" s="92">
        <v>10000</v>
      </c>
      <c r="D5" s="93" t="s">
        <v>219</v>
      </c>
      <c r="E5" s="94"/>
    </row>
    <row r="6" spans="1:12" ht="20.100000000000001" customHeight="1">
      <c r="A6" s="506" t="s">
        <v>339</v>
      </c>
      <c r="B6" s="332" t="s">
        <v>10</v>
      </c>
      <c r="C6" s="92">
        <v>10500</v>
      </c>
      <c r="D6" s="93" t="s">
        <v>219</v>
      </c>
      <c r="E6" s="94" t="s">
        <v>220</v>
      </c>
    </row>
    <row r="7" spans="1:12" ht="20.100000000000001" customHeight="1">
      <c r="A7" s="506"/>
      <c r="B7" s="332" t="s">
        <v>11</v>
      </c>
      <c r="C7" s="92">
        <v>9400</v>
      </c>
      <c r="D7" s="93" t="s">
        <v>219</v>
      </c>
      <c r="E7" s="94" t="s">
        <v>221</v>
      </c>
    </row>
    <row r="8" spans="1:12" ht="20.100000000000001" customHeight="1">
      <c r="A8" s="506" t="s">
        <v>340</v>
      </c>
      <c r="B8" s="332" t="s">
        <v>13</v>
      </c>
      <c r="C8" s="92">
        <v>18000</v>
      </c>
      <c r="D8" s="93" t="s">
        <v>222</v>
      </c>
      <c r="E8" s="94" t="s">
        <v>223</v>
      </c>
    </row>
    <row r="9" spans="1:12" ht="20.100000000000001" customHeight="1">
      <c r="A9" s="506"/>
      <c r="B9" s="332" t="s">
        <v>16</v>
      </c>
      <c r="C9" s="92">
        <v>33000</v>
      </c>
      <c r="D9" s="93" t="s">
        <v>219</v>
      </c>
      <c r="E9" s="94" t="s">
        <v>224</v>
      </c>
    </row>
    <row r="10" spans="1:12" ht="20.100000000000001" customHeight="1">
      <c r="A10" s="506"/>
      <c r="B10" s="332" t="s">
        <v>273</v>
      </c>
      <c r="C10" s="92">
        <v>33000</v>
      </c>
      <c r="D10" s="93" t="s">
        <v>274</v>
      </c>
      <c r="E10" s="94"/>
    </row>
    <row r="11" spans="1:12" ht="20.100000000000001" customHeight="1">
      <c r="A11" s="506"/>
      <c r="B11" s="332" t="s">
        <v>19</v>
      </c>
      <c r="C11" s="92">
        <v>16000</v>
      </c>
      <c r="D11" s="93" t="s">
        <v>225</v>
      </c>
      <c r="E11" s="94" t="s">
        <v>226</v>
      </c>
    </row>
    <row r="12" spans="1:12" ht="20.100000000000001" customHeight="1">
      <c r="A12" s="506"/>
      <c r="B12" s="332" t="s">
        <v>20</v>
      </c>
      <c r="C12" s="92">
        <v>17000</v>
      </c>
      <c r="D12" s="93" t="s">
        <v>227</v>
      </c>
      <c r="E12" s="94" t="s">
        <v>239</v>
      </c>
      <c r="I12" s="433"/>
      <c r="J12" s="433"/>
      <c r="K12" s="433"/>
      <c r="L12" s="433"/>
    </row>
    <row r="13" spans="1:12" ht="20.100000000000001" customHeight="1">
      <c r="A13" s="506" t="s">
        <v>21</v>
      </c>
      <c r="B13" s="332" t="s">
        <v>22</v>
      </c>
      <c r="C13" s="92">
        <v>29500</v>
      </c>
      <c r="D13" s="93" t="s">
        <v>228</v>
      </c>
      <c r="E13" s="94" t="s">
        <v>229</v>
      </c>
    </row>
    <row r="14" spans="1:12" ht="20.100000000000001" customHeight="1">
      <c r="A14" s="506"/>
      <c r="B14" s="332" t="s">
        <v>23</v>
      </c>
      <c r="C14" s="92">
        <v>11000</v>
      </c>
      <c r="D14" s="93" t="s">
        <v>230</v>
      </c>
      <c r="E14" s="94" t="s">
        <v>231</v>
      </c>
    </row>
    <row r="15" spans="1:12" ht="20.100000000000001" customHeight="1">
      <c r="A15" s="506" t="s">
        <v>26</v>
      </c>
      <c r="B15" s="332" t="s">
        <v>27</v>
      </c>
      <c r="C15" s="92">
        <v>13000</v>
      </c>
      <c r="D15" s="93" t="s">
        <v>230</v>
      </c>
      <c r="E15" s="94" t="s">
        <v>232</v>
      </c>
    </row>
    <row r="16" spans="1:12" ht="20.100000000000001" customHeight="1">
      <c r="A16" s="506"/>
      <c r="B16" s="332" t="s">
        <v>28</v>
      </c>
      <c r="C16" s="92">
        <v>13000</v>
      </c>
      <c r="D16" s="93" t="s">
        <v>222</v>
      </c>
      <c r="E16" s="94" t="s">
        <v>233</v>
      </c>
    </row>
    <row r="17" spans="1:5" ht="20.100000000000001" customHeight="1">
      <c r="A17" s="506" t="s">
        <v>341</v>
      </c>
      <c r="B17" s="332" t="s">
        <v>31</v>
      </c>
      <c r="C17" s="92">
        <v>8600</v>
      </c>
      <c r="D17" s="93" t="s">
        <v>219</v>
      </c>
      <c r="E17" s="94" t="s">
        <v>234</v>
      </c>
    </row>
    <row r="18" spans="1:5" ht="20.100000000000001" customHeight="1">
      <c r="A18" s="506"/>
      <c r="B18" s="332" t="s">
        <v>32</v>
      </c>
      <c r="C18" s="92">
        <v>8400</v>
      </c>
      <c r="D18" s="93" t="s">
        <v>219</v>
      </c>
      <c r="E18" s="94" t="s">
        <v>235</v>
      </c>
    </row>
    <row r="19" spans="1:5" ht="20.100000000000001" customHeight="1">
      <c r="A19" s="506" t="s">
        <v>33</v>
      </c>
      <c r="B19" s="332" t="s">
        <v>34</v>
      </c>
      <c r="C19" s="92">
        <v>9100</v>
      </c>
      <c r="D19" s="93" t="s">
        <v>219</v>
      </c>
      <c r="E19" s="94" t="s">
        <v>236</v>
      </c>
    </row>
    <row r="20" spans="1:5" ht="20.100000000000001" customHeight="1">
      <c r="A20" s="506"/>
      <c r="B20" s="332" t="s">
        <v>35</v>
      </c>
      <c r="C20" s="92">
        <v>9500</v>
      </c>
      <c r="D20" s="93" t="s">
        <v>219</v>
      </c>
      <c r="E20" s="94" t="s">
        <v>237</v>
      </c>
    </row>
    <row r="21" spans="1:5" ht="20.100000000000001" customHeight="1">
      <c r="A21" s="507"/>
      <c r="B21" s="95" t="s">
        <v>36</v>
      </c>
      <c r="C21" s="96">
        <v>8000</v>
      </c>
      <c r="D21" s="97" t="s">
        <v>219</v>
      </c>
      <c r="E21" s="98" t="s">
        <v>238</v>
      </c>
    </row>
  </sheetData>
  <mergeCells count="14">
    <mergeCell ref="I12:L12"/>
    <mergeCell ref="A1:D1"/>
    <mergeCell ref="A17:A18"/>
    <mergeCell ref="A19:A21"/>
    <mergeCell ref="A2:A3"/>
    <mergeCell ref="B2:B3"/>
    <mergeCell ref="A4:B4"/>
    <mergeCell ref="A6:A7"/>
    <mergeCell ref="A8:A12"/>
    <mergeCell ref="C2:C3"/>
    <mergeCell ref="D2:D3"/>
    <mergeCell ref="E2:E3"/>
    <mergeCell ref="A13:A14"/>
    <mergeCell ref="A15:A1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17</vt:i4>
      </vt:variant>
    </vt:vector>
  </HeadingPairs>
  <TitlesOfParts>
    <vt:vector size="28" baseType="lpstr">
      <vt:lpstr>0. 총괄사업비</vt:lpstr>
      <vt:lpstr>0-1. 재원조달계획</vt:lpstr>
      <vt:lpstr>1. 하수관거 사업비</vt:lpstr>
      <vt:lpstr>2.하수관거 사업비_산출근거</vt:lpstr>
      <vt:lpstr>4. 시설부대비 요율</vt:lpstr>
      <vt:lpstr>5. 소규모하수도 사업비</vt:lpstr>
      <vt:lpstr>6. 소규모하수도 사업비 산출근거</vt:lpstr>
      <vt:lpstr>7. 소규모하수도_하수관거공사비</vt:lpstr>
      <vt:lpstr>8.공시지가</vt:lpstr>
      <vt:lpstr>9.처리시설 사업비</vt:lpstr>
      <vt:lpstr>10. 빗물펌프장 사업비</vt:lpstr>
      <vt:lpstr>'0. 총괄사업비'!Print_Area</vt:lpstr>
      <vt:lpstr>'0-1. 재원조달계획'!Print_Area</vt:lpstr>
      <vt:lpstr>'1. 하수관거 사업비'!Print_Area</vt:lpstr>
      <vt:lpstr>'10. 빗물펌프장 사업비'!Print_Area</vt:lpstr>
      <vt:lpstr>'2.하수관거 사업비_산출근거'!Print_Area</vt:lpstr>
      <vt:lpstr>'5. 소규모하수도 사업비'!Print_Area</vt:lpstr>
      <vt:lpstr>'6. 소규모하수도 사업비 산출근거'!Print_Area</vt:lpstr>
      <vt:lpstr>'7. 소규모하수도_하수관거공사비'!Print_Area</vt:lpstr>
      <vt:lpstr>'8.공시지가'!Print_Area</vt:lpstr>
      <vt:lpstr>'9.처리시설 사업비'!Print_Area</vt:lpstr>
      <vt:lpstr>'0-1. 재원조달계획'!Print_Titles</vt:lpstr>
      <vt:lpstr>'1. 하수관거 사업비'!Print_Titles</vt:lpstr>
      <vt:lpstr>'2.하수관거 사업비_산출근거'!Print_Titles</vt:lpstr>
      <vt:lpstr>'5. 소규모하수도 사업비'!Print_Titles</vt:lpstr>
      <vt:lpstr>'6. 소규모하수도 사업비 산출근거'!Print_Titles</vt:lpstr>
      <vt:lpstr>'7. 소규모하수도_하수관거공사비'!Print_Titles</vt:lpstr>
      <vt:lpstr>'9.처리시설 사업비'!Print_Titles</vt:lpstr>
    </vt:vector>
  </TitlesOfParts>
  <Company>선진엔지니어링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최종기</dc:creator>
  <cp:lastModifiedBy>선진</cp:lastModifiedBy>
  <cp:lastPrinted>2010-09-27T01:49:17Z</cp:lastPrinted>
  <dcterms:created xsi:type="dcterms:W3CDTF">2010-01-05T01:03:15Z</dcterms:created>
  <dcterms:modified xsi:type="dcterms:W3CDTF">2010-12-02T03:48:48Z</dcterms:modified>
</cp:coreProperties>
</file>