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125" yWindow="-15" windowWidth="9075" windowHeight="4995" tabRatio="811" activeTab="7"/>
  </bookViews>
  <sheets>
    <sheet name="1. 유지관리인원" sheetId="1" r:id="rId1"/>
    <sheet name="2. 예산집행현황" sheetId="2" r:id="rId2"/>
    <sheet name="3. 장기계획인원" sheetId="3" r:id="rId3"/>
    <sheet name="4. 하수처리비용" sheetId="4" r:id="rId4"/>
    <sheet name="5. 하수관거" sheetId="5" r:id="rId5"/>
    <sheet name="6. 빗물펌프장" sheetId="6" r:id="rId6"/>
    <sheet name="7. 상수도사용료" sheetId="7" r:id="rId7"/>
    <sheet name="8.유지관리비" sheetId="9" r:id="rId8"/>
    <sheet name="9.처리비용" sheetId="12" r:id="rId9"/>
    <sheet name="10.연도별 처리비용" sheetId="15" r:id="rId10"/>
    <sheet name="11.하수관거준설" sheetId="16" r:id="rId11"/>
  </sheets>
  <definedNames>
    <definedName name="_xlnm.Print_Area" localSheetId="1">'2. 예산집행현황'!$A$1:$J$40</definedName>
    <definedName name="_xlnm.Print_Area" localSheetId="2">'3. 장기계획인원'!$A$1:$N$25</definedName>
    <definedName name="_xlnm.Print_Area" localSheetId="5">'6. 빗물펌프장'!$A$1:$G$9</definedName>
    <definedName name="_xlnm.Print_Area" localSheetId="7">'8.유지관리비'!$A$1:$Y$38</definedName>
    <definedName name="_xlnm.Print_Area" localSheetId="8">'9.처리비용'!$A$1:$H$6</definedName>
  </definedNames>
  <calcPr calcId="125725"/>
</workbook>
</file>

<file path=xl/calcChain.xml><?xml version="1.0" encoding="utf-8"?>
<calcChain xmlns="http://schemas.openxmlformats.org/spreadsheetml/2006/main">
  <c r="F6" i="12"/>
  <c r="H9" i="16"/>
  <c r="G9"/>
  <c r="G5"/>
  <c r="H5"/>
  <c r="G6"/>
  <c r="H6"/>
  <c r="G7"/>
  <c r="H7"/>
  <c r="H8"/>
  <c r="G8"/>
  <c r="G17" i="15"/>
  <c r="J17" s="1"/>
  <c r="G16"/>
  <c r="J16" s="1"/>
  <c r="G15"/>
  <c r="J15" s="1"/>
  <c r="G14"/>
  <c r="J14" s="1"/>
  <c r="G11"/>
  <c r="J11" s="1"/>
  <c r="G12"/>
  <c r="J12" s="1"/>
  <c r="G13"/>
  <c r="J13" s="1"/>
  <c r="G10"/>
  <c r="J10" s="1"/>
  <c r="G6"/>
  <c r="J6" s="1"/>
  <c r="G7"/>
  <c r="J7" s="1"/>
  <c r="G8"/>
  <c r="J8" s="1"/>
  <c r="G9"/>
  <c r="J9" s="1"/>
  <c r="G5"/>
  <c r="J5" s="1"/>
  <c r="F5"/>
  <c r="R13" i="9"/>
  <c r="F6" i="15"/>
  <c r="F7"/>
  <c r="F8"/>
  <c r="F9"/>
  <c r="F10"/>
  <c r="F11"/>
  <c r="F12"/>
  <c r="F13"/>
  <c r="F14"/>
  <c r="F15"/>
  <c r="F16"/>
  <c r="F17"/>
  <c r="M6" l="1"/>
  <c r="M7"/>
  <c r="M8"/>
  <c r="M9"/>
  <c r="M10"/>
  <c r="M11"/>
  <c r="M12"/>
  <c r="M13"/>
  <c r="M14"/>
  <c r="M15"/>
  <c r="M16"/>
  <c r="M17"/>
  <c r="M5"/>
  <c r="E17" l="1"/>
  <c r="E16"/>
  <c r="E15"/>
  <c r="E14"/>
  <c r="E13"/>
  <c r="E12"/>
  <c r="E11"/>
  <c r="E10"/>
  <c r="E9"/>
  <c r="E8"/>
  <c r="E7"/>
  <c r="E6"/>
  <c r="E5"/>
  <c r="D17"/>
  <c r="D16"/>
  <c r="D15"/>
  <c r="D14"/>
  <c r="D11"/>
  <c r="D12"/>
  <c r="D13"/>
  <c r="D10"/>
  <c r="D6"/>
  <c r="D7"/>
  <c r="D8"/>
  <c r="D9"/>
  <c r="D5"/>
  <c r="D6" i="12"/>
  <c r="E6"/>
  <c r="I8" i="15" l="1"/>
  <c r="H8"/>
  <c r="I14"/>
  <c r="H14"/>
  <c r="I15"/>
  <c r="H15"/>
  <c r="I9"/>
  <c r="H9"/>
  <c r="H5"/>
  <c r="I5"/>
  <c r="H11"/>
  <c r="I11"/>
  <c r="H12"/>
  <c r="I12"/>
  <c r="H13"/>
  <c r="I13"/>
  <c r="H10"/>
  <c r="I10"/>
  <c r="I6"/>
  <c r="H6"/>
  <c r="I17"/>
  <c r="H17"/>
  <c r="I7"/>
  <c r="H7"/>
  <c r="I16"/>
  <c r="H16"/>
  <c r="B16" i="12"/>
  <c r="G37" i="9"/>
  <c r="J37"/>
  <c r="M37"/>
  <c r="P37"/>
  <c r="H6" i="12" s="1"/>
  <c r="S37" i="9"/>
  <c r="V37"/>
  <c r="C37"/>
  <c r="C38"/>
  <c r="D38"/>
  <c r="J40" i="2"/>
  <c r="I40"/>
  <c r="H40"/>
  <c r="G40"/>
  <c r="F40"/>
  <c r="E40"/>
  <c r="J39"/>
  <c r="I39"/>
  <c r="H39"/>
  <c r="G39"/>
  <c r="F39"/>
  <c r="E39"/>
  <c r="J38"/>
  <c r="I38"/>
  <c r="H38"/>
  <c r="G38"/>
  <c r="F38"/>
  <c r="E38"/>
  <c r="J37"/>
  <c r="I37"/>
  <c r="H37"/>
  <c r="G37"/>
  <c r="F37"/>
  <c r="E37"/>
  <c r="J36"/>
  <c r="I36"/>
  <c r="H36"/>
  <c r="G36"/>
  <c r="F36"/>
  <c r="E36"/>
  <c r="E33" s="1"/>
  <c r="D6" s="1"/>
  <c r="J35"/>
  <c r="I35"/>
  <c r="H35"/>
  <c r="G35"/>
  <c r="F35"/>
  <c r="E35"/>
  <c r="J34"/>
  <c r="I34"/>
  <c r="D34" s="1"/>
  <c r="H34"/>
  <c r="G34"/>
  <c r="F34"/>
  <c r="F33" s="1"/>
  <c r="F32" s="1"/>
  <c r="E34"/>
  <c r="I25" i="9"/>
  <c r="V36"/>
  <c r="S36"/>
  <c r="P36"/>
  <c r="M36"/>
  <c r="J36"/>
  <c r="G36"/>
  <c r="V33"/>
  <c r="S33"/>
  <c r="P33"/>
  <c r="M33"/>
  <c r="J33"/>
  <c r="G33"/>
  <c r="G27"/>
  <c r="J27"/>
  <c r="M27"/>
  <c r="P27"/>
  <c r="S27"/>
  <c r="V27"/>
  <c r="G24"/>
  <c r="J24"/>
  <c r="M24"/>
  <c r="P24"/>
  <c r="S24"/>
  <c r="V24"/>
  <c r="G22"/>
  <c r="J22"/>
  <c r="M22"/>
  <c r="P22"/>
  <c r="S22"/>
  <c r="V22"/>
  <c r="G20"/>
  <c r="J20"/>
  <c r="M20"/>
  <c r="P20"/>
  <c r="S20"/>
  <c r="V20"/>
  <c r="G15"/>
  <c r="J15"/>
  <c r="M15"/>
  <c r="P15"/>
  <c r="S15"/>
  <c r="V15"/>
  <c r="X25"/>
  <c r="U25"/>
  <c r="R25"/>
  <c r="O25"/>
  <c r="L25"/>
  <c r="D23"/>
  <c r="X23" s="1"/>
  <c r="D26"/>
  <c r="X26" s="1"/>
  <c r="D21"/>
  <c r="X21" s="1"/>
  <c r="D19"/>
  <c r="U19" s="1"/>
  <c r="D14"/>
  <c r="X17"/>
  <c r="X18"/>
  <c r="X19"/>
  <c r="U17"/>
  <c r="U18"/>
  <c r="R17"/>
  <c r="R18"/>
  <c r="O17"/>
  <c r="O18"/>
  <c r="O19"/>
  <c r="L17"/>
  <c r="L18"/>
  <c r="X16"/>
  <c r="U16"/>
  <c r="R16"/>
  <c r="O16"/>
  <c r="E16" s="1"/>
  <c r="L16"/>
  <c r="X11"/>
  <c r="X12"/>
  <c r="X13"/>
  <c r="X14"/>
  <c r="X10"/>
  <c r="U11"/>
  <c r="U12"/>
  <c r="U13"/>
  <c r="U14"/>
  <c r="U10"/>
  <c r="R11"/>
  <c r="R12"/>
  <c r="R14"/>
  <c r="R10"/>
  <c r="O11"/>
  <c r="O12"/>
  <c r="O13"/>
  <c r="O14"/>
  <c r="O10"/>
  <c r="L11"/>
  <c r="L12"/>
  <c r="L13"/>
  <c r="L14"/>
  <c r="L10"/>
  <c r="I26"/>
  <c r="I21"/>
  <c r="I19"/>
  <c r="I18"/>
  <c r="I17"/>
  <c r="I16"/>
  <c r="I11"/>
  <c r="E11" s="1"/>
  <c r="I12"/>
  <c r="I13"/>
  <c r="I14"/>
  <c r="I10"/>
  <c r="E10" s="1"/>
  <c r="F16"/>
  <c r="H16" s="1"/>
  <c r="F17"/>
  <c r="H17" s="1"/>
  <c r="F8"/>
  <c r="E8"/>
  <c r="F7"/>
  <c r="E7"/>
  <c r="F6"/>
  <c r="E6"/>
  <c r="F5"/>
  <c r="E5"/>
  <c r="F4"/>
  <c r="E4"/>
  <c r="F35"/>
  <c r="H35" s="1"/>
  <c r="F34"/>
  <c r="H34" s="1"/>
  <c r="F32"/>
  <c r="H32" s="1"/>
  <c r="F31"/>
  <c r="H31" s="1"/>
  <c r="F30"/>
  <c r="H30" s="1"/>
  <c r="F29"/>
  <c r="H29" s="1"/>
  <c r="F28"/>
  <c r="H28" s="1"/>
  <c r="F26"/>
  <c r="H26" s="1"/>
  <c r="F25"/>
  <c r="H25" s="1"/>
  <c r="F23"/>
  <c r="H23" s="1"/>
  <c r="F21"/>
  <c r="H21" s="1"/>
  <c r="F19"/>
  <c r="H19" s="1"/>
  <c r="F18"/>
  <c r="H18" s="1"/>
  <c r="F10"/>
  <c r="W10" s="1"/>
  <c r="E12"/>
  <c r="F13"/>
  <c r="W13" s="1"/>
  <c r="F14"/>
  <c r="W14" s="1"/>
  <c r="F12"/>
  <c r="W12" s="1"/>
  <c r="F11"/>
  <c r="W11" s="1"/>
  <c r="C36" i="4"/>
  <c r="C14"/>
  <c r="C9"/>
  <c r="C8"/>
  <c r="C7"/>
  <c r="C6"/>
  <c r="C5"/>
  <c r="I4"/>
  <c r="H4"/>
  <c r="G4"/>
  <c r="F4"/>
  <c r="E4"/>
  <c r="D4"/>
  <c r="C4"/>
  <c r="C15"/>
  <c r="C16"/>
  <c r="C17"/>
  <c r="C18"/>
  <c r="D40" i="2"/>
  <c r="D39"/>
  <c r="G33"/>
  <c r="F6" s="1"/>
  <c r="D36"/>
  <c r="C31" i="4"/>
  <c r="H23" i="3"/>
  <c r="D35" i="2"/>
  <c r="D37"/>
  <c r="D38"/>
  <c r="E7" i="7"/>
  <c r="E8"/>
  <c r="E9"/>
  <c r="E10"/>
  <c r="E11"/>
  <c r="E12"/>
  <c r="E13"/>
  <c r="E14"/>
  <c r="E6"/>
  <c r="I33" i="2" l="1"/>
  <c r="H6" s="1"/>
  <c r="H33"/>
  <c r="H32" s="1"/>
  <c r="J33"/>
  <c r="J32" s="1"/>
  <c r="E14" i="9"/>
  <c r="E25"/>
  <c r="G38"/>
  <c r="E18"/>
  <c r="R19"/>
  <c r="E19" s="1"/>
  <c r="E20" s="1"/>
  <c r="B42" s="1"/>
  <c r="E9"/>
  <c r="E13"/>
  <c r="E17"/>
  <c r="I23"/>
  <c r="L19"/>
  <c r="D37"/>
  <c r="C6" i="12" s="1"/>
  <c r="F37" i="9"/>
  <c r="B6" i="12" s="1"/>
  <c r="F33" i="9"/>
  <c r="F36"/>
  <c r="D33" i="2"/>
  <c r="C6" s="1"/>
  <c r="I32"/>
  <c r="G32"/>
  <c r="E32"/>
  <c r="G6"/>
  <c r="E6"/>
  <c r="K21" i="9"/>
  <c r="K23"/>
  <c r="N21"/>
  <c r="N23"/>
  <c r="Q21"/>
  <c r="Q23"/>
  <c r="T21"/>
  <c r="T23"/>
  <c r="W21"/>
  <c r="W23"/>
  <c r="K25"/>
  <c r="L26"/>
  <c r="N25"/>
  <c r="O26"/>
  <c r="Q25"/>
  <c r="R26"/>
  <c r="T25"/>
  <c r="T26"/>
  <c r="W25"/>
  <c r="W26"/>
  <c r="F15"/>
  <c r="F22"/>
  <c r="F27"/>
  <c r="L21"/>
  <c r="L23"/>
  <c r="O21"/>
  <c r="O23"/>
  <c r="R21"/>
  <c r="R23"/>
  <c r="U21"/>
  <c r="U23"/>
  <c r="K26"/>
  <c r="N26"/>
  <c r="Q26"/>
  <c r="U26"/>
  <c r="F20"/>
  <c r="F24"/>
  <c r="K19"/>
  <c r="K18"/>
  <c r="K17"/>
  <c r="N19"/>
  <c r="N18"/>
  <c r="N17"/>
  <c r="Q19"/>
  <c r="Q18"/>
  <c r="Q17"/>
  <c r="T19"/>
  <c r="T18"/>
  <c r="T17"/>
  <c r="W19"/>
  <c r="W18"/>
  <c r="W17"/>
  <c r="K16"/>
  <c r="N16"/>
  <c r="Q16"/>
  <c r="T16"/>
  <c r="W16"/>
  <c r="H10"/>
  <c r="H14"/>
  <c r="H13"/>
  <c r="H12"/>
  <c r="H11"/>
  <c r="K14"/>
  <c r="K13"/>
  <c r="K12"/>
  <c r="K11"/>
  <c r="N14"/>
  <c r="N13"/>
  <c r="N12"/>
  <c r="N11"/>
  <c r="Q14"/>
  <c r="Q13"/>
  <c r="Q12"/>
  <c r="Q11"/>
  <c r="T14"/>
  <c r="T13"/>
  <c r="T12"/>
  <c r="T11"/>
  <c r="K10"/>
  <c r="N10"/>
  <c r="Q10"/>
  <c r="T10"/>
  <c r="E15"/>
  <c r="I6" i="2" l="1"/>
  <c r="F38" i="9"/>
  <c r="G6" i="12"/>
  <c r="B41" i="9"/>
  <c r="D32" i="2"/>
  <c r="E21" i="9"/>
  <c r="E22" s="1"/>
  <c r="B43" s="1"/>
  <c r="E26"/>
  <c r="E27" s="1"/>
  <c r="B45" s="1"/>
  <c r="E23"/>
  <c r="E24" s="1"/>
  <c r="B44" s="1"/>
  <c r="C15" i="7"/>
  <c r="D15"/>
  <c r="B15"/>
  <c r="E15"/>
  <c r="C6" i="6"/>
  <c r="C7"/>
  <c r="C8"/>
  <c r="C9"/>
  <c r="C5"/>
  <c r="C5" i="5"/>
  <c r="C6"/>
  <c r="C7"/>
  <c r="C8"/>
  <c r="C4"/>
  <c r="C23" i="4"/>
  <c r="C24"/>
  <c r="C41"/>
  <c r="C25"/>
  <c r="C42"/>
  <c r="C26"/>
  <c r="E7" i="2"/>
  <c r="F7"/>
  <c r="G7"/>
  <c r="H7"/>
  <c r="I7"/>
  <c r="D7"/>
  <c r="E17" i="3"/>
  <c r="E18"/>
  <c r="H24"/>
  <c r="H25"/>
  <c r="N25" s="1"/>
  <c r="N23"/>
  <c r="F11"/>
  <c r="G11"/>
  <c r="H11"/>
  <c r="I11"/>
  <c r="J11"/>
  <c r="K11"/>
  <c r="L11"/>
  <c r="M11"/>
  <c r="N11"/>
  <c r="C15"/>
  <c r="C14"/>
  <c r="C13"/>
  <c r="E13" s="1"/>
  <c r="C12"/>
  <c r="C16"/>
  <c r="E14" i="1"/>
  <c r="F14"/>
  <c r="G14"/>
  <c r="H14"/>
  <c r="D14"/>
  <c r="E13"/>
  <c r="F13"/>
  <c r="G13"/>
  <c r="H13"/>
  <c r="D13"/>
  <c r="E12"/>
  <c r="F12"/>
  <c r="G12"/>
  <c r="H12"/>
  <c r="D12"/>
  <c r="E11"/>
  <c r="F11"/>
  <c r="G11"/>
  <c r="H11"/>
  <c r="D11"/>
  <c r="E10"/>
  <c r="F10"/>
  <c r="G10"/>
  <c r="H10"/>
  <c r="D10"/>
  <c r="E9"/>
  <c r="F9"/>
  <c r="G9"/>
  <c r="H9"/>
  <c r="D9"/>
  <c r="E8"/>
  <c r="F8"/>
  <c r="G8"/>
  <c r="H8"/>
  <c r="D8"/>
  <c r="E7"/>
  <c r="F7"/>
  <c r="G7"/>
  <c r="H7"/>
  <c r="D7"/>
  <c r="H6"/>
  <c r="H15" s="1"/>
  <c r="E6"/>
  <c r="E15" s="1"/>
  <c r="F6"/>
  <c r="F15" s="1"/>
  <c r="G6"/>
  <c r="G15" s="1"/>
  <c r="D6"/>
  <c r="D15" s="1"/>
  <c r="E38" i="9" l="1"/>
  <c r="C7" i="2"/>
  <c r="N24" i="3"/>
  <c r="D14" s="1"/>
  <c r="E14" s="1"/>
  <c r="C11"/>
  <c r="D12" l="1"/>
  <c r="E12" s="1"/>
  <c r="D11" l="1"/>
  <c r="E11" s="1"/>
</calcChain>
</file>

<file path=xl/comments1.xml><?xml version="1.0" encoding="utf-8"?>
<comments xmlns="http://schemas.openxmlformats.org/spreadsheetml/2006/main">
  <authors>
    <author>kimdaehwan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2008</t>
        </r>
        <r>
          <rPr>
            <b/>
            <sz val="9"/>
            <color indexed="81"/>
            <rFont val="돋움"/>
            <family val="3"/>
            <charset val="129"/>
          </rPr>
          <t>년</t>
        </r>
      </text>
    </comment>
  </commentList>
</comments>
</file>

<file path=xl/comments2.xml><?xml version="1.0" encoding="utf-8"?>
<comments xmlns="http://schemas.openxmlformats.org/spreadsheetml/2006/main">
  <authors>
    <author>kimdaehwan</author>
  </authors>
  <commentList>
    <comment ref="K2" authorId="0">
      <text>
        <r>
          <rPr>
            <b/>
            <sz val="9"/>
            <color indexed="81"/>
            <rFont val="돋움"/>
            <family val="3"/>
            <charset val="129"/>
          </rPr>
          <t xml:space="preserve">평균값
</t>
        </r>
      </text>
    </comment>
    <comment ref="L2" authorId="0">
      <text>
        <r>
          <rPr>
            <b/>
            <sz val="9"/>
            <color indexed="81"/>
            <rFont val="돋움"/>
            <family val="3"/>
            <charset val="129"/>
          </rPr>
          <t>평균값</t>
        </r>
      </text>
    </comment>
  </commentList>
</comments>
</file>

<file path=xl/sharedStrings.xml><?xml version="1.0" encoding="utf-8"?>
<sst xmlns="http://schemas.openxmlformats.org/spreadsheetml/2006/main" count="438" uniqueCount="242">
  <si>
    <t>구 분</t>
  </si>
  <si>
    <t>산 출 공 식</t>
  </si>
  <si>
    <t>보령</t>
  </si>
  <si>
    <t>대천</t>
  </si>
  <si>
    <t>웅천</t>
  </si>
  <si>
    <t>무창포</t>
  </si>
  <si>
    <t>성주</t>
  </si>
  <si>
    <t>국내</t>
  </si>
  <si>
    <t>자료</t>
  </si>
  <si>
    <t>• 국내실적</t>
  </si>
  <si>
    <t>• 건교부, 환경부</t>
  </si>
  <si>
    <t>• 가동중인처리장</t>
  </si>
  <si>
    <t>• 표준운영인력</t>
  </si>
  <si>
    <t>일본</t>
  </si>
  <si>
    <t>• 참고자료</t>
  </si>
  <si>
    <t>• 처리장조사자료</t>
  </si>
  <si>
    <t>미국</t>
  </si>
  <si>
    <t>• WPCF 자료</t>
  </si>
  <si>
    <t>• IBRD 자료</t>
  </si>
  <si>
    <t>• EPA 자료</t>
  </si>
  <si>
    <t>평 균</t>
  </si>
  <si>
    <t>합계</t>
  </si>
  <si>
    <t>인건비</t>
  </si>
  <si>
    <t>전력비</t>
  </si>
  <si>
    <t>약품비</t>
  </si>
  <si>
    <t>슬러지
처리비</t>
  </si>
  <si>
    <t>개ㆍ보수비</t>
  </si>
  <si>
    <t>기 타</t>
  </si>
  <si>
    <t>비 고</t>
  </si>
  <si>
    <t>전국</t>
  </si>
  <si>
    <t>집행금액</t>
  </si>
  <si>
    <t>점유율</t>
  </si>
  <si>
    <t>보령시</t>
  </si>
  <si>
    <t>보령시</t>
    <phoneticPr fontId="2" type="noConversion"/>
  </si>
  <si>
    <t>연도</t>
  </si>
  <si>
    <t>시설규모</t>
  </si>
  <si>
    <t>(천톤/일)</t>
  </si>
  <si>
    <t>평균</t>
  </si>
  <si>
    <t>(합계)</t>
  </si>
  <si>
    <t>1미만</t>
  </si>
  <si>
    <t>1～5</t>
  </si>
  <si>
    <t>미만</t>
  </si>
  <si>
    <t>5～10</t>
  </si>
  <si>
    <t>10～50</t>
  </si>
  <si>
    <t>50～100</t>
  </si>
  <si>
    <t>100～500</t>
  </si>
  <si>
    <t>이상</t>
  </si>
  <si>
    <t>'08</t>
  </si>
  <si>
    <t>운영인력</t>
  </si>
  <si>
    <t>단위인력</t>
  </si>
  <si>
    <t>행정직</t>
  </si>
  <si>
    <t>기 술 직</t>
  </si>
  <si>
    <t>기능직</t>
  </si>
  <si>
    <t>토목직</t>
  </si>
  <si>
    <t>기계직</t>
  </si>
  <si>
    <t>전기직</t>
  </si>
  <si>
    <t>화공직</t>
  </si>
  <si>
    <t>환경직</t>
  </si>
  <si>
    <t>기타</t>
  </si>
  <si>
    <t>계</t>
  </si>
  <si>
    <t>보 령</t>
  </si>
  <si>
    <t>대천해수욕장</t>
  </si>
  <si>
    <t>웅 천</t>
  </si>
  <si>
    <t>성 주</t>
  </si>
  <si>
    <t>분뇨처리</t>
  </si>
  <si>
    <t>축산폐수</t>
  </si>
  <si>
    <t>계</t>
    <phoneticPr fontId="2" type="noConversion"/>
  </si>
  <si>
    <t>2020년</t>
    <phoneticPr fontId="2" type="noConversion"/>
  </si>
  <si>
    <t>시ㆍ군</t>
    <phoneticPr fontId="6" type="noConversion"/>
  </si>
  <si>
    <t>하수처리비용(천원/년)</t>
    <phoneticPr fontId="6" type="noConversion"/>
  </si>
  <si>
    <t>계</t>
    <phoneticPr fontId="6" type="noConversion"/>
  </si>
  <si>
    <t>전력비</t>
    <phoneticPr fontId="6" type="noConversion"/>
  </si>
  <si>
    <t>개보수비</t>
    <phoneticPr fontId="6" type="noConversion"/>
  </si>
  <si>
    <t>보령시</t>
    <phoneticPr fontId="6" type="noConversion"/>
  </si>
  <si>
    <t>보령</t>
    <phoneticPr fontId="6" type="noConversion"/>
  </si>
  <si>
    <t>대천</t>
    <phoneticPr fontId="6" type="noConversion"/>
  </si>
  <si>
    <t>성주</t>
    <phoneticPr fontId="6" type="noConversion"/>
  </si>
  <si>
    <t>웅천</t>
    <phoneticPr fontId="6" type="noConversion"/>
  </si>
  <si>
    <t>합계</t>
    <phoneticPr fontId="2" type="noConversion"/>
  </si>
  <si>
    <t>합 계</t>
  </si>
  <si>
    <t>개·보수비</t>
  </si>
  <si>
    <t>2004년</t>
    <phoneticPr fontId="2" type="noConversion"/>
  </si>
  <si>
    <t>2005년</t>
  </si>
  <si>
    <t>2006년</t>
  </si>
  <si>
    <t>2007년</t>
  </si>
  <si>
    <t>2008년</t>
  </si>
  <si>
    <t>시설비</t>
    <phoneticPr fontId="2" type="noConversion"/>
  </si>
  <si>
    <t>개보수비</t>
    <phoneticPr fontId="2" type="noConversion"/>
  </si>
  <si>
    <t>운영유지비</t>
    <phoneticPr fontId="2" type="noConversion"/>
  </si>
  <si>
    <t>기타</t>
    <phoneticPr fontId="2" type="noConversion"/>
  </si>
  <si>
    <t>구   분</t>
    <phoneticPr fontId="2" type="noConversion"/>
  </si>
  <si>
    <t>준설비용(백만원)</t>
    <phoneticPr fontId="2" type="noConversion"/>
  </si>
  <si>
    <t>준설토사처리(톤)</t>
    <phoneticPr fontId="2" type="noConversion"/>
  </si>
  <si>
    <t>구 분</t>
    <phoneticPr fontId="6" type="noConversion"/>
  </si>
  <si>
    <t>소계</t>
    <phoneticPr fontId="2" type="noConversion"/>
  </si>
  <si>
    <t>시설비</t>
    <phoneticPr fontId="6" type="noConversion"/>
  </si>
  <si>
    <t>기타</t>
    <phoneticPr fontId="6" type="noConversion"/>
  </si>
  <si>
    <t>년 도</t>
  </si>
  <si>
    <t>부과량</t>
  </si>
  <si>
    <t>(㎥/년)</t>
  </si>
  <si>
    <t>부과액</t>
  </si>
  <si>
    <t>(천원/년)</t>
  </si>
  <si>
    <t>평균단가</t>
  </si>
  <si>
    <t>(원/㎥)</t>
  </si>
  <si>
    <t>증가율</t>
  </si>
  <si>
    <t>(%)</t>
  </si>
  <si>
    <t>비고</t>
  </si>
  <si>
    <r>
      <t>N = 0.291× Q</t>
    </r>
    <r>
      <rPr>
        <vertAlign val="superscript"/>
        <sz val="10"/>
        <color rgb="FF000000"/>
        <rFont val="돋움"/>
        <family val="3"/>
        <charset val="129"/>
      </rPr>
      <t>0.447</t>
    </r>
  </si>
  <si>
    <r>
      <t>N = 0.230× Q</t>
    </r>
    <r>
      <rPr>
        <vertAlign val="superscript"/>
        <sz val="10"/>
        <color rgb="FF000000"/>
        <rFont val="돋움"/>
        <family val="3"/>
        <charset val="129"/>
      </rPr>
      <t>0.469</t>
    </r>
  </si>
  <si>
    <r>
      <t>N = 1.7078× Q</t>
    </r>
    <r>
      <rPr>
        <vertAlign val="superscript"/>
        <sz val="10"/>
        <color rgb="FF000000"/>
        <rFont val="돋움"/>
        <family val="3"/>
        <charset val="129"/>
      </rPr>
      <t>0.2692</t>
    </r>
  </si>
  <si>
    <r>
      <t>N = 0.2181× Q</t>
    </r>
    <r>
      <rPr>
        <vertAlign val="superscript"/>
        <sz val="10"/>
        <color rgb="FF000000"/>
        <rFont val="돋움"/>
        <family val="3"/>
        <charset val="129"/>
      </rPr>
      <t>0.4741</t>
    </r>
  </si>
  <si>
    <r>
      <t>N = 0.229× Q</t>
    </r>
    <r>
      <rPr>
        <vertAlign val="superscript"/>
        <sz val="10"/>
        <color rgb="FF000000"/>
        <rFont val="돋움"/>
        <family val="3"/>
        <charset val="129"/>
      </rPr>
      <t>0.463</t>
    </r>
  </si>
  <si>
    <r>
      <t>N = 0.090× Q</t>
    </r>
    <r>
      <rPr>
        <vertAlign val="superscript"/>
        <sz val="10"/>
        <color rgb="FF000000"/>
        <rFont val="돋움"/>
        <family val="3"/>
        <charset val="129"/>
      </rPr>
      <t>0.572</t>
    </r>
  </si>
  <si>
    <r>
      <t>N = 0.086× Q</t>
    </r>
    <r>
      <rPr>
        <vertAlign val="superscript"/>
        <sz val="10"/>
        <color rgb="FF000000"/>
        <rFont val="돋움"/>
        <family val="3"/>
        <charset val="129"/>
      </rPr>
      <t>0.522</t>
    </r>
  </si>
  <si>
    <r>
      <t>N = 0.050× Q</t>
    </r>
    <r>
      <rPr>
        <vertAlign val="superscript"/>
        <sz val="10"/>
        <color rgb="FF000000"/>
        <rFont val="돋움"/>
        <family val="3"/>
        <charset val="129"/>
      </rPr>
      <t>0.575</t>
    </r>
  </si>
  <si>
    <r>
      <t>N = 0.012× Q</t>
    </r>
    <r>
      <rPr>
        <vertAlign val="superscript"/>
        <sz val="10"/>
        <color rgb="FF000000"/>
        <rFont val="돋움"/>
        <family val="3"/>
        <charset val="129"/>
      </rPr>
      <t>0.679</t>
    </r>
  </si>
  <si>
    <t>구 분</t>
    <phoneticPr fontId="2" type="noConversion"/>
  </si>
  <si>
    <t>보령시</t>
    <phoneticPr fontId="2" type="noConversion"/>
  </si>
  <si>
    <t>보령시</t>
    <phoneticPr fontId="2" type="noConversion"/>
  </si>
  <si>
    <t>시·도별</t>
    <phoneticPr fontId="6" type="noConversion"/>
  </si>
  <si>
    <t>시설명</t>
    <phoneticPr fontId="6" type="noConversion"/>
  </si>
  <si>
    <t>인건비</t>
    <phoneticPr fontId="6" type="noConversion"/>
  </si>
  <si>
    <t>약품비</t>
    <phoneticPr fontId="6" type="noConversion"/>
  </si>
  <si>
    <t>2015년</t>
    <phoneticPr fontId="2" type="noConversion"/>
  </si>
  <si>
    <t>관리인원(3개소 1인)</t>
    <phoneticPr fontId="2" type="noConversion"/>
  </si>
  <si>
    <t>보령관리 소규모 하수처리장(개소)</t>
    <phoneticPr fontId="2" type="noConversion"/>
  </si>
  <si>
    <t>웅천관리 소규모 하수처리장(개소)</t>
    <phoneticPr fontId="2" type="noConversion"/>
  </si>
  <si>
    <t>도서지역 소규모 하수처리장(개소)</t>
    <phoneticPr fontId="2" type="noConversion"/>
  </si>
  <si>
    <t>직원수</t>
    <phoneticPr fontId="2" type="noConversion"/>
  </si>
  <si>
    <t>계산</t>
    <phoneticPr fontId="2" type="noConversion"/>
  </si>
  <si>
    <t>소규모</t>
    <phoneticPr fontId="2" type="noConversion"/>
  </si>
  <si>
    <t>최종인원</t>
    <phoneticPr fontId="2" type="noConversion"/>
  </si>
  <si>
    <t>2020년</t>
    <phoneticPr fontId="2" type="noConversion"/>
  </si>
  <si>
    <t>2004년</t>
    <phoneticPr fontId="2" type="noConversion"/>
  </si>
  <si>
    <t>년도</t>
    <phoneticPr fontId="2" type="noConversion"/>
  </si>
  <si>
    <t>단위: 천원</t>
    <phoneticPr fontId="2" type="noConversion"/>
  </si>
  <si>
    <t>2004년</t>
    <phoneticPr fontId="2" type="noConversion"/>
  </si>
  <si>
    <t>(단위: 백만원)</t>
    <phoneticPr fontId="2" type="noConversion"/>
  </si>
  <si>
    <t>2004년</t>
    <phoneticPr fontId="2" type="noConversion"/>
  </si>
  <si>
    <t>시설연장(km)</t>
    <phoneticPr fontId="2" type="noConversion"/>
  </si>
  <si>
    <t>준설실적</t>
    <phoneticPr fontId="2" type="noConversion"/>
  </si>
  <si>
    <t>준설연장(m)</t>
    <phoneticPr fontId="2" type="noConversion"/>
  </si>
  <si>
    <t>준설량(톤)</t>
    <phoneticPr fontId="2" type="noConversion"/>
  </si>
  <si>
    <t>매립</t>
    <phoneticPr fontId="2" type="noConversion"/>
  </si>
  <si>
    <t>운영유지비</t>
    <phoneticPr fontId="6" type="noConversion"/>
  </si>
  <si>
    <t>무창포</t>
    <phoneticPr fontId="6" type="noConversion"/>
  </si>
  <si>
    <t>하수
처리시설</t>
    <phoneticPr fontId="6" type="noConversion"/>
  </si>
  <si>
    <t>소계</t>
    <phoneticPr fontId="6" type="noConversion"/>
  </si>
  <si>
    <t>슬러지처리비</t>
    <phoneticPr fontId="6" type="noConversion"/>
  </si>
  <si>
    <t>보령시
(통합운영)</t>
    <phoneticPr fontId="2" type="noConversion"/>
  </si>
  <si>
    <t>주) 무창포는 보령하수처리장에서, 성주는 웅천에서 운영</t>
    <phoneticPr fontId="2" type="noConversion"/>
  </si>
  <si>
    <t>찌꺼기처리비</t>
    <phoneticPr fontId="2" type="noConversion"/>
  </si>
  <si>
    <t>대천</t>
    <phoneticPr fontId="2" type="noConversion"/>
  </si>
  <si>
    <t>웅천</t>
    <phoneticPr fontId="2" type="noConversion"/>
  </si>
  <si>
    <t>무창포</t>
    <phoneticPr fontId="2" type="noConversion"/>
  </si>
  <si>
    <t>성주</t>
    <phoneticPr fontId="2" type="noConversion"/>
  </si>
  <si>
    <t>유입하수량(천톤/일)</t>
  </si>
  <si>
    <t>슬러지처리비</t>
  </si>
  <si>
    <t>개,보수비</t>
  </si>
  <si>
    <t xml:space="preserve">기타 </t>
  </si>
  <si>
    <t>일평균</t>
  </si>
  <si>
    <t>년간</t>
  </si>
  <si>
    <t>비용
(천원/년)</t>
  </si>
  <si>
    <t>비율
(%)</t>
  </si>
  <si>
    <t>처리단가
(원/톤)</t>
  </si>
  <si>
    <t>2004년</t>
  </si>
  <si>
    <t>보령</t>
    <phoneticPr fontId="2" type="noConversion"/>
  </si>
  <si>
    <t>분뇨</t>
    <phoneticPr fontId="2" type="noConversion"/>
  </si>
  <si>
    <t>하수처리
단가</t>
    <phoneticPr fontId="2" type="noConversion"/>
  </si>
  <si>
    <t>하수처리
비용</t>
    <phoneticPr fontId="2" type="noConversion"/>
  </si>
  <si>
    <t>(원/톤)</t>
    <phoneticPr fontId="2" type="noConversion"/>
  </si>
  <si>
    <t>(천원/년)</t>
    <phoneticPr fontId="2" type="noConversion"/>
  </si>
  <si>
    <t>2008년</t>
    <phoneticPr fontId="2" type="noConversion"/>
  </si>
  <si>
    <t>보령</t>
    <phoneticPr fontId="2" type="noConversion"/>
  </si>
  <si>
    <t>대천</t>
    <phoneticPr fontId="2" type="noConversion"/>
  </si>
  <si>
    <t>2008년</t>
    <phoneticPr fontId="2" type="noConversion"/>
  </si>
  <si>
    <t>웅천</t>
    <phoneticPr fontId="2" type="noConversion"/>
  </si>
  <si>
    <t>무창포</t>
    <phoneticPr fontId="2" type="noConversion"/>
  </si>
  <si>
    <t>성주</t>
    <phoneticPr fontId="2" type="noConversion"/>
  </si>
  <si>
    <t>분뇨위생</t>
    <phoneticPr fontId="2" type="noConversion"/>
  </si>
  <si>
    <t>축산폐수</t>
    <phoneticPr fontId="2" type="noConversion"/>
  </si>
  <si>
    <t>축산</t>
    <phoneticPr fontId="2" type="noConversion"/>
  </si>
  <si>
    <t>구분</t>
    <phoneticPr fontId="2" type="noConversion"/>
  </si>
  <si>
    <t>처리단가(원)</t>
  </si>
  <si>
    <t>처리단가(원)</t>
    <phoneticPr fontId="2" type="noConversion"/>
  </si>
  <si>
    <t>위생</t>
    <phoneticPr fontId="6" type="noConversion"/>
  </si>
  <si>
    <t>분뇨</t>
    <phoneticPr fontId="6" type="noConversion"/>
  </si>
  <si>
    <t>축산</t>
    <phoneticPr fontId="6" type="noConversion"/>
  </si>
  <si>
    <t>폐수</t>
    <phoneticPr fontId="2" type="noConversion"/>
  </si>
  <si>
    <t>하수처리량</t>
  </si>
  <si>
    <t>(천㎥/년)</t>
  </si>
  <si>
    <t>BOD제거량</t>
  </si>
  <si>
    <t>(톤/년)</t>
  </si>
  <si>
    <t>찌꺼기</t>
  </si>
  <si>
    <t>처리량</t>
  </si>
  <si>
    <t>(천톤/년)</t>
  </si>
  <si>
    <t>하수톤당</t>
  </si>
  <si>
    <t>BODkg당</t>
  </si>
  <si>
    <t>전 국</t>
  </si>
  <si>
    <t>찌꺼기톤당</t>
    <phoneticPr fontId="2" type="noConversion"/>
  </si>
  <si>
    <t>하수처리장 합계
(2008년)</t>
    <phoneticPr fontId="2" type="noConversion"/>
  </si>
  <si>
    <t>하수처리장 평균 합계</t>
    <phoneticPr fontId="2" type="noConversion"/>
  </si>
  <si>
    <t xml:space="preserve">일평균 처리 부하량(kg BOD/D) </t>
    <phoneticPr fontId="2" type="noConversion"/>
  </si>
  <si>
    <t>2008년 하수도 통계</t>
    <phoneticPr fontId="2" type="noConversion"/>
  </si>
  <si>
    <t>(무창포 값 없음)</t>
    <phoneticPr fontId="2" type="noConversion"/>
  </si>
  <si>
    <t>무창포를 포함 약 1,400kg/일 으로 산정, 따라서 511/톤년</t>
    <phoneticPr fontId="2" type="noConversion"/>
  </si>
  <si>
    <t>찌꺼기톤당</t>
  </si>
  <si>
    <t>대 천</t>
  </si>
  <si>
    <t>시설연장</t>
  </si>
  <si>
    <t>(km)</t>
  </si>
  <si>
    <t>준설실적</t>
  </si>
  <si>
    <t>준설연장</t>
  </si>
  <si>
    <t>준설량</t>
  </si>
  <si>
    <t>(톤)</t>
  </si>
  <si>
    <t>준설비용</t>
  </si>
  <si>
    <t>km당</t>
  </si>
  <si>
    <t>톤당</t>
  </si>
  <si>
    <t>집행금액
(천원)</t>
    <phoneticPr fontId="2" type="noConversion"/>
  </si>
  <si>
    <t>하수처리량
(천㎥/년)</t>
    <phoneticPr fontId="2" type="noConversion"/>
  </si>
  <si>
    <t>BOD제거량
(kg/년)</t>
    <phoneticPr fontId="2" type="noConversion"/>
  </si>
  <si>
    <t>찌꺼기
처리비용
(톤/년)</t>
    <phoneticPr fontId="2" type="noConversion"/>
  </si>
  <si>
    <t>유입BOD
(mg/L)</t>
    <phoneticPr fontId="2" type="noConversion"/>
  </si>
  <si>
    <t>유출BOD
(mg/L)</t>
    <phoneticPr fontId="2" type="noConversion"/>
  </si>
  <si>
    <t>제거BOD
(mg/L)</t>
    <phoneticPr fontId="2" type="noConversion"/>
  </si>
  <si>
    <t>공공하수처리시설</t>
    <phoneticPr fontId="2" type="noConversion"/>
  </si>
  <si>
    <t>준설단가(백만원)</t>
    <phoneticPr fontId="2" type="noConversion"/>
  </si>
  <si>
    <t>(백만원)</t>
    <phoneticPr fontId="2" type="noConversion"/>
  </si>
  <si>
    <t xml:space="preserve">  1) 유지관리인원</t>
    <phoneticPr fontId="6" type="noConversion"/>
  </si>
  <si>
    <t xml:space="preserve">  2) 예산집행현황</t>
    <phoneticPr fontId="6" type="noConversion"/>
  </si>
  <si>
    <t xml:space="preserve">  3) 장기계획인원</t>
    <phoneticPr fontId="6" type="noConversion"/>
  </si>
  <si>
    <t xml:space="preserve">  4) 하수처리비용</t>
    <phoneticPr fontId="6" type="noConversion"/>
  </si>
  <si>
    <t xml:space="preserve">  5) 하수관거</t>
    <phoneticPr fontId="6" type="noConversion"/>
  </si>
  <si>
    <t>▣ 하수관거 유지관리 현황</t>
    <phoneticPr fontId="6" type="noConversion"/>
  </si>
  <si>
    <t>▣ 하수관거 준설현황</t>
    <phoneticPr fontId="6" type="noConversion"/>
  </si>
  <si>
    <t xml:space="preserve">  6) 빗물펌프장</t>
    <phoneticPr fontId="6" type="noConversion"/>
  </si>
  <si>
    <t>▣ 유수지 및 배수펌프장</t>
    <phoneticPr fontId="6" type="noConversion"/>
  </si>
  <si>
    <t xml:space="preserve">  7) 상수도사용료</t>
    <phoneticPr fontId="6" type="noConversion"/>
  </si>
  <si>
    <t xml:space="preserve">  8) 유지관리비 지출현황</t>
    <phoneticPr fontId="6" type="noConversion"/>
  </si>
  <si>
    <t xml:space="preserve">  9) 단위 처리비용</t>
    <phoneticPr fontId="6" type="noConversion"/>
  </si>
  <si>
    <t xml:space="preserve">  10) 연도별 처리비용</t>
    <phoneticPr fontId="6" type="noConversion"/>
  </si>
  <si>
    <t xml:space="preserve">  11) 하수관거 준설실적</t>
    <phoneticPr fontId="6" type="noConversion"/>
  </si>
  <si>
    <t>10.4 하수처리장 운영 및 유지관리비</t>
    <phoneticPr fontId="6" type="noConversion"/>
  </si>
</sst>
</file>

<file path=xl/styles.xml><?xml version="1.0" encoding="utf-8"?>
<styleSheet xmlns="http://schemas.openxmlformats.org/spreadsheetml/2006/main">
  <numFmts count="12">
    <numFmt numFmtId="41" formatCode="_-* #,##0_-;\-* #,##0_-;_-* &quot;-&quot;_-;_-@_-"/>
    <numFmt numFmtId="43" formatCode="_-* #,##0.00_-;\-* #,##0.00_-;_-* &quot;-&quot;??_-;_-@_-"/>
    <numFmt numFmtId="176" formatCode="#,##0_);\(#,##0\)"/>
    <numFmt numFmtId="177" formatCode="#,##0.0"/>
    <numFmt numFmtId="178" formatCode="#,##0_ "/>
    <numFmt numFmtId="179" formatCode="_-* #,##0.0_-;\-* #,##0.0_-;_-* &quot;-&quot;_-;_-@_-"/>
    <numFmt numFmtId="180" formatCode="#,##0;[Red]#,##0"/>
    <numFmt numFmtId="181" formatCode="0.0_ "/>
    <numFmt numFmtId="182" formatCode="0.00_ "/>
    <numFmt numFmtId="183" formatCode="#,##0.0_ "/>
    <numFmt numFmtId="184" formatCode="#,##0_);[Red]\(#,##0\)"/>
    <numFmt numFmtId="185" formatCode="0.000_ "/>
  </numFmts>
  <fonts count="27">
    <font>
      <sz val="11"/>
      <color theme="1"/>
      <name val="맑은 고딕"/>
      <family val="2"/>
      <charset val="129"/>
      <scheme val="minor"/>
    </font>
    <font>
      <sz val="11"/>
      <color rgb="FF000000"/>
      <name val="돋움체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1"/>
      <name val="돋움"/>
      <family val="3"/>
      <charset val="129"/>
    </font>
    <font>
      <vertAlign val="superscript"/>
      <sz val="10"/>
      <color rgb="FF000000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돋움체"/>
      <family val="3"/>
      <charset val="129"/>
    </font>
    <font>
      <sz val="10"/>
      <name val="돋움체"/>
      <family val="3"/>
      <charset val="129"/>
    </font>
    <font>
      <sz val="11"/>
      <color theme="1"/>
      <name val="한양신명조"/>
      <family val="3"/>
      <charset val="129"/>
    </font>
    <font>
      <sz val="11"/>
      <color rgb="FF000000"/>
      <name val="-윤고딕130"/>
      <family val="1"/>
      <charset val="129"/>
    </font>
    <font>
      <sz val="11"/>
      <color theme="1"/>
      <name val="-윤고딕120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name val="(한)문화방송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  <xf numFmtId="0" fontId="4" fillId="0" borderId="0">
      <alignment vertical="center"/>
    </xf>
  </cellStyleXfs>
  <cellXfs count="3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1" fontId="1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41" fontId="13" fillId="0" borderId="0" xfId="1" applyFont="1" applyFill="1" applyAlignment="1">
      <alignment horizontal="left" vertical="center"/>
    </xf>
    <xf numFmtId="0" fontId="9" fillId="0" borderId="12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176" fontId="15" fillId="3" borderId="21" xfId="1" applyNumberFormat="1" applyFont="1" applyFill="1" applyBorder="1" applyAlignment="1">
      <alignment horizontal="center" vertical="center" wrapText="1"/>
    </xf>
    <xf numFmtId="176" fontId="15" fillId="3" borderId="21" xfId="2" applyNumberFormat="1" applyFont="1" applyFill="1" applyBorder="1" applyAlignment="1">
      <alignment horizontal="center" vertical="center" wrapText="1"/>
    </xf>
    <xf numFmtId="176" fontId="15" fillId="3" borderId="22" xfId="1" applyNumberFormat="1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41" fontId="9" fillId="0" borderId="24" xfId="1" applyFont="1" applyBorder="1" applyAlignment="1">
      <alignment horizontal="center" vertical="center" wrapText="1"/>
    </xf>
    <xf numFmtId="41" fontId="9" fillId="0" borderId="25" xfId="1" applyFont="1" applyBorder="1" applyAlignment="1">
      <alignment horizontal="center" vertical="center" wrapText="1"/>
    </xf>
    <xf numFmtId="41" fontId="9" fillId="0" borderId="18" xfId="1" applyFont="1" applyBorder="1" applyAlignment="1">
      <alignment horizontal="center" vertical="center" wrapText="1"/>
    </xf>
    <xf numFmtId="41" fontId="9" fillId="0" borderId="19" xfId="1" applyFont="1" applyBorder="1" applyAlignment="1">
      <alignment horizontal="center" vertical="center" wrapText="1"/>
    </xf>
    <xf numFmtId="41" fontId="9" fillId="0" borderId="21" xfId="1" applyFont="1" applyBorder="1" applyAlignment="1">
      <alignment horizontal="center" vertical="center" wrapText="1"/>
    </xf>
    <xf numFmtId="41" fontId="9" fillId="0" borderId="22" xfId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41" fontId="10" fillId="0" borderId="18" xfId="1" applyFont="1" applyBorder="1">
      <alignment vertical="center"/>
    </xf>
    <xf numFmtId="41" fontId="10" fillId="0" borderId="19" xfId="1" applyFont="1" applyBorder="1">
      <alignment vertical="center"/>
    </xf>
    <xf numFmtId="41" fontId="10" fillId="0" borderId="21" xfId="1" applyFont="1" applyBorder="1">
      <alignment vertical="center"/>
    </xf>
    <xf numFmtId="41" fontId="10" fillId="0" borderId="22" xfId="1" applyFont="1" applyBorder="1">
      <alignment vertical="center"/>
    </xf>
    <xf numFmtId="41" fontId="10" fillId="0" borderId="24" xfId="1" applyFont="1" applyBorder="1">
      <alignment vertical="center"/>
    </xf>
    <xf numFmtId="41" fontId="10" fillId="0" borderId="25" xfId="1" applyFont="1" applyBorder="1">
      <alignment vertical="center"/>
    </xf>
    <xf numFmtId="0" fontId="10" fillId="2" borderId="15" xfId="0" applyFont="1" applyFill="1" applyBorder="1" applyAlignment="1">
      <alignment horizontal="center" vertical="center"/>
    </xf>
    <xf numFmtId="41" fontId="10" fillId="2" borderId="15" xfId="1" applyFont="1" applyFill="1" applyBorder="1" applyAlignment="1">
      <alignment vertical="center"/>
    </xf>
    <xf numFmtId="41" fontId="10" fillId="2" borderId="16" xfId="1" applyFont="1" applyFill="1" applyBorder="1" applyAlignment="1">
      <alignment vertical="center"/>
    </xf>
    <xf numFmtId="41" fontId="10" fillId="0" borderId="18" xfId="1" applyFont="1" applyBorder="1" applyAlignment="1">
      <alignment vertical="center"/>
    </xf>
    <xf numFmtId="41" fontId="10" fillId="0" borderId="19" xfId="1" applyFont="1" applyBorder="1" applyAlignment="1">
      <alignment vertical="center"/>
    </xf>
    <xf numFmtId="41" fontId="10" fillId="0" borderId="21" xfId="1" applyFont="1" applyBorder="1" applyAlignment="1">
      <alignment vertical="center"/>
    </xf>
    <xf numFmtId="41" fontId="10" fillId="0" borderId="22" xfId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41" fontId="10" fillId="0" borderId="15" xfId="1" applyFont="1" applyBorder="1">
      <alignment vertical="center"/>
    </xf>
    <xf numFmtId="41" fontId="7" fillId="2" borderId="15" xfId="1" applyFont="1" applyFill="1" applyBorder="1" applyAlignment="1">
      <alignment horizontal="center" vertical="center" wrapText="1"/>
    </xf>
    <xf numFmtId="41" fontId="7" fillId="2" borderId="16" xfId="1" applyFont="1" applyFill="1" applyBorder="1" applyAlignment="1">
      <alignment horizontal="center" vertical="center" wrapText="1"/>
    </xf>
    <xf numFmtId="41" fontId="7" fillId="2" borderId="18" xfId="1" applyFont="1" applyFill="1" applyBorder="1" applyAlignment="1">
      <alignment horizontal="center" vertical="center" shrinkToFit="1"/>
    </xf>
    <xf numFmtId="41" fontId="7" fillId="2" borderId="18" xfId="1" applyFont="1" applyFill="1" applyBorder="1" applyAlignment="1">
      <alignment horizontal="center" vertical="center" wrapText="1"/>
    </xf>
    <xf numFmtId="41" fontId="7" fillId="2" borderId="19" xfId="1" applyFont="1" applyFill="1" applyBorder="1" applyAlignment="1">
      <alignment horizontal="center" vertical="center" wrapText="1"/>
    </xf>
    <xf numFmtId="41" fontId="5" fillId="2" borderId="18" xfId="1" applyFont="1" applyFill="1" applyBorder="1" applyAlignment="1">
      <alignment horizontal="center" vertical="center" wrapText="1"/>
    </xf>
    <xf numFmtId="41" fontId="5" fillId="2" borderId="19" xfId="1" applyFont="1" applyFill="1" applyBorder="1" applyAlignment="1">
      <alignment horizontal="center" vertical="center" wrapText="1"/>
    </xf>
    <xf numFmtId="41" fontId="7" fillId="2" borderId="21" xfId="1" applyFont="1" applyFill="1" applyBorder="1" applyAlignment="1">
      <alignment horizontal="center" vertical="center" wrapText="1"/>
    </xf>
    <xf numFmtId="41" fontId="7" fillId="2" borderId="2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2" borderId="18" xfId="0" applyNumberFormat="1" applyFont="1" applyFill="1" applyBorder="1" applyAlignment="1">
      <alignment horizontal="center" vertical="center" wrapText="1" shrinkToFit="1"/>
    </xf>
    <xf numFmtId="0" fontId="5" fillId="2" borderId="21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8" fontId="5" fillId="2" borderId="24" xfId="1" applyNumberFormat="1" applyFont="1" applyFill="1" applyBorder="1" applyAlignment="1">
      <alignment horizontal="center" vertical="center" wrapText="1"/>
    </xf>
    <xf numFmtId="178" fontId="5" fillId="2" borderId="18" xfId="1" applyNumberFormat="1" applyFont="1" applyFill="1" applyBorder="1" applyAlignment="1">
      <alignment horizontal="center" vertical="center" wrapText="1" shrinkToFit="1"/>
    </xf>
    <xf numFmtId="178" fontId="5" fillId="2" borderId="19" xfId="1" applyNumberFormat="1" applyFont="1" applyFill="1" applyBorder="1" applyAlignment="1">
      <alignment horizontal="center" vertical="center" wrapText="1" shrinkToFit="1"/>
    </xf>
    <xf numFmtId="178" fontId="5" fillId="2" borderId="21" xfId="1" applyNumberFormat="1" applyFont="1" applyFill="1" applyBorder="1" applyAlignment="1">
      <alignment horizontal="center" vertical="center" wrapText="1" shrinkToFit="1"/>
    </xf>
    <xf numFmtId="178" fontId="5" fillId="2" borderId="22" xfId="1" applyNumberFormat="1" applyFont="1" applyFill="1" applyBorder="1" applyAlignment="1">
      <alignment horizontal="center" vertical="center" wrapText="1" shrinkToFit="1"/>
    </xf>
    <xf numFmtId="178" fontId="7" fillId="0" borderId="6" xfId="1" applyNumberFormat="1" applyFont="1" applyFill="1" applyBorder="1" applyAlignment="1">
      <alignment horizontal="center" vertical="center" wrapText="1"/>
    </xf>
    <xf numFmtId="178" fontId="7" fillId="0" borderId="7" xfId="1" applyNumberFormat="1" applyFont="1" applyFill="1" applyBorder="1" applyAlignment="1">
      <alignment horizontal="center" vertical="center" wrapText="1"/>
    </xf>
    <xf numFmtId="178" fontId="7" fillId="0" borderId="6" xfId="1" applyNumberFormat="1" applyFont="1" applyFill="1" applyBorder="1" applyAlignment="1">
      <alignment horizontal="center" vertical="center"/>
    </xf>
    <xf numFmtId="178" fontId="7" fillId="0" borderId="7" xfId="1" applyNumberFormat="1" applyFont="1" applyFill="1" applyBorder="1" applyAlignment="1">
      <alignment horizontal="center" vertical="center"/>
    </xf>
    <xf numFmtId="178" fontId="9" fillId="0" borderId="12" xfId="1" applyNumberFormat="1" applyFont="1" applyBorder="1" applyAlignment="1">
      <alignment horizontal="center" vertical="center" wrapText="1"/>
    </xf>
    <xf numFmtId="178" fontId="9" fillId="0" borderId="13" xfId="1" applyNumberFormat="1" applyFont="1" applyBorder="1" applyAlignment="1">
      <alignment horizontal="center" vertical="center" wrapText="1"/>
    </xf>
    <xf numFmtId="178" fontId="5" fillId="2" borderId="6" xfId="1" applyNumberFormat="1" applyFont="1" applyFill="1" applyBorder="1" applyAlignment="1">
      <alignment horizontal="center" vertical="center" wrapText="1" shrinkToFit="1"/>
    </xf>
    <xf numFmtId="178" fontId="5" fillId="2" borderId="7" xfId="1" applyNumberFormat="1" applyFont="1" applyFill="1" applyBorder="1" applyAlignment="1">
      <alignment horizontal="center" vertical="center" wrapText="1" shrinkToFit="1"/>
    </xf>
    <xf numFmtId="178" fontId="5" fillId="2" borderId="9" xfId="1" applyNumberFormat="1" applyFont="1" applyFill="1" applyBorder="1" applyAlignment="1">
      <alignment horizontal="center" vertical="center" wrapText="1" shrinkToFit="1"/>
    </xf>
    <xf numFmtId="178" fontId="5" fillId="2" borderId="10" xfId="1" applyNumberFormat="1" applyFont="1" applyFill="1" applyBorder="1" applyAlignment="1">
      <alignment horizontal="center" vertical="center" wrapText="1" shrinkToFit="1"/>
    </xf>
    <xf numFmtId="176" fontId="5" fillId="2" borderId="9" xfId="0" applyNumberFormat="1" applyFont="1" applyFill="1" applyBorder="1" applyAlignment="1">
      <alignment horizontal="center" vertical="center" wrapText="1" shrinkToFit="1"/>
    </xf>
    <xf numFmtId="176" fontId="5" fillId="2" borderId="10" xfId="0" applyNumberFormat="1" applyFont="1" applyFill="1" applyBorder="1" applyAlignment="1">
      <alignment horizontal="center" vertical="center" wrapText="1" shrinkToFit="1"/>
    </xf>
    <xf numFmtId="41" fontId="7" fillId="0" borderId="6" xfId="1" applyFont="1" applyFill="1" applyBorder="1" applyAlignment="1">
      <alignment vertical="center" wrapText="1"/>
    </xf>
    <xf numFmtId="41" fontId="7" fillId="0" borderId="6" xfId="1" applyFont="1" applyFill="1" applyBorder="1" applyAlignment="1">
      <alignment vertical="center"/>
    </xf>
    <xf numFmtId="41" fontId="9" fillId="0" borderId="6" xfId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41" fontId="7" fillId="2" borderId="3" xfId="1" applyFont="1" applyFill="1" applyBorder="1" applyAlignment="1">
      <alignment horizontal="center" vertical="center"/>
    </xf>
    <xf numFmtId="41" fontId="9" fillId="2" borderId="3" xfId="1" applyFont="1" applyFill="1" applyBorder="1" applyAlignment="1">
      <alignment horizontal="center" vertical="center" wrapText="1"/>
    </xf>
    <xf numFmtId="41" fontId="7" fillId="2" borderId="54" xfId="1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176" fontId="9" fillId="0" borderId="55" xfId="0" applyNumberFormat="1" applyFont="1" applyBorder="1" applyAlignment="1">
      <alignment horizontal="center" vertical="center" wrapText="1"/>
    </xf>
    <xf numFmtId="41" fontId="5" fillId="2" borderId="55" xfId="1" applyFont="1" applyFill="1" applyBorder="1" applyAlignment="1">
      <alignment horizontal="center" vertical="center" wrapText="1" shrinkToFit="1"/>
    </xf>
    <xf numFmtId="41" fontId="5" fillId="2" borderId="56" xfId="1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17" fillId="0" borderId="58" xfId="0" applyFont="1" applyBorder="1" applyAlignment="1">
      <alignment horizontal="center" vertical="center"/>
    </xf>
    <xf numFmtId="184" fontId="9" fillId="0" borderId="24" xfId="0" applyNumberFormat="1" applyFont="1" applyBorder="1" applyAlignment="1">
      <alignment horizontal="center" vertical="center" wrapText="1"/>
    </xf>
    <xf numFmtId="184" fontId="9" fillId="0" borderId="18" xfId="0" applyNumberFormat="1" applyFont="1" applyBorder="1" applyAlignment="1">
      <alignment horizontal="center" vertical="center" wrapText="1"/>
    </xf>
    <xf numFmtId="184" fontId="9" fillId="0" borderId="18" xfId="1" applyNumberFormat="1" applyFont="1" applyBorder="1" applyAlignment="1">
      <alignment horizontal="center" vertical="center" wrapText="1"/>
    </xf>
    <xf numFmtId="184" fontId="9" fillId="0" borderId="21" xfId="0" applyNumberFormat="1" applyFont="1" applyBorder="1" applyAlignment="1">
      <alignment horizontal="center" vertical="center" wrapText="1"/>
    </xf>
    <xf numFmtId="41" fontId="5" fillId="2" borderId="24" xfId="1" applyFont="1" applyFill="1" applyBorder="1" applyAlignment="1">
      <alignment horizontal="right" vertical="center" wrapText="1"/>
    </xf>
    <xf numFmtId="41" fontId="5" fillId="2" borderId="18" xfId="1" applyFont="1" applyFill="1" applyBorder="1" applyAlignment="1">
      <alignment horizontal="right" vertical="center" wrapText="1"/>
    </xf>
    <xf numFmtId="41" fontId="5" fillId="2" borderId="18" xfId="1" applyFont="1" applyFill="1" applyBorder="1" applyAlignment="1">
      <alignment horizontal="right" vertical="center" wrapText="1" shrinkToFit="1"/>
    </xf>
    <xf numFmtId="41" fontId="5" fillId="2" borderId="19" xfId="1" applyFont="1" applyFill="1" applyBorder="1" applyAlignment="1">
      <alignment horizontal="right" vertical="center" wrapText="1" shrinkToFit="1"/>
    </xf>
    <xf numFmtId="41" fontId="5" fillId="2" borderId="24" xfId="1" applyFont="1" applyFill="1" applyBorder="1" applyAlignment="1">
      <alignment horizontal="right" vertical="center" wrapText="1" shrinkToFit="1"/>
    </xf>
    <xf numFmtId="41" fontId="5" fillId="2" borderId="25" xfId="1" applyFont="1" applyFill="1" applyBorder="1" applyAlignment="1">
      <alignment horizontal="right" vertical="center" wrapText="1" shrinkToFit="1"/>
    </xf>
    <xf numFmtId="41" fontId="5" fillId="2" borderId="45" xfId="1" applyFont="1" applyFill="1" applyBorder="1" applyAlignment="1">
      <alignment horizontal="right" vertical="center" wrapText="1" shrinkToFit="1"/>
    </xf>
    <xf numFmtId="41" fontId="5" fillId="2" borderId="21" xfId="1" applyFont="1" applyFill="1" applyBorder="1" applyAlignment="1">
      <alignment horizontal="right" vertical="center" wrapText="1" shrinkToFit="1"/>
    </xf>
    <xf numFmtId="41" fontId="5" fillId="2" borderId="22" xfId="1" applyFont="1" applyFill="1" applyBorder="1" applyAlignment="1">
      <alignment horizontal="right" vertical="center" wrapText="1" shrinkToFit="1"/>
    </xf>
    <xf numFmtId="0" fontId="21" fillId="4" borderId="66" xfId="0" applyFont="1" applyFill="1" applyBorder="1" applyAlignment="1">
      <alignment horizontal="center" vertical="center" wrapText="1"/>
    </xf>
    <xf numFmtId="0" fontId="0" fillId="4" borderId="66" xfId="0" applyFill="1" applyBorder="1" applyAlignment="1">
      <alignment vertical="center" wrapText="1"/>
    </xf>
    <xf numFmtId="0" fontId="21" fillId="4" borderId="70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0" fillId="0" borderId="0" xfId="0" applyAlignment="1">
      <alignment horizontal="left" vertical="center"/>
    </xf>
    <xf numFmtId="41" fontId="20" fillId="0" borderId="69" xfId="1" applyFont="1" applyBorder="1" applyAlignment="1">
      <alignment vertical="center" wrapText="1"/>
    </xf>
    <xf numFmtId="41" fontId="20" fillId="0" borderId="69" xfId="1" applyFont="1" applyBorder="1" applyAlignment="1">
      <alignment horizontal="center" vertical="center" wrapText="1"/>
    </xf>
    <xf numFmtId="179" fontId="20" fillId="0" borderId="69" xfId="1" applyNumberFormat="1" applyFont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41" fontId="9" fillId="0" borderId="58" xfId="1" applyFont="1" applyBorder="1" applyAlignment="1">
      <alignment horizontal="center" vertical="center" wrapText="1"/>
    </xf>
    <xf numFmtId="41" fontId="10" fillId="0" borderId="69" xfId="1" applyFont="1" applyBorder="1" applyAlignment="1">
      <alignment vertical="center" wrapText="1"/>
    </xf>
    <xf numFmtId="179" fontId="10" fillId="0" borderId="69" xfId="1" applyNumberFormat="1" applyFont="1" applyBorder="1" applyAlignment="1">
      <alignment vertical="center" wrapText="1"/>
    </xf>
    <xf numFmtId="0" fontId="10" fillId="0" borderId="58" xfId="0" applyFont="1" applyBorder="1">
      <alignment vertical="center"/>
    </xf>
    <xf numFmtId="181" fontId="10" fillId="0" borderId="58" xfId="0" applyNumberFormat="1" applyFont="1" applyBorder="1">
      <alignment vertical="center"/>
    </xf>
    <xf numFmtId="41" fontId="10" fillId="0" borderId="58" xfId="1" applyFont="1" applyBorder="1" applyAlignment="1">
      <alignment horizontal="center" vertical="center" wrapText="1"/>
    </xf>
    <xf numFmtId="43" fontId="10" fillId="0" borderId="0" xfId="0" applyNumberFormat="1" applyFont="1">
      <alignment vertical="center"/>
    </xf>
    <xf numFmtId="0" fontId="25" fillId="4" borderId="70" xfId="0" applyFont="1" applyFill="1" applyBorder="1" applyAlignment="1">
      <alignment horizontal="center" vertical="center" wrapText="1"/>
    </xf>
    <xf numFmtId="0" fontId="25" fillId="4" borderId="66" xfId="0" applyFont="1" applyFill="1" applyBorder="1" applyAlignment="1">
      <alignment horizontal="center" vertical="center" wrapText="1"/>
    </xf>
    <xf numFmtId="0" fontId="8" fillId="4" borderId="78" xfId="0" applyFont="1" applyFill="1" applyBorder="1" applyAlignment="1">
      <alignment vertical="center" wrapText="1"/>
    </xf>
    <xf numFmtId="0" fontId="25" fillId="4" borderId="78" xfId="0" applyFont="1" applyFill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185" fontId="8" fillId="0" borderId="69" xfId="0" applyNumberFormat="1" applyFont="1" applyBorder="1" applyAlignment="1">
      <alignment horizontal="center" vertical="center" wrapText="1"/>
    </xf>
    <xf numFmtId="3" fontId="8" fillId="0" borderId="69" xfId="0" applyNumberFormat="1" applyFont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/>
    </xf>
    <xf numFmtId="0" fontId="7" fillId="0" borderId="58" xfId="3" applyFont="1" applyFill="1" applyBorder="1" applyAlignment="1">
      <alignment horizontal="center" vertical="center" wrapText="1"/>
    </xf>
    <xf numFmtId="4" fontId="7" fillId="0" borderId="58" xfId="3" applyNumberFormat="1" applyFont="1" applyFill="1" applyBorder="1" applyAlignment="1">
      <alignment horizontal="center" vertical="center"/>
    </xf>
    <xf numFmtId="182" fontId="7" fillId="0" borderId="58" xfId="3" applyNumberFormat="1" applyFont="1" applyFill="1" applyBorder="1" applyAlignment="1">
      <alignment horizontal="center" vertical="center"/>
    </xf>
    <xf numFmtId="41" fontId="7" fillId="0" borderId="58" xfId="4" applyFont="1" applyFill="1" applyBorder="1" applyAlignment="1">
      <alignment horizontal="center" vertical="center"/>
    </xf>
    <xf numFmtId="3" fontId="7" fillId="0" borderId="58" xfId="3" applyNumberFormat="1" applyFont="1" applyFill="1" applyBorder="1" applyAlignment="1">
      <alignment horizontal="center" vertical="center"/>
    </xf>
    <xf numFmtId="177" fontId="7" fillId="0" borderId="58" xfId="3" applyNumberFormat="1" applyFont="1" applyFill="1" applyBorder="1" applyAlignment="1">
      <alignment horizontal="center" vertical="center"/>
    </xf>
    <xf numFmtId="179" fontId="7" fillId="0" borderId="58" xfId="4" applyNumberFormat="1" applyFont="1" applyFill="1" applyBorder="1" applyAlignment="1">
      <alignment horizontal="center" vertical="center"/>
    </xf>
    <xf numFmtId="181" fontId="7" fillId="0" borderId="58" xfId="3" applyNumberFormat="1" applyFont="1" applyFill="1" applyBorder="1" applyAlignment="1">
      <alignment horizontal="center" vertical="center"/>
    </xf>
    <xf numFmtId="41" fontId="7" fillId="0" borderId="58" xfId="1" applyFont="1" applyFill="1" applyBorder="1" applyAlignment="1">
      <alignment horizontal="center" vertical="center"/>
    </xf>
    <xf numFmtId="183" fontId="19" fillId="0" borderId="58" xfId="0" applyNumberFormat="1" applyFont="1" applyFill="1" applyBorder="1" applyAlignment="1">
      <alignment horizontal="center" vertical="center" wrapText="1"/>
    </xf>
    <xf numFmtId="41" fontId="7" fillId="0" borderId="0" xfId="4" applyFont="1" applyFill="1" applyAlignment="1">
      <alignment horizontal="center" vertical="center"/>
    </xf>
    <xf numFmtId="0" fontId="7" fillId="5" borderId="58" xfId="3" applyFont="1" applyFill="1" applyBorder="1" applyAlignment="1">
      <alignment horizontal="centerContinuous" vertical="center"/>
    </xf>
    <xf numFmtId="0" fontId="7" fillId="5" borderId="58" xfId="3" applyFont="1" applyFill="1" applyBorder="1" applyAlignment="1">
      <alignment horizontal="centerContinuous" vertical="center" wrapText="1"/>
    </xf>
    <xf numFmtId="0" fontId="7" fillId="5" borderId="58" xfId="3" applyFont="1" applyFill="1" applyBorder="1" applyAlignment="1">
      <alignment horizontal="center" vertical="center"/>
    </xf>
    <xf numFmtId="0" fontId="7" fillId="5" borderId="58" xfId="3" applyFont="1" applyFill="1" applyBorder="1" applyAlignment="1">
      <alignment horizontal="center" vertical="center" wrapText="1"/>
    </xf>
    <xf numFmtId="0" fontId="16" fillId="0" borderId="0" xfId="3" applyFont="1" applyBorder="1">
      <alignment vertical="center"/>
    </xf>
    <xf numFmtId="0" fontId="16" fillId="0" borderId="0" xfId="7" applyFont="1" applyBorder="1" applyAlignment="1">
      <alignment vertical="center"/>
    </xf>
    <xf numFmtId="0" fontId="5" fillId="2" borderId="24" xfId="0" applyNumberFormat="1" applyFont="1" applyFill="1" applyBorder="1" applyAlignment="1">
      <alignment horizontal="center" vertical="center" wrapText="1" shrinkToFit="1"/>
    </xf>
    <xf numFmtId="41" fontId="5" fillId="2" borderId="25" xfId="1" applyFont="1" applyFill="1" applyBorder="1" applyAlignment="1">
      <alignment horizontal="right" vertical="center" wrapText="1"/>
    </xf>
    <xf numFmtId="41" fontId="5" fillId="2" borderId="19" xfId="1" applyFont="1" applyFill="1" applyBorder="1" applyAlignment="1">
      <alignment horizontal="right" vertical="center" wrapText="1"/>
    </xf>
    <xf numFmtId="41" fontId="10" fillId="0" borderId="16" xfId="0" applyNumberFormat="1" applyFont="1" applyBorder="1" applyAlignment="1">
      <alignment horizontal="center" vertical="center"/>
    </xf>
    <xf numFmtId="41" fontId="10" fillId="0" borderId="19" xfId="0" applyNumberFormat="1" applyFont="1" applyBorder="1" applyAlignment="1">
      <alignment horizontal="center" vertical="center"/>
    </xf>
    <xf numFmtId="41" fontId="10" fillId="0" borderId="22" xfId="0" applyNumberFormat="1" applyFont="1" applyBorder="1" applyAlignment="1">
      <alignment horizontal="center" vertical="center"/>
    </xf>
    <xf numFmtId="178" fontId="5" fillId="2" borderId="25" xfId="1" applyNumberFormat="1" applyFont="1" applyFill="1" applyBorder="1" applyAlignment="1">
      <alignment horizontal="center" vertical="center" wrapText="1"/>
    </xf>
    <xf numFmtId="41" fontId="26" fillId="0" borderId="0" xfId="6" applyFont="1" applyFill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3" borderId="14" xfId="2" applyNumberFormat="1" applyFont="1" applyFill="1" applyBorder="1" applyAlignment="1">
      <alignment horizontal="center" vertical="center" wrapText="1"/>
    </xf>
    <xf numFmtId="0" fontId="15" fillId="3" borderId="20" xfId="2" applyNumberFormat="1" applyFont="1" applyFill="1" applyBorder="1" applyAlignment="1">
      <alignment horizontal="center" vertical="center" wrapText="1"/>
    </xf>
    <xf numFmtId="0" fontId="15" fillId="3" borderId="15" xfId="2" applyNumberFormat="1" applyFont="1" applyFill="1" applyBorder="1" applyAlignment="1">
      <alignment horizontal="center" vertical="center" wrapText="1"/>
    </xf>
    <xf numFmtId="0" fontId="15" fillId="3" borderId="21" xfId="2" applyNumberFormat="1" applyFont="1" applyFill="1" applyBorder="1" applyAlignment="1">
      <alignment horizontal="center" vertical="center" wrapText="1"/>
    </xf>
    <xf numFmtId="176" fontId="15" fillId="3" borderId="15" xfId="1" applyNumberFormat="1" applyFont="1" applyFill="1" applyBorder="1" applyAlignment="1">
      <alignment horizontal="center" vertical="center" wrapText="1"/>
    </xf>
    <xf numFmtId="176" fontId="15" fillId="3" borderId="16" xfId="1" applyNumberFormat="1" applyFont="1" applyFill="1" applyBorder="1" applyAlignment="1">
      <alignment horizontal="center" vertical="center" wrapText="1"/>
    </xf>
    <xf numFmtId="0" fontId="5" fillId="2" borderId="24" xfId="2" applyNumberFormat="1" applyFont="1" applyFill="1" applyBorder="1" applyAlignment="1">
      <alignment horizontal="center" vertical="center" wrapText="1"/>
    </xf>
    <xf numFmtId="0" fontId="5" fillId="2" borderId="83" xfId="0" applyNumberFormat="1" applyFont="1" applyFill="1" applyBorder="1" applyAlignment="1">
      <alignment horizontal="center" vertical="center" wrapText="1" shrinkToFit="1"/>
    </xf>
    <xf numFmtId="0" fontId="5" fillId="2" borderId="42" xfId="0" applyNumberFormat="1" applyFont="1" applyFill="1" applyBorder="1" applyAlignment="1">
      <alignment horizontal="center" vertical="center" wrapText="1" shrinkToFit="1"/>
    </xf>
    <xf numFmtId="0" fontId="5" fillId="2" borderId="84" xfId="0" applyNumberFormat="1" applyFont="1" applyFill="1" applyBorder="1" applyAlignment="1">
      <alignment horizontal="center" vertical="center" wrapText="1" shrinkToFit="1"/>
    </xf>
    <xf numFmtId="0" fontId="5" fillId="2" borderId="43" xfId="0" applyNumberFormat="1" applyFont="1" applyFill="1" applyBorder="1" applyAlignment="1">
      <alignment horizontal="center" vertical="center" wrapText="1" shrinkToFit="1"/>
    </xf>
    <xf numFmtId="0" fontId="5" fillId="2" borderId="44" xfId="0" applyNumberFormat="1" applyFont="1" applyFill="1" applyBorder="1" applyAlignment="1">
      <alignment horizontal="center" vertical="center" wrapText="1" shrinkToFit="1"/>
    </xf>
    <xf numFmtId="0" fontId="5" fillId="2" borderId="24" xfId="0" applyNumberFormat="1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9" fillId="0" borderId="12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41" fontId="9" fillId="0" borderId="24" xfId="1" applyFont="1" applyFill="1" applyBorder="1" applyAlignment="1">
      <alignment horizontal="center" vertical="center"/>
    </xf>
    <xf numFmtId="41" fontId="9" fillId="0" borderId="18" xfId="1" applyFont="1" applyFill="1" applyBorder="1" applyAlignment="1">
      <alignment horizontal="center" vertical="center"/>
    </xf>
    <xf numFmtId="41" fontId="9" fillId="0" borderId="38" xfId="1" applyFont="1" applyFill="1" applyBorder="1" applyAlignment="1">
      <alignment horizontal="center" vertical="center"/>
    </xf>
    <xf numFmtId="41" fontId="9" fillId="0" borderId="35" xfId="1" applyFont="1" applyFill="1" applyBorder="1" applyAlignment="1">
      <alignment horizontal="center" vertical="center"/>
    </xf>
    <xf numFmtId="41" fontId="10" fillId="0" borderId="41" xfId="0" applyNumberFormat="1" applyFont="1" applyBorder="1" applyAlignment="1">
      <alignment horizontal="center" vertical="center"/>
    </xf>
    <xf numFmtId="41" fontId="10" fillId="0" borderId="33" xfId="0" applyNumberFormat="1" applyFont="1" applyBorder="1" applyAlignment="1">
      <alignment horizontal="center" vertical="center"/>
    </xf>
    <xf numFmtId="41" fontId="10" fillId="0" borderId="34" xfId="0" applyNumberFormat="1" applyFont="1" applyBorder="1" applyAlignment="1">
      <alignment horizontal="center" vertical="center"/>
    </xf>
    <xf numFmtId="41" fontId="10" fillId="0" borderId="21" xfId="0" applyNumberFormat="1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1" fontId="9" fillId="0" borderId="29" xfId="1" applyFont="1" applyFill="1" applyBorder="1" applyAlignment="1">
      <alignment horizontal="center" vertical="center"/>
    </xf>
    <xf numFmtId="41" fontId="9" fillId="0" borderId="30" xfId="1" applyFont="1" applyFill="1" applyBorder="1" applyAlignment="1">
      <alignment horizontal="center" vertical="center"/>
    </xf>
    <xf numFmtId="41" fontId="9" fillId="0" borderId="21" xfId="1" applyFont="1" applyFill="1" applyBorder="1" applyAlignment="1">
      <alignment horizontal="center" vertical="center"/>
    </xf>
    <xf numFmtId="0" fontId="17" fillId="0" borderId="41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7" fillId="0" borderId="34" xfId="0" applyFont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0" fontId="17" fillId="0" borderId="85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41" fontId="10" fillId="0" borderId="39" xfId="0" applyNumberFormat="1" applyFont="1" applyBorder="1" applyAlignment="1">
      <alignment horizontal="center" vertical="center"/>
    </xf>
    <xf numFmtId="41" fontId="10" fillId="0" borderId="31" xfId="0" applyNumberFormat="1" applyFont="1" applyBorder="1" applyAlignment="1">
      <alignment horizontal="center" vertical="center"/>
    </xf>
    <xf numFmtId="41" fontId="10" fillId="0" borderId="40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horizontal="center" vertical="center" wrapText="1" shrinkToFi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179" fontId="17" fillId="0" borderId="58" xfId="1" applyNumberFormat="1" applyFont="1" applyBorder="1" applyAlignment="1">
      <alignment vertical="center"/>
    </xf>
    <xf numFmtId="180" fontId="7" fillId="0" borderId="75" xfId="5" applyNumberFormat="1" applyFont="1" applyFill="1" applyBorder="1" applyAlignment="1">
      <alignment horizontal="center" vertical="center" wrapText="1"/>
    </xf>
    <xf numFmtId="180" fontId="7" fillId="0" borderId="76" xfId="5" applyNumberFormat="1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/>
    </xf>
    <xf numFmtId="180" fontId="7" fillId="0" borderId="63" xfId="5" applyNumberFormat="1" applyFont="1" applyFill="1" applyBorder="1" applyAlignment="1">
      <alignment horizontal="center" vertical="center" wrapText="1"/>
    </xf>
    <xf numFmtId="180" fontId="7" fillId="0" borderId="65" xfId="5" applyNumberFormat="1" applyFont="1" applyFill="1" applyBorder="1" applyAlignment="1">
      <alignment horizontal="center" vertical="center" wrapText="1"/>
    </xf>
    <xf numFmtId="180" fontId="7" fillId="0" borderId="64" xfId="5" applyNumberFormat="1" applyFont="1" applyFill="1" applyBorder="1" applyAlignment="1">
      <alignment horizontal="center" vertical="center" wrapText="1"/>
    </xf>
    <xf numFmtId="0" fontId="7" fillId="5" borderId="59" xfId="3" applyFont="1" applyFill="1" applyBorder="1" applyAlignment="1">
      <alignment horizontal="center" vertical="center"/>
    </xf>
    <xf numFmtId="0" fontId="7" fillId="5" borderId="60" xfId="3" applyFont="1" applyFill="1" applyBorder="1" applyAlignment="1">
      <alignment horizontal="center" vertical="center"/>
    </xf>
    <xf numFmtId="0" fontId="7" fillId="5" borderId="61" xfId="3" applyFont="1" applyFill="1" applyBorder="1" applyAlignment="1">
      <alignment horizontal="center" vertical="center"/>
    </xf>
    <xf numFmtId="0" fontId="7" fillId="5" borderId="62" xfId="3" applyFont="1" applyFill="1" applyBorder="1" applyAlignment="1">
      <alignment horizontal="center" vertical="center"/>
    </xf>
    <xf numFmtId="0" fontId="7" fillId="5" borderId="63" xfId="3" applyFont="1" applyFill="1" applyBorder="1" applyAlignment="1">
      <alignment horizontal="center" vertical="center"/>
    </xf>
    <xf numFmtId="0" fontId="7" fillId="5" borderId="64" xfId="3" applyFont="1" applyFill="1" applyBorder="1" applyAlignment="1">
      <alignment horizontal="center" vertical="center"/>
    </xf>
    <xf numFmtId="180" fontId="7" fillId="0" borderId="63" xfId="4" applyNumberFormat="1" applyFont="1" applyFill="1" applyBorder="1" applyAlignment="1">
      <alignment horizontal="center" vertical="center" wrapText="1"/>
    </xf>
    <xf numFmtId="180" fontId="7" fillId="0" borderId="65" xfId="4" applyNumberFormat="1" applyFont="1" applyFill="1" applyBorder="1" applyAlignment="1">
      <alignment horizontal="center" vertical="center" wrapText="1"/>
    </xf>
    <xf numFmtId="180" fontId="7" fillId="0" borderId="64" xfId="4" applyNumberFormat="1" applyFont="1" applyFill="1" applyBorder="1" applyAlignment="1">
      <alignment horizontal="center" vertical="center" wrapText="1"/>
    </xf>
    <xf numFmtId="0" fontId="7" fillId="0" borderId="63" xfId="3" applyFont="1" applyFill="1" applyBorder="1" applyAlignment="1">
      <alignment horizontal="center" vertical="center"/>
    </xf>
    <xf numFmtId="0" fontId="7" fillId="0" borderId="65" xfId="3" applyFont="1" applyFill="1" applyBorder="1" applyAlignment="1">
      <alignment horizontal="center" vertical="center"/>
    </xf>
    <xf numFmtId="0" fontId="7" fillId="0" borderId="64" xfId="3" applyFont="1" applyFill="1" applyBorder="1" applyAlignment="1">
      <alignment horizontal="center" vertical="center"/>
    </xf>
    <xf numFmtId="180" fontId="7" fillId="0" borderId="63" xfId="5" applyNumberFormat="1" applyFont="1" applyFill="1" applyBorder="1" applyAlignment="1">
      <alignment horizontal="center" vertical="center" wrapText="1" shrinkToFit="1"/>
    </xf>
    <xf numFmtId="180" fontId="7" fillId="0" borderId="64" xfId="5" applyNumberFormat="1" applyFont="1" applyFill="1" applyBorder="1" applyAlignment="1">
      <alignment horizontal="center" vertical="center" wrapText="1" shrinkToFit="1"/>
    </xf>
    <xf numFmtId="0" fontId="21" fillId="4" borderId="70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>
      <alignment horizontal="center" vertical="center" wrapText="1"/>
    </xf>
    <xf numFmtId="0" fontId="21" fillId="4" borderId="71" xfId="0" applyFont="1" applyFill="1" applyBorder="1" applyAlignment="1">
      <alignment horizontal="center" vertical="center" wrapText="1"/>
    </xf>
    <xf numFmtId="0" fontId="21" fillId="4" borderId="72" xfId="0" applyFont="1" applyFill="1" applyBorder="1" applyAlignment="1">
      <alignment horizontal="center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21" fillId="4" borderId="67" xfId="0" applyFont="1" applyFill="1" applyBorder="1" applyAlignment="1">
      <alignment horizontal="center" vertical="center" wrapText="1"/>
    </xf>
    <xf numFmtId="0" fontId="21" fillId="4" borderId="68" xfId="0" applyFont="1" applyFill="1" applyBorder="1" applyAlignment="1">
      <alignment horizontal="center" vertical="center" wrapText="1"/>
    </xf>
    <xf numFmtId="0" fontId="21" fillId="4" borderId="74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9" fillId="5" borderId="63" xfId="0" applyFont="1" applyFill="1" applyBorder="1" applyAlignment="1">
      <alignment horizontal="center" vertical="center" wrapText="1"/>
    </xf>
    <xf numFmtId="0" fontId="9" fillId="5" borderId="65" xfId="0" applyFont="1" applyFill="1" applyBorder="1" applyAlignment="1">
      <alignment horizontal="center" vertical="center" wrapText="1"/>
    </xf>
    <xf numFmtId="0" fontId="9" fillId="5" borderId="64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25" fillId="4" borderId="71" xfId="0" applyFont="1" applyFill="1" applyBorder="1" applyAlignment="1">
      <alignment horizontal="center" vertical="center" wrapText="1"/>
    </xf>
    <xf numFmtId="0" fontId="25" fillId="4" borderId="73" xfId="0" applyFont="1" applyFill="1" applyBorder="1" applyAlignment="1">
      <alignment horizontal="center" vertical="center" wrapText="1"/>
    </xf>
    <xf numFmtId="0" fontId="25" fillId="4" borderId="79" xfId="0" applyFont="1" applyFill="1" applyBorder="1" applyAlignment="1">
      <alignment horizontal="center" vertical="center" wrapText="1"/>
    </xf>
    <xf numFmtId="0" fontId="25" fillId="4" borderId="77" xfId="0" applyFont="1" applyFill="1" applyBorder="1" applyAlignment="1">
      <alignment horizontal="center" vertical="center" wrapText="1"/>
    </xf>
    <xf numFmtId="0" fontId="25" fillId="4" borderId="67" xfId="0" applyFont="1" applyFill="1" applyBorder="1" applyAlignment="1">
      <alignment horizontal="center" vertical="center" wrapText="1"/>
    </xf>
    <xf numFmtId="0" fontId="25" fillId="4" borderId="74" xfId="0" applyFont="1" applyFill="1" applyBorder="1" applyAlignment="1">
      <alignment horizontal="center" vertical="center" wrapText="1"/>
    </xf>
    <xf numFmtId="0" fontId="25" fillId="4" borderId="80" xfId="0" applyFont="1" applyFill="1" applyBorder="1" applyAlignment="1">
      <alignment horizontal="center" vertical="center" wrapText="1"/>
    </xf>
    <xf numFmtId="0" fontId="25" fillId="4" borderId="81" xfId="0" applyFont="1" applyFill="1" applyBorder="1" applyAlignment="1">
      <alignment horizontal="center" vertical="center" wrapText="1"/>
    </xf>
    <xf numFmtId="0" fontId="25" fillId="4" borderId="82" xfId="0" applyFont="1" applyFill="1" applyBorder="1" applyAlignment="1">
      <alignment horizontal="center" vertical="center" wrapText="1"/>
    </xf>
    <xf numFmtId="0" fontId="25" fillId="4" borderId="70" xfId="0" applyFont="1" applyFill="1" applyBorder="1" applyAlignment="1">
      <alignment horizontal="center" vertical="center" wrapText="1"/>
    </xf>
    <xf numFmtId="0" fontId="25" fillId="4" borderId="78" xfId="0" applyFont="1" applyFill="1" applyBorder="1" applyAlignment="1">
      <alignment horizontal="center" vertical="center" wrapText="1"/>
    </xf>
  </cellXfs>
  <cellStyles count="8">
    <cellStyle name="쉼표 [0]" xfId="1" builtinId="6"/>
    <cellStyle name="쉼표 [0] 2" xfId="4"/>
    <cellStyle name="쉼표 [0] 2 2" xfId="6"/>
    <cellStyle name="표준" xfId="0" builtinId="0"/>
    <cellStyle name="표준 2" xfId="3"/>
    <cellStyle name="표준_과거인구" xfId="7"/>
    <cellStyle name="표준_운영결과조사('06년말)" xfId="5"/>
    <cellStyle name="표준_하수처리장운영결과조사표(총괄)" xfId="2"/>
  </cellStyles>
  <dxfs count="4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9.4551282051282992E-2"/>
          <c:y val="2.9605263157894884E-2"/>
          <c:w val="0.88967146617850734"/>
          <c:h val="0.88486842105262808"/>
        </c:manualLayout>
      </c:layout>
      <c:barChart>
        <c:barDir val="col"/>
        <c:grouping val="clustered"/>
        <c:ser>
          <c:idx val="0"/>
          <c:order val="0"/>
          <c:tx>
            <c:strRef>
              <c:f>'2. 예산집행현황'!$A$5:$B$5</c:f>
              <c:strCache>
                <c:ptCount val="1"/>
                <c:pt idx="0">
                  <c:v>전국 점유율</c:v>
                </c:pt>
              </c:strCache>
            </c:strRef>
          </c:tx>
          <c:spPr>
            <a:gradFill>
              <a:gsLst>
                <a:gs pos="21000">
                  <a:srgbClr val="4F81BD">
                    <a:tint val="66000"/>
                    <a:satMod val="160000"/>
                    <a:alpha val="62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dLbls>
            <c:showVal val="1"/>
          </c:dLbls>
          <c:cat>
            <c:strRef>
              <c:f>'2. 예산집행현황'!$C$3:$I$3</c:f>
              <c:strCache>
                <c:ptCount val="7"/>
                <c:pt idx="0">
                  <c:v>합계</c:v>
                </c:pt>
                <c:pt idx="1">
                  <c:v>인건비</c:v>
                </c:pt>
                <c:pt idx="2">
                  <c:v>전력비</c:v>
                </c:pt>
                <c:pt idx="3">
                  <c:v>약품비</c:v>
                </c:pt>
                <c:pt idx="4">
                  <c:v>슬러지
처리비</c:v>
                </c:pt>
                <c:pt idx="5">
                  <c:v>개ㆍ보수비</c:v>
                </c:pt>
                <c:pt idx="6">
                  <c:v>기 타</c:v>
                </c:pt>
              </c:strCache>
            </c:strRef>
          </c:cat>
          <c:val>
            <c:numRef>
              <c:f>'2. 예산집행현황'!$C$5:$I$5</c:f>
              <c:numCache>
                <c:formatCode>#,##0;[Red]\-#,##0</c:formatCode>
                <c:ptCount val="7"/>
                <c:pt idx="0">
                  <c:v>100</c:v>
                </c:pt>
                <c:pt idx="1">
                  <c:v>28.1</c:v>
                </c:pt>
                <c:pt idx="2">
                  <c:v>19.7</c:v>
                </c:pt>
                <c:pt idx="3">
                  <c:v>5.3</c:v>
                </c:pt>
                <c:pt idx="4">
                  <c:v>16.899999999999999</c:v>
                </c:pt>
                <c:pt idx="5">
                  <c:v>18.5</c:v>
                </c:pt>
                <c:pt idx="6">
                  <c:v>11.5</c:v>
                </c:pt>
              </c:numCache>
            </c:numRef>
          </c:val>
        </c:ser>
        <c:ser>
          <c:idx val="2"/>
          <c:order val="1"/>
          <c:tx>
            <c:strRef>
              <c:f>'2. 예산집행현황'!$A$7:$B$7</c:f>
              <c:strCache>
                <c:ptCount val="1"/>
                <c:pt idx="0">
                  <c:v>보령시 점유율</c:v>
                </c:pt>
              </c:strCache>
            </c:strRef>
          </c:tx>
          <c:dLbls>
            <c:showVal val="1"/>
          </c:dLbls>
          <c:cat>
            <c:strRef>
              <c:f>'2. 예산집행현황'!$C$3:$I$3</c:f>
              <c:strCache>
                <c:ptCount val="7"/>
                <c:pt idx="0">
                  <c:v>합계</c:v>
                </c:pt>
                <c:pt idx="1">
                  <c:v>인건비</c:v>
                </c:pt>
                <c:pt idx="2">
                  <c:v>전력비</c:v>
                </c:pt>
                <c:pt idx="3">
                  <c:v>약품비</c:v>
                </c:pt>
                <c:pt idx="4">
                  <c:v>슬러지
처리비</c:v>
                </c:pt>
                <c:pt idx="5">
                  <c:v>개ㆍ보수비</c:v>
                </c:pt>
                <c:pt idx="6">
                  <c:v>기 타</c:v>
                </c:pt>
              </c:strCache>
            </c:strRef>
          </c:cat>
          <c:val>
            <c:numRef>
              <c:f>'2. 예산집행현황'!$C$7:$I$7</c:f>
              <c:numCache>
                <c:formatCode>#,##0;[Red]\-#,##0</c:formatCode>
                <c:ptCount val="7"/>
                <c:pt idx="0">
                  <c:v>100.1</c:v>
                </c:pt>
                <c:pt idx="1">
                  <c:v>45.3</c:v>
                </c:pt>
                <c:pt idx="2">
                  <c:v>14.7</c:v>
                </c:pt>
                <c:pt idx="3">
                  <c:v>2.1</c:v>
                </c:pt>
                <c:pt idx="4">
                  <c:v>10</c:v>
                </c:pt>
                <c:pt idx="5">
                  <c:v>2.8</c:v>
                </c:pt>
                <c:pt idx="6">
                  <c:v>25.2</c:v>
                </c:pt>
              </c:numCache>
            </c:numRef>
          </c:val>
        </c:ser>
        <c:dLbls>
          <c:showVal val="1"/>
        </c:dLbls>
        <c:gapWidth val="248"/>
        <c:overlap val="-10"/>
        <c:axId val="82743296"/>
        <c:axId val="82744832"/>
      </c:barChart>
      <c:catAx>
        <c:axId val="8274329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2744832"/>
        <c:crosses val="autoZero"/>
        <c:auto val="1"/>
        <c:lblAlgn val="ctr"/>
        <c:lblOffset val="100"/>
        <c:tickLblSkip val="1"/>
        <c:tickMarkSkip val="1"/>
      </c:catAx>
      <c:valAx>
        <c:axId val="827448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ko-KR" altLang="en-US" sz="8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유지관리비 점유율</a:t>
                </a:r>
                <a:r>
                  <a:rPr lang="en-US" altLang="ko-KR" sz="8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1.7628202967981437E-2"/>
              <c:y val="0.26315778534630635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2743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12072028552478"/>
          <c:y val="5.1471928077955746E-2"/>
          <c:w val="0.22561050838942845"/>
          <c:h val="8.2072389957877787E-2"/>
        </c:manualLayout>
      </c:layout>
      <c:spPr>
        <a:gradFill rotWithShape="0">
          <a:gsLst>
            <a:gs pos="0">
              <a:srgbClr val="FFFFFF">
                <a:gamma/>
                <a:shade val="46275"/>
                <a:invGamma/>
              </a:srgbClr>
            </a:gs>
            <a:gs pos="5000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0.11374407582938389"/>
          <c:y val="7.8291814946619423E-2"/>
          <c:w val="0.86887835703001814"/>
          <c:h val="0.6939501779359424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pattFill prst="dkDnDiag">
                <a:fgClr>
                  <a:srgbClr val="FFCC99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narVert">
                <a:fgClr>
                  <a:srgbClr val="CCFFFF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Horz">
                <a:fgClr>
                  <a:srgbClr val="FF660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lgCheck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'8.유지관리비'!$A$41:$A$45</c:f>
              <c:strCache>
                <c:ptCount val="5"/>
                <c:pt idx="0">
                  <c:v>보령</c:v>
                </c:pt>
                <c:pt idx="1">
                  <c:v>대천</c:v>
                </c:pt>
                <c:pt idx="2">
                  <c:v>웅천</c:v>
                </c:pt>
                <c:pt idx="3">
                  <c:v>무창포</c:v>
                </c:pt>
                <c:pt idx="4">
                  <c:v>성주</c:v>
                </c:pt>
              </c:strCache>
            </c:strRef>
          </c:cat>
          <c:val>
            <c:numRef>
              <c:f>'8.유지관리비'!$B$41:$B$45</c:f>
              <c:numCache>
                <c:formatCode>_-* #,##0.0_-;\-* #,##0.0_-;_-* "-"_-;_-@_-</c:formatCode>
                <c:ptCount val="5"/>
                <c:pt idx="0">
                  <c:v>100.35029961104394</c:v>
                </c:pt>
                <c:pt idx="1">
                  <c:v>542.22100603743058</c:v>
                </c:pt>
                <c:pt idx="2">
                  <c:v>1463.4885844748858</c:v>
                </c:pt>
                <c:pt idx="3">
                  <c:v>814.59841384282618</c:v>
                </c:pt>
                <c:pt idx="4">
                  <c:v>206.71712740137397</c:v>
                </c:pt>
              </c:numCache>
            </c:numRef>
          </c:val>
        </c:ser>
        <c:gapWidth val="142"/>
        <c:axId val="83217792"/>
        <c:axId val="83224064"/>
      </c:barChart>
      <c:catAx>
        <c:axId val="8321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ko-KR" altLang="en-US"/>
                  <a:t>공공하수처리시설</a:t>
                </a:r>
              </a:p>
            </c:rich>
          </c:tx>
          <c:layout>
            <c:manualLayout>
              <c:xMode val="edge"/>
              <c:yMode val="edge"/>
              <c:x val="0.4565560821484993"/>
              <c:y val="0.87900355871886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83224064"/>
        <c:crosses val="autoZero"/>
        <c:lblAlgn val="ctr"/>
        <c:lblOffset val="100"/>
        <c:tickMarkSkip val="1"/>
      </c:catAx>
      <c:valAx>
        <c:axId val="83224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ko-KR" altLang="en-US"/>
                  <a:t>하수처리단가</a:t>
                </a:r>
                <a:r>
                  <a:rPr lang="en-US" altLang="ko-KR"/>
                  <a:t>(</a:t>
                </a:r>
                <a:r>
                  <a:rPr lang="ko-KR" altLang="en-US"/>
                  <a:t>원</a:t>
                </a:r>
                <a:r>
                  <a:rPr lang="en-US" altLang="ko-KR"/>
                  <a:t>/</a:t>
                </a:r>
                <a:r>
                  <a:rPr lang="ko-KR" altLang="en-US"/>
                  <a:t>톤</a:t>
                </a:r>
                <a:r>
                  <a:rPr lang="en-US" altLang="ko-KR"/>
                  <a:t>)</a:t>
                </a:r>
              </a:p>
            </c:rich>
          </c:tx>
          <c:layout>
            <c:manualLayout>
              <c:xMode val="edge"/>
              <c:yMode val="edge"/>
              <c:x val="1.2921710447420263E-2"/>
              <c:y val="0.19572961576524245"/>
            </c:manualLayout>
          </c:layout>
          <c:spPr>
            <a:noFill/>
            <a:ln w="25400">
              <a:noFill/>
            </a:ln>
          </c:spPr>
        </c:title>
        <c:numFmt formatCode="0_ 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8321779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0.15273775216138413"/>
          <c:y val="2.5210084033613443E-2"/>
          <c:w val="0.8328530259365996"/>
          <c:h val="0.89915966386554624"/>
        </c:manualLayout>
      </c:layout>
      <c:barChart>
        <c:barDir val="col"/>
        <c:grouping val="clustered"/>
        <c:ser>
          <c:idx val="0"/>
          <c:order val="0"/>
          <c:tx>
            <c:strRef>
              <c:f>'9.처리비용'!$F$4</c:f>
              <c:strCache>
                <c:ptCount val="1"/>
                <c:pt idx="0">
                  <c:v>하수톤당</c:v>
                </c:pt>
              </c:strCache>
            </c:strRef>
          </c:tx>
          <c:spPr>
            <a:pattFill prst="lt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'9.처리비용'!$A$5:$A$6</c:f>
              <c:strCache>
                <c:ptCount val="2"/>
                <c:pt idx="0">
                  <c:v>전 국</c:v>
                </c:pt>
                <c:pt idx="1">
                  <c:v>보령시</c:v>
                </c:pt>
              </c:strCache>
            </c:strRef>
          </c:cat>
          <c:val>
            <c:numRef>
              <c:f>'9.처리비용'!$F$5:$F$6</c:f>
              <c:numCache>
                <c:formatCode>_-* #,##0_-;\-* #,##0_-;_-* "-"_-;_-@_-</c:formatCode>
                <c:ptCount val="2"/>
                <c:pt idx="0">
                  <c:v>105.5</c:v>
                </c:pt>
                <c:pt idx="1">
                  <c:v>158</c:v>
                </c:pt>
              </c:numCache>
            </c:numRef>
          </c:val>
        </c:ser>
        <c:ser>
          <c:idx val="1"/>
          <c:order val="1"/>
          <c:tx>
            <c:strRef>
              <c:f>'9.처리비용'!$G$4</c:f>
              <c:strCache>
                <c:ptCount val="1"/>
                <c:pt idx="0">
                  <c:v>BODkg당</c:v>
                </c:pt>
              </c:strCache>
            </c:strRef>
          </c:tx>
          <c:spPr>
            <a:pattFill prst="horzBrick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'9.처리비용'!$A$5:$A$6</c:f>
              <c:strCache>
                <c:ptCount val="2"/>
                <c:pt idx="0">
                  <c:v>전 국</c:v>
                </c:pt>
                <c:pt idx="1">
                  <c:v>보령시</c:v>
                </c:pt>
              </c:strCache>
            </c:strRef>
          </c:cat>
          <c:val>
            <c:numRef>
              <c:f>'9.처리비용'!$G$5:$G$6</c:f>
              <c:numCache>
                <c:formatCode>_-* #,##0_-;\-* #,##0_-;_-* "-"_-;_-@_-</c:formatCode>
                <c:ptCount val="2"/>
                <c:pt idx="0">
                  <c:v>824.4</c:v>
                </c:pt>
                <c:pt idx="1">
                  <c:v>3125.9510763209391</c:v>
                </c:pt>
              </c:numCache>
            </c:numRef>
          </c:val>
        </c:ser>
        <c:gapWidth val="400"/>
        <c:axId val="83199872"/>
        <c:axId val="83201408"/>
      </c:barChart>
      <c:catAx>
        <c:axId val="8319987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3201408"/>
        <c:crosses val="autoZero"/>
        <c:auto val="1"/>
        <c:lblAlgn val="ctr"/>
        <c:lblOffset val="100"/>
        <c:tickLblSkip val="1"/>
        <c:tickMarkSkip val="1"/>
      </c:catAx>
      <c:valAx>
        <c:axId val="83201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ko-KR" altLang="en-US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처리단가</a:t>
                </a:r>
                <a:r>
                  <a:rPr lang="en-US" altLang="ko-KR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(</a:t>
                </a:r>
                <a:r>
                  <a:rPr lang="ko-KR" altLang="en-US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원</a:t>
                </a:r>
                <a:r>
                  <a:rPr lang="en-US" altLang="ko-KR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7858953989112015E-2"/>
              <c:y val="0.3613444906191684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31998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82989197166076"/>
          <c:y val="6.7227618445504525E-2"/>
          <c:w val="0.23919254728352085"/>
          <c:h val="8.40335651474229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>
        <c:manualLayout>
          <c:layoutTarget val="inner"/>
          <c:xMode val="edge"/>
          <c:yMode val="edge"/>
          <c:x val="0.15273775216138424"/>
          <c:y val="2.5210084033613443E-2"/>
          <c:w val="0.8328530259365996"/>
          <c:h val="0.89915966386554624"/>
        </c:manualLayout>
      </c:layout>
      <c:barChart>
        <c:barDir val="col"/>
        <c:grouping val="clustered"/>
        <c:ser>
          <c:idx val="0"/>
          <c:order val="0"/>
          <c:tx>
            <c:strRef>
              <c:f>'9.처리비용'!$H$4</c:f>
              <c:strCache>
                <c:ptCount val="1"/>
                <c:pt idx="0">
                  <c:v>찌꺼기톤당</c:v>
                </c:pt>
              </c:strCache>
            </c:strRef>
          </c:tx>
          <c:spPr>
            <a:pattFill prst="lt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'9.처리비용'!$A$5:$A$6</c:f>
              <c:strCache>
                <c:ptCount val="2"/>
                <c:pt idx="0">
                  <c:v>전 국</c:v>
                </c:pt>
                <c:pt idx="1">
                  <c:v>보령시</c:v>
                </c:pt>
              </c:strCache>
            </c:strRef>
          </c:cat>
          <c:val>
            <c:numRef>
              <c:f>'9.처리비용'!$H$5:$H$6</c:f>
              <c:numCache>
                <c:formatCode>_-* #,##0_-;\-* #,##0_-;_-* "-"_-;_-@_-</c:formatCode>
                <c:ptCount val="2"/>
                <c:pt idx="0">
                  <c:v>41766.300000000003</c:v>
                </c:pt>
                <c:pt idx="1">
                  <c:v>34530.204259017817</c:v>
                </c:pt>
              </c:numCache>
            </c:numRef>
          </c:val>
        </c:ser>
        <c:gapWidth val="400"/>
        <c:axId val="88677376"/>
        <c:axId val="88724224"/>
      </c:barChart>
      <c:catAx>
        <c:axId val="8867737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8724224"/>
        <c:crosses val="autoZero"/>
        <c:auto val="1"/>
        <c:lblAlgn val="ctr"/>
        <c:lblOffset val="100"/>
        <c:tickLblSkip val="1"/>
        <c:tickMarkSkip val="1"/>
      </c:catAx>
      <c:valAx>
        <c:axId val="88724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돋움"/>
                    <a:ea typeface="돋움"/>
                    <a:cs typeface="돋움"/>
                  </a:defRPr>
                </a:pPr>
                <a:r>
                  <a:rPr lang="ko-KR" altLang="en-US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처리단가</a:t>
                </a:r>
                <a:r>
                  <a:rPr lang="en-US" altLang="ko-KR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(</a:t>
                </a:r>
                <a:r>
                  <a:rPr lang="ko-KR" altLang="en-US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원</a:t>
                </a:r>
                <a:r>
                  <a:rPr lang="en-US" altLang="ko-KR" sz="900" b="1" i="0" strike="noStrike">
                    <a:solidFill>
                      <a:srgbClr val="000000"/>
                    </a:solidFill>
                    <a:latin typeface="돋움"/>
                    <a:ea typeface="돋움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7858953989112015E-2"/>
              <c:y val="0.3613444906191685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8677376"/>
        <c:crosses val="autoZero"/>
        <c:crossBetween val="between"/>
        <c:majorUnit val="1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416624787771131"/>
          <c:y val="6.7227690137849253E-2"/>
          <c:w val="0.23919254728352085"/>
          <c:h val="8.403356514742299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돋움"/>
              <a:ea typeface="돋움"/>
              <a:cs typeface="돋움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958" y="2676524"/>
    <xdr:ext cx="7800976" cy="4314825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478306" y="12278845"/>
    <xdr:ext cx="6312477" cy="2905125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686300" y="3679825"/>
    <xdr:ext cx="5689023" cy="2848841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702175" y="6762750"/>
    <xdr:ext cx="5689023" cy="2848841"/>
    <xdr:graphicFrame macro="">
      <xdr:nvGraphicFramePr>
        <xdr:cNvPr id="5" name="차트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view="pageBreakPreview" zoomScaleNormal="100" zoomScaleSheetLayoutView="100" workbookViewId="0"/>
  </sheetViews>
  <sheetFormatPr defaultRowHeight="13.5"/>
  <cols>
    <col min="1" max="1" width="9" style="23"/>
    <col min="2" max="2" width="19" style="23" customWidth="1"/>
    <col min="3" max="3" width="22.5" style="23" customWidth="1"/>
    <col min="4" max="4" width="12.875" style="23" bestFit="1" customWidth="1"/>
    <col min="5" max="5" width="9.5" style="23" bestFit="1" customWidth="1"/>
    <col min="6" max="8" width="9.125" style="23" bestFit="1" customWidth="1"/>
    <col min="9" max="16384" width="9" style="23"/>
  </cols>
  <sheetData>
    <row r="1" spans="1:8" ht="22.5" customHeight="1">
      <c r="A1" s="197" t="s">
        <v>241</v>
      </c>
    </row>
    <row r="2" spans="1:8" ht="18.75" customHeight="1">
      <c r="A2" s="188" t="s">
        <v>227</v>
      </c>
    </row>
    <row r="4" spans="1:8" ht="44.25" customHeight="1">
      <c r="A4" s="198" t="s">
        <v>0</v>
      </c>
      <c r="B4" s="199"/>
      <c r="C4" s="199" t="s">
        <v>1</v>
      </c>
      <c r="D4" s="149" t="s">
        <v>2</v>
      </c>
      <c r="E4" s="149" t="s">
        <v>3</v>
      </c>
      <c r="F4" s="149" t="s">
        <v>4</v>
      </c>
      <c r="G4" s="149" t="s">
        <v>5</v>
      </c>
      <c r="H4" s="154" t="s">
        <v>6</v>
      </c>
    </row>
    <row r="5" spans="1:8" ht="44.25" customHeight="1">
      <c r="A5" s="200"/>
      <c r="B5" s="201"/>
      <c r="C5" s="201"/>
      <c r="D5" s="21">
        <v>30000</v>
      </c>
      <c r="E5" s="21">
        <v>11000</v>
      </c>
      <c r="F5" s="21">
        <v>1500</v>
      </c>
      <c r="G5" s="21">
        <v>1600</v>
      </c>
      <c r="H5" s="155">
        <v>700</v>
      </c>
    </row>
    <row r="6" spans="1:8" ht="44.25" customHeight="1">
      <c r="A6" s="151" t="s">
        <v>7</v>
      </c>
      <c r="B6" s="11" t="s">
        <v>9</v>
      </c>
      <c r="C6" s="152" t="s">
        <v>107</v>
      </c>
      <c r="D6" s="152">
        <f>ROUNDUP(0.291*D5^0.447,0)</f>
        <v>30</v>
      </c>
      <c r="E6" s="152">
        <f t="shared" ref="E6:G6" si="0">ROUNDUP(0.291*E5^0.447,0)</f>
        <v>19</v>
      </c>
      <c r="F6" s="152">
        <f t="shared" si="0"/>
        <v>8</v>
      </c>
      <c r="G6" s="152">
        <f t="shared" si="0"/>
        <v>8</v>
      </c>
      <c r="H6" s="13">
        <f>ROUNDUP(0.291*H5^0.447,0)</f>
        <v>6</v>
      </c>
    </row>
    <row r="7" spans="1:8" ht="44.25" customHeight="1">
      <c r="A7" s="153" t="s">
        <v>8</v>
      </c>
      <c r="B7" s="14" t="s">
        <v>10</v>
      </c>
      <c r="C7" s="92" t="s">
        <v>108</v>
      </c>
      <c r="D7" s="92">
        <f>ROUNDUP(0.23*D5^0.469,0)</f>
        <v>29</v>
      </c>
      <c r="E7" s="92">
        <f t="shared" ref="E7:H7" si="1">ROUNDUP(0.23*E5^0.469,0)</f>
        <v>19</v>
      </c>
      <c r="F7" s="92">
        <f t="shared" si="1"/>
        <v>8</v>
      </c>
      <c r="G7" s="92">
        <f t="shared" si="1"/>
        <v>8</v>
      </c>
      <c r="H7" s="16">
        <f t="shared" si="1"/>
        <v>5</v>
      </c>
    </row>
    <row r="8" spans="1:8" ht="44.25" customHeight="1">
      <c r="A8" s="17"/>
      <c r="B8" s="14" t="s">
        <v>11</v>
      </c>
      <c r="C8" s="92" t="s">
        <v>109</v>
      </c>
      <c r="D8" s="92">
        <f>ROUNDUP(1.7078*D5^0.2692,0)</f>
        <v>28</v>
      </c>
      <c r="E8" s="92">
        <f t="shared" ref="E8:H8" si="2">ROUNDUP(1.7078*E5^0.2692,0)</f>
        <v>21</v>
      </c>
      <c r="F8" s="92">
        <f t="shared" si="2"/>
        <v>13</v>
      </c>
      <c r="G8" s="92">
        <f t="shared" si="2"/>
        <v>13</v>
      </c>
      <c r="H8" s="16">
        <f t="shared" si="2"/>
        <v>10</v>
      </c>
    </row>
    <row r="9" spans="1:8" ht="44.25" customHeight="1">
      <c r="A9" s="17"/>
      <c r="B9" s="14" t="s">
        <v>12</v>
      </c>
      <c r="C9" s="92" t="s">
        <v>110</v>
      </c>
      <c r="D9" s="92">
        <f>ROUNDUP(0.2181*D5^0.4741,0)</f>
        <v>29</v>
      </c>
      <c r="E9" s="92">
        <f t="shared" ref="E9:H9" si="3">ROUNDUP(0.2181*E5^0.4741,0)</f>
        <v>18</v>
      </c>
      <c r="F9" s="92">
        <f t="shared" si="3"/>
        <v>7</v>
      </c>
      <c r="G9" s="92">
        <f t="shared" si="3"/>
        <v>8</v>
      </c>
      <c r="H9" s="16">
        <f t="shared" si="3"/>
        <v>5</v>
      </c>
    </row>
    <row r="10" spans="1:8" ht="44.25" customHeight="1">
      <c r="A10" s="153" t="s">
        <v>13</v>
      </c>
      <c r="B10" s="14" t="s">
        <v>14</v>
      </c>
      <c r="C10" s="92" t="s">
        <v>111</v>
      </c>
      <c r="D10" s="92">
        <f>ROUNDUP(0.229*D5^0.463,0)</f>
        <v>28</v>
      </c>
      <c r="E10" s="92">
        <f t="shared" ref="E10:H10" si="4">ROUNDUP(0.229*E5^0.463,0)</f>
        <v>18</v>
      </c>
      <c r="F10" s="92">
        <f t="shared" si="4"/>
        <v>7</v>
      </c>
      <c r="G10" s="92">
        <f t="shared" si="4"/>
        <v>7</v>
      </c>
      <c r="H10" s="16">
        <f t="shared" si="4"/>
        <v>5</v>
      </c>
    </row>
    <row r="11" spans="1:8" ht="44.25" customHeight="1">
      <c r="A11" s="153" t="s">
        <v>8</v>
      </c>
      <c r="B11" s="14" t="s">
        <v>15</v>
      </c>
      <c r="C11" s="92" t="s">
        <v>112</v>
      </c>
      <c r="D11" s="92">
        <f>ROUNDUP(0.09*D5^0.572,0)</f>
        <v>33</v>
      </c>
      <c r="E11" s="92">
        <f t="shared" ref="E11:H11" si="5">ROUNDUP(0.09*E5^0.572,0)</f>
        <v>19</v>
      </c>
      <c r="F11" s="92">
        <f t="shared" si="5"/>
        <v>6</v>
      </c>
      <c r="G11" s="92">
        <f t="shared" si="5"/>
        <v>7</v>
      </c>
      <c r="H11" s="16">
        <f t="shared" si="5"/>
        <v>4</v>
      </c>
    </row>
    <row r="12" spans="1:8" ht="44.25" customHeight="1">
      <c r="A12" s="153" t="s">
        <v>16</v>
      </c>
      <c r="B12" s="14" t="s">
        <v>17</v>
      </c>
      <c r="C12" s="92" t="s">
        <v>113</v>
      </c>
      <c r="D12" s="92">
        <f>ROUNDUP(0.086*D5^0.522,0)</f>
        <v>19</v>
      </c>
      <c r="E12" s="92">
        <f t="shared" ref="E12:H12" si="6">ROUNDUP(0.086*E5^0.522,0)</f>
        <v>12</v>
      </c>
      <c r="F12" s="92">
        <f t="shared" si="6"/>
        <v>4</v>
      </c>
      <c r="G12" s="92">
        <f t="shared" si="6"/>
        <v>5</v>
      </c>
      <c r="H12" s="16">
        <f t="shared" si="6"/>
        <v>3</v>
      </c>
    </row>
    <row r="13" spans="1:8" ht="44.25" customHeight="1">
      <c r="A13" s="153" t="s">
        <v>8</v>
      </c>
      <c r="B13" s="14" t="s">
        <v>18</v>
      </c>
      <c r="C13" s="92" t="s">
        <v>114</v>
      </c>
      <c r="D13" s="92">
        <f>ROUNDUP(0.05*D5^0.575,0)</f>
        <v>19</v>
      </c>
      <c r="E13" s="92">
        <f t="shared" ref="E13:H13" si="7">ROUNDUP(0.05*E5^0.575,0)</f>
        <v>11</v>
      </c>
      <c r="F13" s="92">
        <f t="shared" si="7"/>
        <v>4</v>
      </c>
      <c r="G13" s="92">
        <f t="shared" si="7"/>
        <v>4</v>
      </c>
      <c r="H13" s="16">
        <f t="shared" si="7"/>
        <v>3</v>
      </c>
    </row>
    <row r="14" spans="1:8" ht="44.25" customHeight="1">
      <c r="A14" s="17"/>
      <c r="B14" s="14" t="s">
        <v>19</v>
      </c>
      <c r="C14" s="92" t="s">
        <v>115</v>
      </c>
      <c r="D14" s="92">
        <f>ROUNDUP(0.012*D5^0.679,0)</f>
        <v>14</v>
      </c>
      <c r="E14" s="92">
        <f t="shared" ref="E14:H14" si="8">ROUNDUP(0.012*E5^0.679,0)</f>
        <v>7</v>
      </c>
      <c r="F14" s="92">
        <f t="shared" si="8"/>
        <v>2</v>
      </c>
      <c r="G14" s="92">
        <f t="shared" si="8"/>
        <v>2</v>
      </c>
      <c r="H14" s="16">
        <f t="shared" si="8"/>
        <v>2</v>
      </c>
    </row>
    <row r="15" spans="1:8" ht="44.25" customHeight="1">
      <c r="A15" s="202" t="s">
        <v>20</v>
      </c>
      <c r="B15" s="203"/>
      <c r="C15" s="150"/>
      <c r="D15" s="150">
        <f>ROUND(AVERAGE(D6:D14),0)</f>
        <v>25</v>
      </c>
      <c r="E15" s="150">
        <f t="shared" ref="E15:H15" si="9">ROUND(AVERAGE(E6:E14),0)</f>
        <v>16</v>
      </c>
      <c r="F15" s="150">
        <f t="shared" si="9"/>
        <v>7</v>
      </c>
      <c r="G15" s="150">
        <f t="shared" si="9"/>
        <v>7</v>
      </c>
      <c r="H15" s="19">
        <f t="shared" si="9"/>
        <v>5</v>
      </c>
    </row>
    <row r="16" spans="1:8" ht="44.25" customHeight="1"/>
  </sheetData>
  <mergeCells count="3">
    <mergeCell ref="A4:B5"/>
    <mergeCell ref="C4:C5"/>
    <mergeCell ref="A15:B15"/>
  </mergeCells>
  <phoneticPr fontId="2" type="noConversion"/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view="pageBreakPreview" zoomScale="85" zoomScaleNormal="100" zoomScaleSheetLayoutView="85" workbookViewId="0">
      <selection activeCell="D14" sqref="D14"/>
    </sheetView>
  </sheetViews>
  <sheetFormatPr defaultRowHeight="20.100000000000001" customHeight="1"/>
  <cols>
    <col min="1" max="1" width="6.25" style="85" customWidth="1"/>
    <col min="2" max="2" width="7.375" style="85" bestFit="1" customWidth="1"/>
    <col min="3" max="3" width="7.5" style="85" bestFit="1" customWidth="1"/>
    <col min="4" max="4" width="10.5" style="85" bestFit="1" customWidth="1"/>
    <col min="5" max="5" width="10.625" style="85" customWidth="1"/>
    <col min="6" max="7" width="10.25" style="85" customWidth="1"/>
    <col min="8" max="8" width="9.75" style="85" customWidth="1"/>
    <col min="9" max="9" width="10.5" style="85" customWidth="1"/>
    <col min="10" max="10" width="10.375" style="85" customWidth="1"/>
    <col min="11" max="16384" width="9" style="85"/>
  </cols>
  <sheetData>
    <row r="1" spans="1:13" ht="20.100000000000001" customHeight="1">
      <c r="A1" s="188" t="s">
        <v>239</v>
      </c>
    </row>
    <row r="2" spans="1:13" ht="26.25" customHeight="1">
      <c r="A2" s="324" t="s">
        <v>0</v>
      </c>
      <c r="B2" s="324"/>
      <c r="C2" s="324"/>
      <c r="D2" s="326" t="s">
        <v>217</v>
      </c>
      <c r="E2" s="326" t="s">
        <v>218</v>
      </c>
      <c r="F2" s="326" t="s">
        <v>219</v>
      </c>
      <c r="G2" s="326" t="s">
        <v>220</v>
      </c>
      <c r="H2" s="324" t="s">
        <v>183</v>
      </c>
      <c r="I2" s="324"/>
      <c r="J2" s="324"/>
      <c r="K2" s="324" t="s">
        <v>221</v>
      </c>
      <c r="L2" s="324" t="s">
        <v>222</v>
      </c>
      <c r="M2" s="324" t="s">
        <v>223</v>
      </c>
    </row>
    <row r="3" spans="1:13" ht="26.25" customHeight="1">
      <c r="A3" s="324"/>
      <c r="B3" s="324"/>
      <c r="C3" s="324"/>
      <c r="D3" s="327"/>
      <c r="E3" s="327"/>
      <c r="F3" s="327"/>
      <c r="G3" s="327"/>
      <c r="H3" s="324"/>
      <c r="I3" s="324"/>
      <c r="J3" s="324"/>
      <c r="K3" s="324"/>
      <c r="L3" s="324"/>
      <c r="M3" s="324"/>
    </row>
    <row r="4" spans="1:13" ht="26.25" customHeight="1">
      <c r="A4" s="324"/>
      <c r="B4" s="324"/>
      <c r="C4" s="324"/>
      <c r="D4" s="328"/>
      <c r="E4" s="328"/>
      <c r="F4" s="328"/>
      <c r="G4" s="328"/>
      <c r="H4" s="156" t="s">
        <v>196</v>
      </c>
      <c r="I4" s="156" t="s">
        <v>197</v>
      </c>
      <c r="J4" s="156" t="s">
        <v>206</v>
      </c>
      <c r="K4" s="324"/>
      <c r="L4" s="324"/>
      <c r="M4" s="324"/>
    </row>
    <row r="5" spans="1:13" ht="26.25" customHeight="1">
      <c r="A5" s="325" t="s">
        <v>224</v>
      </c>
      <c r="B5" s="325" t="s">
        <v>60</v>
      </c>
      <c r="C5" s="157" t="s">
        <v>165</v>
      </c>
      <c r="D5" s="158">
        <f>'4. 하수처리비용'!C14</f>
        <v>909907</v>
      </c>
      <c r="E5" s="158">
        <f>28045*365/1000</f>
        <v>10236.424999999999</v>
      </c>
      <c r="F5" s="158">
        <f>M5*1000*E5/1000/1000</f>
        <v>314.25824749999998</v>
      </c>
      <c r="G5" s="158">
        <f>'8.유지관리비'!P10</f>
        <v>14492</v>
      </c>
      <c r="H5" s="159">
        <f>ROUND(D5/E5,1)</f>
        <v>88.9</v>
      </c>
      <c r="I5" s="159">
        <f>ROUND(D5/F5,1)</f>
        <v>2895.4</v>
      </c>
      <c r="J5" s="160">
        <f>ROUND(G5/E5,1)</f>
        <v>1.4</v>
      </c>
      <c r="K5" s="161">
        <v>37.6</v>
      </c>
      <c r="L5" s="161">
        <v>6.9</v>
      </c>
      <c r="M5" s="161">
        <f>K5-L5</f>
        <v>30.700000000000003</v>
      </c>
    </row>
    <row r="6" spans="1:13" ht="26.25" customHeight="1">
      <c r="A6" s="325"/>
      <c r="B6" s="325"/>
      <c r="C6" s="157" t="s">
        <v>82</v>
      </c>
      <c r="D6" s="158">
        <f>'4. 하수처리비용'!C15</f>
        <v>972582</v>
      </c>
      <c r="E6" s="158">
        <f>27543*365/1000</f>
        <v>10053.195</v>
      </c>
      <c r="F6" s="158">
        <f t="shared" ref="F6:F17" si="0">M6*1000*E6/1000/1000</f>
        <v>454.40441399999997</v>
      </c>
      <c r="G6" s="158">
        <f>'8.유지관리비'!P11</f>
        <v>87689</v>
      </c>
      <c r="H6" s="159">
        <f t="shared" ref="H6:H16" si="1">ROUND(D6/E6,1)</f>
        <v>96.7</v>
      </c>
      <c r="I6" s="159">
        <f t="shared" ref="I6:I17" si="2">ROUND(D6/F6,1)</f>
        <v>2140.3000000000002</v>
      </c>
      <c r="J6" s="160">
        <f t="shared" ref="J6:J17" si="3">ROUND(G6/E6,1)</f>
        <v>8.6999999999999993</v>
      </c>
      <c r="K6" s="161">
        <v>51.7</v>
      </c>
      <c r="L6" s="161">
        <v>6.5</v>
      </c>
      <c r="M6" s="161">
        <f t="shared" ref="M6:M17" si="4">K6-L6</f>
        <v>45.2</v>
      </c>
    </row>
    <row r="7" spans="1:13" ht="26.25" customHeight="1">
      <c r="A7" s="325"/>
      <c r="B7" s="325"/>
      <c r="C7" s="157" t="s">
        <v>83</v>
      </c>
      <c r="D7" s="158">
        <f>'4. 하수처리비용'!C16</f>
        <v>937818</v>
      </c>
      <c r="E7" s="158">
        <f>25131*365/1000</f>
        <v>9172.8150000000005</v>
      </c>
      <c r="F7" s="158">
        <f t="shared" si="0"/>
        <v>410.02483049999995</v>
      </c>
      <c r="G7" s="158">
        <f>'8.유지관리비'!P12</f>
        <v>88325</v>
      </c>
      <c r="H7" s="159">
        <f t="shared" si="1"/>
        <v>102.2</v>
      </c>
      <c r="I7" s="159">
        <f t="shared" si="2"/>
        <v>2287.1999999999998</v>
      </c>
      <c r="J7" s="160">
        <f t="shared" si="3"/>
        <v>9.6</v>
      </c>
      <c r="K7" s="161">
        <v>52.3</v>
      </c>
      <c r="L7" s="161">
        <v>7.6</v>
      </c>
      <c r="M7" s="161">
        <f t="shared" si="4"/>
        <v>44.699999999999996</v>
      </c>
    </row>
    <row r="8" spans="1:13" ht="26.25" customHeight="1">
      <c r="A8" s="325"/>
      <c r="B8" s="325"/>
      <c r="C8" s="157" t="s">
        <v>84</v>
      </c>
      <c r="D8" s="158">
        <f>'4. 하수처리비용'!C17</f>
        <v>925419</v>
      </c>
      <c r="E8" s="158">
        <f>24537*365/1000</f>
        <v>8956.0049999999992</v>
      </c>
      <c r="F8" s="158">
        <f t="shared" si="0"/>
        <v>523.92629249999993</v>
      </c>
      <c r="G8" s="158">
        <f>'8.유지관리비'!P13</f>
        <v>91552</v>
      </c>
      <c r="H8" s="159">
        <f t="shared" si="1"/>
        <v>103.3</v>
      </c>
      <c r="I8" s="159">
        <f t="shared" si="2"/>
        <v>1766.3</v>
      </c>
      <c r="J8" s="160">
        <f t="shared" si="3"/>
        <v>10.199999999999999</v>
      </c>
      <c r="K8" s="161">
        <v>66.400000000000006</v>
      </c>
      <c r="L8" s="161">
        <v>7.9</v>
      </c>
      <c r="M8" s="161">
        <f t="shared" si="4"/>
        <v>58.500000000000007</v>
      </c>
    </row>
    <row r="9" spans="1:13" ht="26.25" customHeight="1">
      <c r="A9" s="325"/>
      <c r="B9" s="325"/>
      <c r="C9" s="157" t="s">
        <v>85</v>
      </c>
      <c r="D9" s="158">
        <f>'4. 하수처리비용'!C18</f>
        <v>940656</v>
      </c>
      <c r="E9" s="158">
        <f>23569*365/1000</f>
        <v>8602.6849999999995</v>
      </c>
      <c r="F9" s="158">
        <f t="shared" si="0"/>
        <v>389.70163050000002</v>
      </c>
      <c r="G9" s="158">
        <f>'8.유지관리비'!P14</f>
        <v>130922</v>
      </c>
      <c r="H9" s="159">
        <f t="shared" si="1"/>
        <v>109.3</v>
      </c>
      <c r="I9" s="159">
        <f t="shared" si="2"/>
        <v>2413.8000000000002</v>
      </c>
      <c r="J9" s="160">
        <f t="shared" si="3"/>
        <v>15.2</v>
      </c>
      <c r="K9" s="161">
        <v>51.5</v>
      </c>
      <c r="L9" s="161">
        <v>6.2</v>
      </c>
      <c r="M9" s="161">
        <f t="shared" si="4"/>
        <v>45.3</v>
      </c>
    </row>
    <row r="10" spans="1:13" ht="26.25" customHeight="1">
      <c r="A10" s="325"/>
      <c r="B10" s="325" t="s">
        <v>207</v>
      </c>
      <c r="C10" s="157" t="s">
        <v>82</v>
      </c>
      <c r="D10" s="158">
        <f>'4. 하수처리비용'!C23</f>
        <v>278920</v>
      </c>
      <c r="E10" s="158">
        <f>1212*365/1000</f>
        <v>442.38</v>
      </c>
      <c r="F10" s="158">
        <f t="shared" si="0"/>
        <v>28.268082</v>
      </c>
      <c r="G10" s="158">
        <f>'8.유지관리비'!P16</f>
        <v>4720</v>
      </c>
      <c r="H10" s="159">
        <f t="shared" si="1"/>
        <v>630.5</v>
      </c>
      <c r="I10" s="159">
        <f t="shared" si="2"/>
        <v>9867</v>
      </c>
      <c r="J10" s="160">
        <f t="shared" si="3"/>
        <v>10.7</v>
      </c>
      <c r="K10" s="161">
        <v>66.8</v>
      </c>
      <c r="L10" s="161">
        <v>2.9</v>
      </c>
      <c r="M10" s="161">
        <f t="shared" si="4"/>
        <v>63.9</v>
      </c>
    </row>
    <row r="11" spans="1:13" ht="26.25" customHeight="1">
      <c r="A11" s="325"/>
      <c r="B11" s="325"/>
      <c r="C11" s="157" t="s">
        <v>83</v>
      </c>
      <c r="D11" s="158">
        <f>'4. 하수처리비용'!C24</f>
        <v>435000</v>
      </c>
      <c r="E11" s="158">
        <f>1841*365/1000</f>
        <v>671.96500000000003</v>
      </c>
      <c r="F11" s="158">
        <f t="shared" si="0"/>
        <v>71.564272500000001</v>
      </c>
      <c r="G11" s="158">
        <f>'8.유지관리비'!P17</f>
        <v>6200</v>
      </c>
      <c r="H11" s="159">
        <f t="shared" si="1"/>
        <v>647.4</v>
      </c>
      <c r="I11" s="159">
        <f t="shared" si="2"/>
        <v>6078.5</v>
      </c>
      <c r="J11" s="160">
        <f t="shared" si="3"/>
        <v>9.1999999999999993</v>
      </c>
      <c r="K11" s="162">
        <v>109</v>
      </c>
      <c r="L11" s="161">
        <v>2.5</v>
      </c>
      <c r="M11" s="161">
        <f t="shared" si="4"/>
        <v>106.5</v>
      </c>
    </row>
    <row r="12" spans="1:13" ht="26.25" customHeight="1">
      <c r="A12" s="325"/>
      <c r="B12" s="325"/>
      <c r="C12" s="157" t="s">
        <v>84</v>
      </c>
      <c r="D12" s="158">
        <f>'4. 하수처리비용'!C25</f>
        <v>453857</v>
      </c>
      <c r="E12" s="158">
        <f>2385*365/1000</f>
        <v>870.52499999999998</v>
      </c>
      <c r="F12" s="158">
        <f t="shared" si="0"/>
        <v>97.498800000000003</v>
      </c>
      <c r="G12" s="158">
        <f>'8.유지관리비'!P18</f>
        <v>15026</v>
      </c>
      <c r="H12" s="159">
        <f t="shared" si="1"/>
        <v>521.4</v>
      </c>
      <c r="I12" s="159">
        <f t="shared" si="2"/>
        <v>4655</v>
      </c>
      <c r="J12" s="160">
        <f t="shared" si="3"/>
        <v>17.3</v>
      </c>
      <c r="K12" s="161">
        <v>114.6</v>
      </c>
      <c r="L12" s="161">
        <v>2.6</v>
      </c>
      <c r="M12" s="161">
        <f t="shared" si="4"/>
        <v>112</v>
      </c>
    </row>
    <row r="13" spans="1:13" ht="26.25" customHeight="1">
      <c r="A13" s="325"/>
      <c r="B13" s="325"/>
      <c r="C13" s="157" t="s">
        <v>85</v>
      </c>
      <c r="D13" s="158">
        <f>'4. 하수처리비용'!C26</f>
        <v>280287</v>
      </c>
      <c r="E13" s="158">
        <f>2464*365/1000</f>
        <v>899.36</v>
      </c>
      <c r="F13" s="158">
        <f t="shared" si="0"/>
        <v>98.030240000000006</v>
      </c>
      <c r="G13" s="158">
        <f>'8.유지관리비'!P19</f>
        <v>22593</v>
      </c>
      <c r="H13" s="159">
        <f t="shared" si="1"/>
        <v>311.7</v>
      </c>
      <c r="I13" s="159">
        <f t="shared" si="2"/>
        <v>2859.2</v>
      </c>
      <c r="J13" s="160">
        <f t="shared" si="3"/>
        <v>25.1</v>
      </c>
      <c r="K13" s="161">
        <v>111.4</v>
      </c>
      <c r="L13" s="161">
        <v>2.4</v>
      </c>
      <c r="M13" s="161">
        <f t="shared" si="4"/>
        <v>109</v>
      </c>
    </row>
    <row r="14" spans="1:13" ht="26.25" customHeight="1">
      <c r="A14" s="325"/>
      <c r="B14" s="157" t="s">
        <v>62</v>
      </c>
      <c r="C14" s="157" t="s">
        <v>85</v>
      </c>
      <c r="D14" s="163">
        <f>'4. 하수처리비용'!C31</f>
        <v>160252</v>
      </c>
      <c r="E14" s="158">
        <f>285*365/1000</f>
        <v>104.02500000000001</v>
      </c>
      <c r="F14" s="158">
        <f t="shared" si="0"/>
        <v>7.198529999999999</v>
      </c>
      <c r="G14" s="158">
        <f>'8.유지관리비'!P21</f>
        <v>0</v>
      </c>
      <c r="H14" s="159">
        <f t="shared" si="1"/>
        <v>1540.5</v>
      </c>
      <c r="I14" s="159">
        <f>ROUND(D14/F14,1)</f>
        <v>22261.8</v>
      </c>
      <c r="J14" s="160">
        <f t="shared" si="3"/>
        <v>0</v>
      </c>
      <c r="K14" s="161">
        <v>74.599999999999994</v>
      </c>
      <c r="L14" s="161">
        <v>5.4</v>
      </c>
      <c r="M14" s="161">
        <f t="shared" si="4"/>
        <v>69.199999999999989</v>
      </c>
    </row>
    <row r="15" spans="1:13" ht="26.25" customHeight="1">
      <c r="A15" s="325"/>
      <c r="B15" s="157" t="s">
        <v>5</v>
      </c>
      <c r="C15" s="157" t="s">
        <v>85</v>
      </c>
      <c r="D15" s="163">
        <f>'4. 하수처리비용'!C36</f>
        <v>141231</v>
      </c>
      <c r="E15" s="163">
        <f>475*365/1000</f>
        <v>173.375</v>
      </c>
      <c r="F15" s="158">
        <f t="shared" si="0"/>
        <v>19.261962500000003</v>
      </c>
      <c r="G15" s="163">
        <f>'8.유지관리비'!P23</f>
        <v>5393</v>
      </c>
      <c r="H15" s="159">
        <f t="shared" si="1"/>
        <v>814.6</v>
      </c>
      <c r="I15" s="159">
        <f t="shared" si="2"/>
        <v>7332.1</v>
      </c>
      <c r="J15" s="160">
        <f t="shared" si="3"/>
        <v>31.1</v>
      </c>
      <c r="K15" s="161">
        <v>117.5</v>
      </c>
      <c r="L15" s="161">
        <v>6.4</v>
      </c>
      <c r="M15" s="161">
        <f t="shared" si="4"/>
        <v>111.1</v>
      </c>
    </row>
    <row r="16" spans="1:13" ht="26.25" customHeight="1">
      <c r="A16" s="325"/>
      <c r="B16" s="325" t="s">
        <v>63</v>
      </c>
      <c r="C16" s="157" t="s">
        <v>84</v>
      </c>
      <c r="D16" s="163">
        <f>'4. 하수처리비용'!C41</f>
        <v>68569</v>
      </c>
      <c r="E16" s="163">
        <f>1018*365/1000</f>
        <v>371.57</v>
      </c>
      <c r="F16" s="158">
        <f t="shared" si="0"/>
        <v>11.853083000000002</v>
      </c>
      <c r="G16" s="163">
        <f>'8.유지관리비'!P25</f>
        <v>0</v>
      </c>
      <c r="H16" s="159">
        <f t="shared" si="1"/>
        <v>184.5</v>
      </c>
      <c r="I16" s="159">
        <f t="shared" si="2"/>
        <v>5784.9</v>
      </c>
      <c r="J16" s="160">
        <f t="shared" si="3"/>
        <v>0</v>
      </c>
      <c r="K16" s="161">
        <v>36.1</v>
      </c>
      <c r="L16" s="161">
        <v>4.2</v>
      </c>
      <c r="M16" s="161">
        <f t="shared" si="4"/>
        <v>31.900000000000002</v>
      </c>
    </row>
    <row r="17" spans="1:13" ht="26.25" customHeight="1">
      <c r="A17" s="325"/>
      <c r="B17" s="325"/>
      <c r="C17" s="157" t="s">
        <v>85</v>
      </c>
      <c r="D17" s="163">
        <f>'4. 하수처리비용'!C42</f>
        <v>74935</v>
      </c>
      <c r="E17" s="158">
        <f>905*365/1000</f>
        <v>330.32499999999999</v>
      </c>
      <c r="F17" s="158">
        <f t="shared" si="0"/>
        <v>6.1770775000000002</v>
      </c>
      <c r="G17" s="163">
        <f>'8.유지관리비'!P26</f>
        <v>0</v>
      </c>
      <c r="H17" s="159">
        <f>ROUND(D17/E17,1)</f>
        <v>226.9</v>
      </c>
      <c r="I17" s="159">
        <f t="shared" si="2"/>
        <v>12131.1</v>
      </c>
      <c r="J17" s="160">
        <f t="shared" si="3"/>
        <v>0</v>
      </c>
      <c r="K17" s="161">
        <v>22.5</v>
      </c>
      <c r="L17" s="161">
        <v>3.8</v>
      </c>
      <c r="M17" s="161">
        <f t="shared" si="4"/>
        <v>18.7</v>
      </c>
    </row>
    <row r="20" spans="1:13" ht="20.100000000000001" customHeight="1">
      <c r="J20" s="164"/>
    </row>
  </sheetData>
  <mergeCells count="13">
    <mergeCell ref="A5:A17"/>
    <mergeCell ref="A2:C4"/>
    <mergeCell ref="H2:J3"/>
    <mergeCell ref="B5:B9"/>
    <mergeCell ref="D2:D4"/>
    <mergeCell ref="E2:E4"/>
    <mergeCell ref="F2:F4"/>
    <mergeCell ref="G2:G4"/>
    <mergeCell ref="K2:K4"/>
    <mergeCell ref="L2:L4"/>
    <mergeCell ref="M2:M4"/>
    <mergeCell ref="B10:B13"/>
    <mergeCell ref="B16:B1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"/>
  <sheetViews>
    <sheetView view="pageBreakPreview" zoomScaleNormal="100" zoomScaleSheetLayoutView="100" workbookViewId="0">
      <selection activeCell="K12" sqref="K12"/>
    </sheetView>
  </sheetViews>
  <sheetFormatPr defaultRowHeight="24.95" customHeight="1"/>
  <cols>
    <col min="1" max="1" width="8.125" style="23" customWidth="1"/>
    <col min="2" max="2" width="10.625" style="23" customWidth="1"/>
    <col min="3" max="3" width="9.5" style="23" customWidth="1"/>
    <col min="4" max="4" width="10" style="23" customWidth="1"/>
    <col min="5" max="5" width="10.25" style="23" customWidth="1"/>
    <col min="6" max="6" width="11.375" style="23" customWidth="1"/>
    <col min="7" max="7" width="10.375" style="23" customWidth="1"/>
    <col min="8" max="8" width="9.5" style="23" customWidth="1"/>
    <col min="9" max="16384" width="9" style="23"/>
  </cols>
  <sheetData>
    <row r="1" spans="1:12" ht="24.95" customHeight="1">
      <c r="A1" s="188" t="s">
        <v>240</v>
      </c>
    </row>
    <row r="2" spans="1:12" ht="24.95" customHeight="1">
      <c r="A2" s="332" t="s">
        <v>0</v>
      </c>
      <c r="B2" s="333"/>
      <c r="C2" s="165" t="s">
        <v>208</v>
      </c>
      <c r="D2" s="338" t="s">
        <v>210</v>
      </c>
      <c r="E2" s="339"/>
      <c r="F2" s="340"/>
      <c r="G2" s="338" t="s">
        <v>225</v>
      </c>
      <c r="H2" s="340"/>
    </row>
    <row r="3" spans="1:12" ht="24.95" customHeight="1">
      <c r="A3" s="334"/>
      <c r="B3" s="335"/>
      <c r="C3" s="166" t="s">
        <v>209</v>
      </c>
      <c r="D3" s="165" t="s">
        <v>211</v>
      </c>
      <c r="E3" s="165" t="s">
        <v>212</v>
      </c>
      <c r="F3" s="165" t="s">
        <v>214</v>
      </c>
      <c r="G3" s="341" t="s">
        <v>215</v>
      </c>
      <c r="H3" s="341" t="s">
        <v>216</v>
      </c>
    </row>
    <row r="4" spans="1:12" ht="24.95" customHeight="1">
      <c r="A4" s="336"/>
      <c r="B4" s="337"/>
      <c r="C4" s="167"/>
      <c r="D4" s="168" t="s">
        <v>209</v>
      </c>
      <c r="E4" s="168" t="s">
        <v>213</v>
      </c>
      <c r="F4" s="168" t="s">
        <v>226</v>
      </c>
      <c r="G4" s="342"/>
      <c r="H4" s="342"/>
    </row>
    <row r="5" spans="1:12" ht="24.95" customHeight="1">
      <c r="A5" s="329" t="s">
        <v>32</v>
      </c>
      <c r="B5" s="169" t="s">
        <v>165</v>
      </c>
      <c r="C5" s="169">
        <v>255</v>
      </c>
      <c r="D5" s="169">
        <v>9.01</v>
      </c>
      <c r="E5" s="169">
        <v>1285</v>
      </c>
      <c r="F5" s="169">
        <v>154</v>
      </c>
      <c r="G5" s="169">
        <f t="shared" ref="G5:G7" si="0">ROUND(F5/D5,2)</f>
        <v>17.09</v>
      </c>
      <c r="H5" s="170">
        <f t="shared" ref="H5:H7" si="1">ROUND(F5/E5,3)</f>
        <v>0.12</v>
      </c>
    </row>
    <row r="6" spans="1:12" ht="24.95" customHeight="1">
      <c r="A6" s="330"/>
      <c r="B6" s="169" t="s">
        <v>82</v>
      </c>
      <c r="C6" s="169">
        <v>273</v>
      </c>
      <c r="D6" s="169">
        <v>4.9000000000000004</v>
      </c>
      <c r="E6" s="169">
        <v>517</v>
      </c>
      <c r="F6" s="169">
        <v>122</v>
      </c>
      <c r="G6" s="169">
        <f t="shared" si="0"/>
        <v>24.9</v>
      </c>
      <c r="H6" s="169">
        <f t="shared" si="1"/>
        <v>0.23599999999999999</v>
      </c>
    </row>
    <row r="7" spans="1:12" ht="24.95" customHeight="1">
      <c r="A7" s="330"/>
      <c r="B7" s="169" t="s">
        <v>83</v>
      </c>
      <c r="C7" s="169">
        <v>288</v>
      </c>
      <c r="D7" s="169">
        <v>8.4</v>
      </c>
      <c r="E7" s="169">
        <v>899</v>
      </c>
      <c r="F7" s="169">
        <v>110</v>
      </c>
      <c r="G7" s="169">
        <f t="shared" si="0"/>
        <v>13.1</v>
      </c>
      <c r="H7" s="169">
        <f t="shared" si="1"/>
        <v>0.122</v>
      </c>
    </row>
    <row r="8" spans="1:12" ht="24.95" customHeight="1">
      <c r="A8" s="330"/>
      <c r="B8" s="169" t="s">
        <v>84</v>
      </c>
      <c r="C8" s="169">
        <v>294</v>
      </c>
      <c r="D8" s="169">
        <v>9.24</v>
      </c>
      <c r="E8" s="171">
        <v>921</v>
      </c>
      <c r="F8" s="169">
        <v>126</v>
      </c>
      <c r="G8" s="169">
        <f>ROUND(F8/D8,2)</f>
        <v>13.64</v>
      </c>
      <c r="H8" s="169">
        <f>ROUND(F8/E8,3)</f>
        <v>0.13700000000000001</v>
      </c>
    </row>
    <row r="9" spans="1:12" ht="24.95" customHeight="1">
      <c r="A9" s="331"/>
      <c r="B9" s="169" t="s">
        <v>85</v>
      </c>
      <c r="C9" s="169">
        <v>300</v>
      </c>
      <c r="D9" s="169">
        <v>7.71</v>
      </c>
      <c r="E9" s="171">
        <v>1168</v>
      </c>
      <c r="F9" s="169">
        <v>102</v>
      </c>
      <c r="G9" s="169">
        <f>ROUND(F9/D9,2)</f>
        <v>13.23</v>
      </c>
      <c r="H9" s="169">
        <f>ROUND(F9/E9,3)</f>
        <v>8.6999999999999994E-2</v>
      </c>
    </row>
    <row r="10" spans="1:12" ht="24.95" customHeight="1">
      <c r="L10" s="188"/>
    </row>
  </sheetData>
  <mergeCells count="6">
    <mergeCell ref="A5:A9"/>
    <mergeCell ref="A2:B4"/>
    <mergeCell ref="D2:F2"/>
    <mergeCell ref="G2:H2"/>
    <mergeCell ref="G3:G4"/>
    <mergeCell ref="H3:H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zoomScale="85" zoomScaleNormal="100" zoomScaleSheetLayoutView="85" workbookViewId="0">
      <selection activeCell="C37" sqref="C37"/>
    </sheetView>
  </sheetViews>
  <sheetFormatPr defaultRowHeight="16.5"/>
  <cols>
    <col min="3" max="3" width="11.375" customWidth="1"/>
    <col min="4" max="4" width="11.625" bestFit="1" customWidth="1"/>
    <col min="5" max="5" width="11.5" bestFit="1" customWidth="1"/>
    <col min="6" max="7" width="10.375" bestFit="1" customWidth="1"/>
    <col min="8" max="8" width="11.125" bestFit="1" customWidth="1"/>
    <col min="9" max="9" width="10.375" bestFit="1" customWidth="1"/>
    <col min="10" max="10" width="9.875" bestFit="1" customWidth="1"/>
  </cols>
  <sheetData>
    <row r="1" spans="1:10" ht="27.75" customHeight="1">
      <c r="A1" s="188" t="s">
        <v>228</v>
      </c>
    </row>
    <row r="2" spans="1:10">
      <c r="A2" s="10"/>
    </row>
    <row r="3" spans="1:10" ht="30" customHeight="1">
      <c r="A3" s="204" t="s">
        <v>116</v>
      </c>
      <c r="B3" s="205"/>
      <c r="C3" s="31" t="s">
        <v>21</v>
      </c>
      <c r="D3" s="31" t="s">
        <v>22</v>
      </c>
      <c r="E3" s="31" t="s">
        <v>23</v>
      </c>
      <c r="F3" s="31" t="s">
        <v>24</v>
      </c>
      <c r="G3" s="32" t="s">
        <v>25</v>
      </c>
      <c r="H3" s="31" t="s">
        <v>26</v>
      </c>
      <c r="I3" s="31" t="s">
        <v>27</v>
      </c>
      <c r="J3" s="33" t="s">
        <v>28</v>
      </c>
    </row>
    <row r="4" spans="1:10" ht="30" customHeight="1">
      <c r="A4" s="206" t="s">
        <v>29</v>
      </c>
      <c r="B4" s="29" t="s">
        <v>30</v>
      </c>
      <c r="C4" s="127">
        <v>696934</v>
      </c>
      <c r="D4" s="127">
        <v>196008</v>
      </c>
      <c r="E4" s="127">
        <v>137611</v>
      </c>
      <c r="F4" s="127">
        <v>36666</v>
      </c>
      <c r="G4" s="127">
        <v>117858</v>
      </c>
      <c r="H4" s="127">
        <v>128909</v>
      </c>
      <c r="I4" s="127">
        <v>79882</v>
      </c>
      <c r="J4" s="30"/>
    </row>
    <row r="5" spans="1:10" ht="30" customHeight="1">
      <c r="A5" s="207"/>
      <c r="B5" s="24" t="s">
        <v>31</v>
      </c>
      <c r="C5" s="128">
        <v>100</v>
      </c>
      <c r="D5" s="128">
        <v>28.1</v>
      </c>
      <c r="E5" s="128">
        <v>19.7</v>
      </c>
      <c r="F5" s="128">
        <v>5.3</v>
      </c>
      <c r="G5" s="128">
        <v>16.899999999999999</v>
      </c>
      <c r="H5" s="128">
        <v>18.5</v>
      </c>
      <c r="I5" s="128">
        <v>11.5</v>
      </c>
      <c r="J5" s="25"/>
    </row>
    <row r="6" spans="1:10" ht="30" customHeight="1">
      <c r="A6" s="207" t="s">
        <v>117</v>
      </c>
      <c r="B6" s="24" t="s">
        <v>30</v>
      </c>
      <c r="C6" s="129">
        <f>ROUND(D33/1000,0)</f>
        <v>1597</v>
      </c>
      <c r="D6" s="129">
        <f t="shared" ref="D6:I6" si="0">ROUND(E33/1000,0)</f>
        <v>724</v>
      </c>
      <c r="E6" s="129">
        <f t="shared" si="0"/>
        <v>235</v>
      </c>
      <c r="F6" s="129">
        <f t="shared" si="0"/>
        <v>33</v>
      </c>
      <c r="G6" s="129">
        <f t="shared" si="0"/>
        <v>159</v>
      </c>
      <c r="H6" s="129">
        <f t="shared" si="0"/>
        <v>44</v>
      </c>
      <c r="I6" s="129">
        <f t="shared" si="0"/>
        <v>403</v>
      </c>
      <c r="J6" s="25"/>
    </row>
    <row r="7" spans="1:10" ht="30" customHeight="1">
      <c r="A7" s="208"/>
      <c r="B7" s="27" t="s">
        <v>31</v>
      </c>
      <c r="C7" s="130">
        <f>SUM(D7:I7)</f>
        <v>100.1</v>
      </c>
      <c r="D7" s="130">
        <f>ROUND(D6/$C$6*100,1)</f>
        <v>45.3</v>
      </c>
      <c r="E7" s="130">
        <f t="shared" ref="E7:I7" si="1">ROUND(E6/$C$6*100,1)</f>
        <v>14.7</v>
      </c>
      <c r="F7" s="130">
        <f t="shared" si="1"/>
        <v>2.1</v>
      </c>
      <c r="G7" s="130">
        <f t="shared" si="1"/>
        <v>10</v>
      </c>
      <c r="H7" s="130">
        <f t="shared" si="1"/>
        <v>2.8</v>
      </c>
      <c r="I7" s="130">
        <f t="shared" si="1"/>
        <v>25.2</v>
      </c>
      <c r="J7" s="28"/>
    </row>
    <row r="8" spans="1:10" ht="17.25" customHeight="1"/>
    <row r="9" spans="1:10" ht="17.25" customHeight="1"/>
    <row r="10" spans="1:10" ht="17.25" customHeight="1"/>
    <row r="11" spans="1:10" ht="17.25" customHeight="1"/>
    <row r="12" spans="1:10" ht="17.25" customHeight="1"/>
    <row r="13" spans="1:10" ht="17.25" customHeight="1"/>
    <row r="14" spans="1:10" ht="17.25" customHeight="1"/>
    <row r="15" spans="1:10" ht="17.25" customHeight="1"/>
    <row r="16" spans="1:10" ht="17.25" customHeight="1"/>
    <row r="17" spans="1:10" ht="17.25" customHeight="1"/>
    <row r="18" spans="1:10" ht="17.25" customHeight="1"/>
    <row r="19" spans="1:10" ht="17.25" customHeight="1"/>
    <row r="20" spans="1:10" ht="17.25" customHeight="1"/>
    <row r="21" spans="1:10" ht="17.25" customHeight="1"/>
    <row r="22" spans="1:10" ht="17.25" customHeight="1"/>
    <row r="23" spans="1:10" ht="17.25" customHeight="1"/>
    <row r="24" spans="1:10" ht="17.25" customHeight="1"/>
    <row r="25" spans="1:10" ht="17.25" customHeight="1"/>
    <row r="26" spans="1:10" ht="17.25" customHeight="1"/>
    <row r="27" spans="1:10" ht="17.25" customHeight="1"/>
    <row r="28" spans="1:10" ht="17.25" customHeight="1"/>
    <row r="29" spans="1:10" ht="17.25" customHeight="1"/>
    <row r="30" spans="1:10" ht="31.5" customHeight="1">
      <c r="A30" s="209" t="s">
        <v>119</v>
      </c>
      <c r="B30" s="211" t="s">
        <v>68</v>
      </c>
      <c r="C30" s="211" t="s">
        <v>120</v>
      </c>
      <c r="D30" s="213" t="s">
        <v>69</v>
      </c>
      <c r="E30" s="213"/>
      <c r="F30" s="213"/>
      <c r="G30" s="213"/>
      <c r="H30" s="213"/>
      <c r="I30" s="213"/>
      <c r="J30" s="214"/>
    </row>
    <row r="31" spans="1:10" ht="31.5" customHeight="1">
      <c r="A31" s="210"/>
      <c r="B31" s="212"/>
      <c r="C31" s="212"/>
      <c r="D31" s="34" t="s">
        <v>70</v>
      </c>
      <c r="E31" s="34" t="s">
        <v>121</v>
      </c>
      <c r="F31" s="34" t="s">
        <v>71</v>
      </c>
      <c r="G31" s="34" t="s">
        <v>122</v>
      </c>
      <c r="H31" s="35" t="s">
        <v>148</v>
      </c>
      <c r="I31" s="34" t="s">
        <v>72</v>
      </c>
      <c r="J31" s="36" t="s">
        <v>96</v>
      </c>
    </row>
    <row r="32" spans="1:10" ht="31.5" customHeight="1">
      <c r="A32" s="216" t="s">
        <v>73</v>
      </c>
      <c r="B32" s="215" t="s">
        <v>78</v>
      </c>
      <c r="C32" s="215"/>
      <c r="D32" s="131">
        <f>D33+D39+D40</f>
        <v>2592686</v>
      </c>
      <c r="E32" s="131">
        <f t="shared" ref="E32:J32" si="2">E33+E39+E40</f>
        <v>1030271</v>
      </c>
      <c r="F32" s="131">
        <f t="shared" si="2"/>
        <v>344530</v>
      </c>
      <c r="G32" s="131">
        <f t="shared" si="2"/>
        <v>135656</v>
      </c>
      <c r="H32" s="131">
        <f t="shared" si="2"/>
        <v>296920</v>
      </c>
      <c r="I32" s="131">
        <f t="shared" si="2"/>
        <v>87671</v>
      </c>
      <c r="J32" s="191">
        <f t="shared" si="2"/>
        <v>697638</v>
      </c>
    </row>
    <row r="33" spans="1:10" ht="31.5" customHeight="1">
      <c r="A33" s="217"/>
      <c r="B33" s="219" t="s">
        <v>146</v>
      </c>
      <c r="C33" s="89" t="s">
        <v>147</v>
      </c>
      <c r="D33" s="132">
        <f>SUM(D34:D38)</f>
        <v>1597361</v>
      </c>
      <c r="E33" s="132">
        <f t="shared" ref="E33:J33" si="3">SUM(E34:E38)</f>
        <v>723934</v>
      </c>
      <c r="F33" s="132">
        <f t="shared" si="3"/>
        <v>234883</v>
      </c>
      <c r="G33" s="132">
        <f t="shared" si="3"/>
        <v>32777</v>
      </c>
      <c r="H33" s="132">
        <f t="shared" si="3"/>
        <v>158908</v>
      </c>
      <c r="I33" s="132">
        <f t="shared" si="3"/>
        <v>44039</v>
      </c>
      <c r="J33" s="192">
        <f t="shared" si="3"/>
        <v>402820</v>
      </c>
    </row>
    <row r="34" spans="1:10" ht="31.5" customHeight="1">
      <c r="A34" s="217"/>
      <c r="B34" s="220"/>
      <c r="C34" s="89" t="s">
        <v>74</v>
      </c>
      <c r="D34" s="133">
        <f t="shared" ref="D34:D40" si="4">SUM(E34:J34)</f>
        <v>940656</v>
      </c>
      <c r="E34" s="133">
        <f>'8.유지관리비'!G14</f>
        <v>511088</v>
      </c>
      <c r="F34" s="133">
        <f>'8.유지관리비'!J14</f>
        <v>123381</v>
      </c>
      <c r="G34" s="133">
        <f>'8.유지관리비'!M14</f>
        <v>15424</v>
      </c>
      <c r="H34" s="133">
        <f>'8.유지관리비'!P14</f>
        <v>130922</v>
      </c>
      <c r="I34" s="133">
        <f>'8.유지관리비'!S14</f>
        <v>15780</v>
      </c>
      <c r="J34" s="134">
        <f>'8.유지관리비'!V14</f>
        <v>144061</v>
      </c>
    </row>
    <row r="35" spans="1:10" ht="31.5" customHeight="1">
      <c r="A35" s="217"/>
      <c r="B35" s="220"/>
      <c r="C35" s="89" t="s">
        <v>75</v>
      </c>
      <c r="D35" s="133">
        <f t="shared" si="4"/>
        <v>280287</v>
      </c>
      <c r="E35" s="133">
        <f>'8.유지관리비'!G19</f>
        <v>110000</v>
      </c>
      <c r="F35" s="133">
        <f>'8.유지관리비'!J19</f>
        <v>65704</v>
      </c>
      <c r="G35" s="133">
        <f>'8.유지관리비'!M19</f>
        <v>14575</v>
      </c>
      <c r="H35" s="133">
        <f>'8.유지관리비'!P19</f>
        <v>22593</v>
      </c>
      <c r="I35" s="133">
        <f>'8.유지관리비'!S19</f>
        <v>17405</v>
      </c>
      <c r="J35" s="134">
        <f>'8.유지관리비'!V19</f>
        <v>50010</v>
      </c>
    </row>
    <row r="36" spans="1:10" ht="31.5" customHeight="1">
      <c r="A36" s="217"/>
      <c r="B36" s="220"/>
      <c r="C36" s="89" t="s">
        <v>77</v>
      </c>
      <c r="D36" s="133">
        <f t="shared" si="4"/>
        <v>160252</v>
      </c>
      <c r="E36" s="133">
        <f>'8.유지관리비'!G21</f>
        <v>0</v>
      </c>
      <c r="F36" s="133">
        <f>'8.유지관리비'!J21</f>
        <v>19354</v>
      </c>
      <c r="G36" s="133">
        <f>'8.유지관리비'!M21</f>
        <v>1579</v>
      </c>
      <c r="H36" s="133">
        <f>'8.유지관리비'!P21</f>
        <v>0</v>
      </c>
      <c r="I36" s="133">
        <f>'8.유지관리비'!S21</f>
        <v>6103</v>
      </c>
      <c r="J36" s="134">
        <f>'8.유지관리비'!V21</f>
        <v>133216</v>
      </c>
    </row>
    <row r="37" spans="1:10" ht="31.5" customHeight="1">
      <c r="A37" s="217"/>
      <c r="B37" s="220"/>
      <c r="C37" s="89" t="s">
        <v>145</v>
      </c>
      <c r="D37" s="133">
        <f t="shared" si="4"/>
        <v>141231</v>
      </c>
      <c r="E37" s="133">
        <f>'8.유지관리비'!G23</f>
        <v>51423</v>
      </c>
      <c r="F37" s="133">
        <f>'8.유지관리비'!J23</f>
        <v>21204</v>
      </c>
      <c r="G37" s="133">
        <f>'8.유지관리비'!M23</f>
        <v>777</v>
      </c>
      <c r="H37" s="133">
        <f>'8.유지관리비'!P23</f>
        <v>5393</v>
      </c>
      <c r="I37" s="133">
        <f>'8.유지관리비'!S23</f>
        <v>4751</v>
      </c>
      <c r="J37" s="134">
        <f>'8.유지관리비'!V23</f>
        <v>57683</v>
      </c>
    </row>
    <row r="38" spans="1:10" ht="31.5" customHeight="1">
      <c r="A38" s="217"/>
      <c r="B38" s="221"/>
      <c r="C38" s="89" t="s">
        <v>76</v>
      </c>
      <c r="D38" s="133">
        <f t="shared" si="4"/>
        <v>74935</v>
      </c>
      <c r="E38" s="133">
        <f>'8.유지관리비'!G26</f>
        <v>51423</v>
      </c>
      <c r="F38" s="133">
        <f>'8.유지관리비'!J26</f>
        <v>5240</v>
      </c>
      <c r="G38" s="133">
        <f>'8.유지관리비'!M26</f>
        <v>422</v>
      </c>
      <c r="H38" s="133">
        <f>'8.유지관리비'!P26</f>
        <v>0</v>
      </c>
      <c r="I38" s="133">
        <f>'8.유지관리비'!S26</f>
        <v>0</v>
      </c>
      <c r="J38" s="134">
        <f>'8.유지관리비'!V26</f>
        <v>17850</v>
      </c>
    </row>
    <row r="39" spans="1:10" ht="31.5" customHeight="1">
      <c r="A39" s="217"/>
      <c r="B39" s="190" t="s">
        <v>186</v>
      </c>
      <c r="C39" s="190" t="s">
        <v>185</v>
      </c>
      <c r="D39" s="135">
        <f t="shared" si="4"/>
        <v>251699</v>
      </c>
      <c r="E39" s="135">
        <f>'8.유지관리비'!G32</f>
        <v>154271</v>
      </c>
      <c r="F39" s="135">
        <f>'8.유지관리비'!J32</f>
        <v>0</v>
      </c>
      <c r="G39" s="135">
        <f>'8.유지관리비'!M32</f>
        <v>2519</v>
      </c>
      <c r="H39" s="135">
        <f>'8.유지관리비'!P32</f>
        <v>0</v>
      </c>
      <c r="I39" s="135">
        <f>'8.유지관리비'!S32</f>
        <v>31374</v>
      </c>
      <c r="J39" s="136">
        <f>'8.유지관리비'!V32</f>
        <v>63535</v>
      </c>
    </row>
    <row r="40" spans="1:10" ht="31.5" customHeight="1">
      <c r="A40" s="218"/>
      <c r="B40" s="90" t="s">
        <v>187</v>
      </c>
      <c r="C40" s="90" t="s">
        <v>188</v>
      </c>
      <c r="D40" s="137">
        <f t="shared" si="4"/>
        <v>743626</v>
      </c>
      <c r="E40" s="138">
        <f>'8.유지관리비'!G35</f>
        <v>152066</v>
      </c>
      <c r="F40" s="138">
        <f>'8.유지관리비'!J35</f>
        <v>109647</v>
      </c>
      <c r="G40" s="138">
        <f>'8.유지관리비'!M35</f>
        <v>100360</v>
      </c>
      <c r="H40" s="138">
        <f>'8.유지관리비'!P35</f>
        <v>138012</v>
      </c>
      <c r="I40" s="138">
        <f>'8.유지관리비'!S35</f>
        <v>12258</v>
      </c>
      <c r="J40" s="139">
        <f>'8.유지관리비'!V35</f>
        <v>231283</v>
      </c>
    </row>
    <row r="41" spans="1:10" ht="24.95" customHeight="1"/>
  </sheetData>
  <mergeCells count="10">
    <mergeCell ref="C30:C31"/>
    <mergeCell ref="D30:J30"/>
    <mergeCell ref="B32:C32"/>
    <mergeCell ref="A32:A40"/>
    <mergeCell ref="B33:B38"/>
    <mergeCell ref="A3:B3"/>
    <mergeCell ref="A4:A5"/>
    <mergeCell ref="A6:A7"/>
    <mergeCell ref="A30:A31"/>
    <mergeCell ref="B30:B31"/>
  </mergeCells>
  <phoneticPr fontId="2" type="noConversion"/>
  <pageMargins left="0.7" right="0.7" top="0.75" bottom="0.75" header="0.3" footer="0.3"/>
  <pageSetup paperSize="9" scale="77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5" zoomScaleNormal="100" zoomScaleSheetLayoutView="85" workbookViewId="0">
      <selection activeCell="M9" sqref="M9:M10"/>
    </sheetView>
  </sheetViews>
  <sheetFormatPr defaultRowHeight="30.75" customHeight="1"/>
  <cols>
    <col min="1" max="1" width="8.5" customWidth="1"/>
    <col min="2" max="2" width="10.75" customWidth="1"/>
    <col min="3" max="3" width="6.375" customWidth="1"/>
    <col min="4" max="4" width="6.5" customWidth="1"/>
    <col min="5" max="5" width="5.5" customWidth="1"/>
    <col min="6" max="6" width="6.25" customWidth="1"/>
    <col min="7" max="11" width="6.375" customWidth="1"/>
    <col min="12" max="13" width="9.5" customWidth="1"/>
    <col min="14" max="14" width="5.75" customWidth="1"/>
  </cols>
  <sheetData>
    <row r="1" spans="1:15" ht="30.75" customHeight="1">
      <c r="A1" s="188" t="s">
        <v>229</v>
      </c>
    </row>
    <row r="2" spans="1:15" ht="30.75" customHeight="1">
      <c r="A2" s="10"/>
    </row>
    <row r="3" spans="1:15" ht="30.75" customHeight="1">
      <c r="A3" s="198" t="s">
        <v>34</v>
      </c>
      <c r="B3" s="4" t="s">
        <v>35</v>
      </c>
      <c r="C3" s="199" t="s">
        <v>37</v>
      </c>
      <c r="D3" s="199"/>
      <c r="E3" s="199" t="s">
        <v>39</v>
      </c>
      <c r="F3" s="199" t="s">
        <v>40</v>
      </c>
      <c r="G3" s="239"/>
      <c r="H3" s="199" t="s">
        <v>42</v>
      </c>
      <c r="I3" s="199"/>
      <c r="J3" s="199" t="s">
        <v>43</v>
      </c>
      <c r="K3" s="199"/>
      <c r="L3" s="4" t="s">
        <v>44</v>
      </c>
      <c r="M3" s="4" t="s">
        <v>45</v>
      </c>
      <c r="N3" s="20">
        <v>500</v>
      </c>
    </row>
    <row r="4" spans="1:15" ht="30.75" customHeight="1">
      <c r="A4" s="200"/>
      <c r="B4" s="9" t="s">
        <v>36</v>
      </c>
      <c r="C4" s="201" t="s">
        <v>38</v>
      </c>
      <c r="D4" s="201"/>
      <c r="E4" s="201"/>
      <c r="F4" s="201" t="s">
        <v>41</v>
      </c>
      <c r="G4" s="240"/>
      <c r="H4" s="201" t="s">
        <v>41</v>
      </c>
      <c r="I4" s="201"/>
      <c r="J4" s="201" t="s">
        <v>41</v>
      </c>
      <c r="K4" s="201"/>
      <c r="L4" s="9" t="s">
        <v>41</v>
      </c>
      <c r="M4" s="9" t="s">
        <v>41</v>
      </c>
      <c r="N4" s="22" t="s">
        <v>46</v>
      </c>
    </row>
    <row r="5" spans="1:15" ht="30.75" customHeight="1">
      <c r="A5" s="235" t="s">
        <v>47</v>
      </c>
      <c r="B5" s="12" t="s">
        <v>48</v>
      </c>
      <c r="C5" s="238">
        <v>5057</v>
      </c>
      <c r="D5" s="238"/>
      <c r="E5" s="12">
        <v>96</v>
      </c>
      <c r="F5" s="241">
        <v>440</v>
      </c>
      <c r="G5" s="241"/>
      <c r="H5" s="241">
        <v>394</v>
      </c>
      <c r="I5" s="241"/>
      <c r="J5" s="238">
        <v>1198</v>
      </c>
      <c r="K5" s="238"/>
      <c r="L5" s="12">
        <v>494</v>
      </c>
      <c r="M5" s="45">
        <v>1154</v>
      </c>
      <c r="N5" s="46">
        <v>1281</v>
      </c>
    </row>
    <row r="6" spans="1:15" ht="30.75" customHeight="1">
      <c r="A6" s="202"/>
      <c r="B6" s="18" t="s">
        <v>49</v>
      </c>
      <c r="C6" s="203">
        <v>0.21</v>
      </c>
      <c r="D6" s="203"/>
      <c r="E6" s="18">
        <v>2.63</v>
      </c>
      <c r="F6" s="203">
        <v>1.63</v>
      </c>
      <c r="G6" s="203"/>
      <c r="H6" s="203">
        <v>1.05</v>
      </c>
      <c r="I6" s="203"/>
      <c r="J6" s="203">
        <v>0.55000000000000004</v>
      </c>
      <c r="K6" s="203"/>
      <c r="L6" s="18">
        <v>0.25</v>
      </c>
      <c r="M6" s="18">
        <v>0.16</v>
      </c>
      <c r="N6" s="19">
        <v>0.11</v>
      </c>
    </row>
    <row r="9" spans="1:15" ht="30.75" customHeight="1">
      <c r="A9" s="236" t="s">
        <v>0</v>
      </c>
      <c r="B9" s="223"/>
      <c r="C9" s="223" t="s">
        <v>128</v>
      </c>
      <c r="D9" s="223"/>
      <c r="E9" s="223"/>
      <c r="F9" s="223" t="s">
        <v>50</v>
      </c>
      <c r="G9" s="223" t="s">
        <v>51</v>
      </c>
      <c r="H9" s="223"/>
      <c r="I9" s="223"/>
      <c r="J9" s="223"/>
      <c r="K9" s="223"/>
      <c r="L9" s="223"/>
      <c r="M9" s="223" t="s">
        <v>52</v>
      </c>
      <c r="N9" s="225" t="s">
        <v>27</v>
      </c>
    </row>
    <row r="10" spans="1:15" ht="30.75" customHeight="1">
      <c r="A10" s="237"/>
      <c r="B10" s="224"/>
      <c r="C10" s="38" t="s">
        <v>129</v>
      </c>
      <c r="D10" s="38" t="s">
        <v>130</v>
      </c>
      <c r="E10" s="38" t="s">
        <v>131</v>
      </c>
      <c r="F10" s="224"/>
      <c r="G10" s="38" t="s">
        <v>53</v>
      </c>
      <c r="H10" s="38" t="s">
        <v>54</v>
      </c>
      <c r="I10" s="38" t="s">
        <v>55</v>
      </c>
      <c r="J10" s="38" t="s">
        <v>56</v>
      </c>
      <c r="K10" s="38" t="s">
        <v>57</v>
      </c>
      <c r="L10" s="38" t="s">
        <v>58</v>
      </c>
      <c r="M10" s="224"/>
      <c r="N10" s="226"/>
    </row>
    <row r="11" spans="1:15" ht="30.75" customHeight="1">
      <c r="A11" s="227" t="s">
        <v>59</v>
      </c>
      <c r="B11" s="228"/>
      <c r="C11" s="39">
        <f>SUM(C12:C18)</f>
        <v>42</v>
      </c>
      <c r="D11" s="39">
        <f>SUM(D12:D18)</f>
        <v>7</v>
      </c>
      <c r="E11" s="39">
        <f>C11+D11</f>
        <v>49</v>
      </c>
      <c r="F11" s="39">
        <f t="shared" ref="F11:N11" si="0">SUM(F12:F18)</f>
        <v>2</v>
      </c>
      <c r="G11" s="39">
        <f t="shared" si="0"/>
        <v>6</v>
      </c>
      <c r="H11" s="39">
        <f t="shared" si="0"/>
        <v>8</v>
      </c>
      <c r="I11" s="39">
        <f t="shared" si="0"/>
        <v>10</v>
      </c>
      <c r="J11" s="39">
        <f t="shared" si="0"/>
        <v>4</v>
      </c>
      <c r="K11" s="39">
        <f t="shared" si="0"/>
        <v>2</v>
      </c>
      <c r="L11" s="39">
        <f t="shared" si="0"/>
        <v>2</v>
      </c>
      <c r="M11" s="39">
        <f t="shared" si="0"/>
        <v>17</v>
      </c>
      <c r="N11" s="40">
        <f t="shared" si="0"/>
        <v>2</v>
      </c>
    </row>
    <row r="12" spans="1:15" ht="30.75" customHeight="1">
      <c r="A12" s="233" t="s">
        <v>149</v>
      </c>
      <c r="B12" s="26" t="s">
        <v>60</v>
      </c>
      <c r="C12" s="41">
        <f>ROUNDUP($J$6*O12,0)</f>
        <v>17</v>
      </c>
      <c r="D12" s="41">
        <f>N23+N25</f>
        <v>5</v>
      </c>
      <c r="E12" s="41">
        <f>C12+D12+C15</f>
        <v>25</v>
      </c>
      <c r="F12" s="41">
        <v>2</v>
      </c>
      <c r="G12" s="41">
        <v>3</v>
      </c>
      <c r="H12" s="41">
        <v>3</v>
      </c>
      <c r="I12" s="41">
        <v>3</v>
      </c>
      <c r="J12" s="41">
        <v>3</v>
      </c>
      <c r="K12" s="41">
        <v>2</v>
      </c>
      <c r="L12" s="41">
        <v>2</v>
      </c>
      <c r="M12" s="41">
        <v>8</v>
      </c>
      <c r="N12" s="42">
        <v>2</v>
      </c>
      <c r="O12">
        <v>30</v>
      </c>
    </row>
    <row r="13" spans="1:15" ht="30.75" customHeight="1">
      <c r="A13" s="234"/>
      <c r="B13" s="26" t="s">
        <v>61</v>
      </c>
      <c r="C13" s="41">
        <f>ROUNDUP($J$6*O13,0)</f>
        <v>7</v>
      </c>
      <c r="D13" s="41"/>
      <c r="E13" s="41">
        <f t="shared" ref="E13:E18" si="1">C13+D13</f>
        <v>7</v>
      </c>
      <c r="F13" s="41">
        <v>0</v>
      </c>
      <c r="G13" s="41">
        <v>1</v>
      </c>
      <c r="H13" s="41">
        <v>2</v>
      </c>
      <c r="I13" s="41">
        <v>2</v>
      </c>
      <c r="J13" s="41">
        <v>0</v>
      </c>
      <c r="K13" s="41">
        <v>0</v>
      </c>
      <c r="L13" s="41">
        <v>0</v>
      </c>
      <c r="M13" s="41">
        <v>2</v>
      </c>
      <c r="N13" s="42">
        <v>0</v>
      </c>
      <c r="O13">
        <v>11</v>
      </c>
    </row>
    <row r="14" spans="1:15" ht="30.75" customHeight="1">
      <c r="A14" s="234"/>
      <c r="B14" s="26" t="s">
        <v>62</v>
      </c>
      <c r="C14" s="41">
        <f>ROUNDUP(F6*O14,0)</f>
        <v>3</v>
      </c>
      <c r="D14" s="41">
        <f>N24</f>
        <v>2</v>
      </c>
      <c r="E14" s="41">
        <f>C14+D14+C16</f>
        <v>7</v>
      </c>
      <c r="F14" s="41">
        <v>0</v>
      </c>
      <c r="G14" s="41">
        <v>1</v>
      </c>
      <c r="H14" s="41">
        <v>1</v>
      </c>
      <c r="I14" s="41">
        <v>2</v>
      </c>
      <c r="J14" s="41">
        <v>0</v>
      </c>
      <c r="K14" s="41">
        <v>0</v>
      </c>
      <c r="L14" s="41">
        <v>0</v>
      </c>
      <c r="M14" s="41">
        <v>4</v>
      </c>
      <c r="N14" s="42">
        <v>0</v>
      </c>
      <c r="O14">
        <v>1.5</v>
      </c>
    </row>
    <row r="15" spans="1:15" ht="30.75" customHeight="1">
      <c r="A15" s="234"/>
      <c r="B15" s="26" t="s">
        <v>5</v>
      </c>
      <c r="C15" s="41">
        <f>ROUNDUP(F6*O15,0)</f>
        <v>3</v>
      </c>
      <c r="D15" s="41"/>
      <c r="E15" s="41"/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2">
        <v>0</v>
      </c>
      <c r="O15">
        <v>1.6</v>
      </c>
    </row>
    <row r="16" spans="1:15" ht="30.75" customHeight="1">
      <c r="A16" s="227"/>
      <c r="B16" s="26" t="s">
        <v>63</v>
      </c>
      <c r="C16" s="41">
        <f>ROUND(E6*O16,0)</f>
        <v>2</v>
      </c>
      <c r="D16" s="41"/>
      <c r="E16" s="41"/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2">
        <v>0</v>
      </c>
      <c r="O16">
        <v>0.7</v>
      </c>
    </row>
    <row r="17" spans="1:15" ht="30.75" customHeight="1">
      <c r="A17" s="229" t="s">
        <v>64</v>
      </c>
      <c r="B17" s="230"/>
      <c r="C17" s="41">
        <v>3</v>
      </c>
      <c r="D17" s="41"/>
      <c r="E17" s="41">
        <f t="shared" si="1"/>
        <v>3</v>
      </c>
      <c r="F17" s="41">
        <v>0</v>
      </c>
      <c r="G17" s="41">
        <v>0</v>
      </c>
      <c r="H17" s="41">
        <v>1</v>
      </c>
      <c r="I17" s="41">
        <v>1</v>
      </c>
      <c r="J17" s="41">
        <v>0</v>
      </c>
      <c r="K17" s="41">
        <v>0</v>
      </c>
      <c r="L17" s="41">
        <v>0</v>
      </c>
      <c r="M17" s="41">
        <v>1</v>
      </c>
      <c r="N17" s="42">
        <v>0</v>
      </c>
    </row>
    <row r="18" spans="1:15" ht="30.75" customHeight="1">
      <c r="A18" s="231" t="s">
        <v>65</v>
      </c>
      <c r="B18" s="232"/>
      <c r="C18" s="43">
        <v>7</v>
      </c>
      <c r="D18" s="43"/>
      <c r="E18" s="43">
        <f t="shared" si="1"/>
        <v>7</v>
      </c>
      <c r="F18" s="43">
        <v>0</v>
      </c>
      <c r="G18" s="43">
        <v>1</v>
      </c>
      <c r="H18" s="43">
        <v>1</v>
      </c>
      <c r="I18" s="43">
        <v>2</v>
      </c>
      <c r="J18" s="43">
        <v>1</v>
      </c>
      <c r="K18" s="43">
        <v>0</v>
      </c>
      <c r="L18" s="43">
        <v>0</v>
      </c>
      <c r="M18" s="43">
        <v>2</v>
      </c>
      <c r="N18" s="44">
        <v>0</v>
      </c>
    </row>
    <row r="19" spans="1:15" ht="30.75" customHeight="1">
      <c r="A19" s="222" t="s">
        <v>150</v>
      </c>
      <c r="B19" s="222"/>
      <c r="C19" s="222"/>
      <c r="D19" s="222"/>
      <c r="E19" s="222"/>
      <c r="F19" s="222"/>
      <c r="G19" s="222"/>
      <c r="H19" s="2"/>
      <c r="I19" s="2"/>
      <c r="J19" s="2"/>
      <c r="K19" s="2"/>
      <c r="L19" s="2"/>
      <c r="M19" s="2"/>
      <c r="N19" s="2"/>
      <c r="O19" s="2"/>
    </row>
    <row r="20" spans="1:15" ht="30.75" customHeight="1">
      <c r="A20" s="1"/>
      <c r="B20" s="1"/>
      <c r="C20" s="2"/>
      <c r="D20" s="2"/>
      <c r="E20" s="2"/>
      <c r="F20" s="2"/>
      <c r="G20" s="2"/>
    </row>
    <row r="21" spans="1:15" ht="30.75" customHeight="1">
      <c r="A21" s="252" t="s">
        <v>116</v>
      </c>
      <c r="B21" s="242"/>
      <c r="C21" s="242"/>
      <c r="D21" s="242" t="s">
        <v>123</v>
      </c>
      <c r="E21" s="242"/>
      <c r="F21" s="242" t="s">
        <v>67</v>
      </c>
      <c r="G21" s="242"/>
      <c r="H21" s="266" t="s">
        <v>124</v>
      </c>
      <c r="I21" s="267"/>
      <c r="J21" s="267"/>
      <c r="K21" s="267"/>
      <c r="L21" s="267"/>
      <c r="M21" s="268"/>
      <c r="N21" s="269" t="s">
        <v>66</v>
      </c>
    </row>
    <row r="22" spans="1:15" ht="30.75" customHeight="1">
      <c r="A22" s="253"/>
      <c r="B22" s="243"/>
      <c r="C22" s="243"/>
      <c r="D22" s="243"/>
      <c r="E22" s="243"/>
      <c r="F22" s="243"/>
      <c r="G22" s="243"/>
      <c r="H22" s="243" t="s">
        <v>123</v>
      </c>
      <c r="I22" s="243"/>
      <c r="J22" s="243"/>
      <c r="K22" s="243" t="s">
        <v>132</v>
      </c>
      <c r="L22" s="243"/>
      <c r="M22" s="243"/>
      <c r="N22" s="270"/>
    </row>
    <row r="23" spans="1:15" ht="30.75" customHeight="1">
      <c r="A23" s="206" t="s">
        <v>125</v>
      </c>
      <c r="B23" s="254"/>
      <c r="C23" s="254"/>
      <c r="D23" s="257">
        <v>9</v>
      </c>
      <c r="E23" s="258"/>
      <c r="F23" s="244">
        <v>6</v>
      </c>
      <c r="G23" s="244"/>
      <c r="H23" s="271">
        <f>ROUNDUP(D23/3,0)</f>
        <v>3</v>
      </c>
      <c r="I23" s="272"/>
      <c r="J23" s="273"/>
      <c r="K23" s="274">
        <v>2</v>
      </c>
      <c r="L23" s="275"/>
      <c r="M23" s="276"/>
      <c r="N23" s="193">
        <f>H23+J23</f>
        <v>3</v>
      </c>
    </row>
    <row r="24" spans="1:15" ht="30.75" customHeight="1">
      <c r="A24" s="207" t="s">
        <v>126</v>
      </c>
      <c r="B24" s="255"/>
      <c r="C24" s="255"/>
      <c r="D24" s="245">
        <v>6</v>
      </c>
      <c r="E24" s="245"/>
      <c r="F24" s="245">
        <v>2</v>
      </c>
      <c r="G24" s="245"/>
      <c r="H24" s="248">
        <f>ROUNDUP(D24/3,0)</f>
        <v>2</v>
      </c>
      <c r="I24" s="249"/>
      <c r="J24" s="250"/>
      <c r="K24" s="260">
        <v>1</v>
      </c>
      <c r="L24" s="261"/>
      <c r="M24" s="262"/>
      <c r="N24" s="194">
        <f>H24+J24</f>
        <v>2</v>
      </c>
    </row>
    <row r="25" spans="1:15" ht="30.75" customHeight="1">
      <c r="A25" s="208" t="s">
        <v>127</v>
      </c>
      <c r="B25" s="256"/>
      <c r="C25" s="256"/>
      <c r="D25" s="259">
        <v>6</v>
      </c>
      <c r="E25" s="259"/>
      <c r="F25" s="246">
        <v>2</v>
      </c>
      <c r="G25" s="247"/>
      <c r="H25" s="251">
        <f>ROUNDUP(D25/3,0)</f>
        <v>2</v>
      </c>
      <c r="I25" s="251"/>
      <c r="J25" s="251"/>
      <c r="K25" s="263">
        <v>1</v>
      </c>
      <c r="L25" s="264"/>
      <c r="M25" s="265"/>
      <c r="N25" s="195">
        <f>H25+J25</f>
        <v>2</v>
      </c>
    </row>
  </sheetData>
  <mergeCells count="52">
    <mergeCell ref="K24:M24"/>
    <mergeCell ref="K25:M25"/>
    <mergeCell ref="H21:M21"/>
    <mergeCell ref="N21:N22"/>
    <mergeCell ref="H22:J22"/>
    <mergeCell ref="H23:J23"/>
    <mergeCell ref="K22:M22"/>
    <mergeCell ref="K23:M23"/>
    <mergeCell ref="A21:C22"/>
    <mergeCell ref="A23:C23"/>
    <mergeCell ref="A24:C24"/>
    <mergeCell ref="A25:C25"/>
    <mergeCell ref="D21:E22"/>
    <mergeCell ref="D23:E23"/>
    <mergeCell ref="D24:E24"/>
    <mergeCell ref="D25:E25"/>
    <mergeCell ref="F21:G22"/>
    <mergeCell ref="F23:G23"/>
    <mergeCell ref="F24:G24"/>
    <mergeCell ref="F25:G25"/>
    <mergeCell ref="H24:J24"/>
    <mergeCell ref="H25:J25"/>
    <mergeCell ref="J6:K6"/>
    <mergeCell ref="E3:E4"/>
    <mergeCell ref="H3:I3"/>
    <mergeCell ref="H4:I4"/>
    <mergeCell ref="H5:I5"/>
    <mergeCell ref="H6:I6"/>
    <mergeCell ref="A3:A4"/>
    <mergeCell ref="A5:A6"/>
    <mergeCell ref="A9:B10"/>
    <mergeCell ref="F9:F10"/>
    <mergeCell ref="G9:L9"/>
    <mergeCell ref="C3:D3"/>
    <mergeCell ref="C4:D4"/>
    <mergeCell ref="C5:D5"/>
    <mergeCell ref="C6:D6"/>
    <mergeCell ref="F3:G3"/>
    <mergeCell ref="F4:G4"/>
    <mergeCell ref="F5:G5"/>
    <mergeCell ref="F6:G6"/>
    <mergeCell ref="J3:K3"/>
    <mergeCell ref="J4:K4"/>
    <mergeCell ref="J5:K5"/>
    <mergeCell ref="A19:G19"/>
    <mergeCell ref="C9:E9"/>
    <mergeCell ref="M9:M10"/>
    <mergeCell ref="N9:N10"/>
    <mergeCell ref="A11:B11"/>
    <mergeCell ref="A17:B17"/>
    <mergeCell ref="A18:B18"/>
    <mergeCell ref="A12:A1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100" zoomScaleSheetLayoutView="100" workbookViewId="0">
      <selection activeCell="F9" sqref="F9"/>
    </sheetView>
  </sheetViews>
  <sheetFormatPr defaultRowHeight="16.5"/>
  <cols>
    <col min="1" max="1" width="8.625" customWidth="1"/>
    <col min="2" max="2" width="13.875" bestFit="1" customWidth="1"/>
    <col min="3" max="3" width="11.75" bestFit="1" customWidth="1"/>
    <col min="4" max="4" width="9.875" bestFit="1" customWidth="1"/>
    <col min="5" max="8" width="9.125" bestFit="1" customWidth="1"/>
    <col min="9" max="9" width="9.875" bestFit="1" customWidth="1"/>
  </cols>
  <sheetData>
    <row r="1" spans="1:9">
      <c r="A1" s="188" t="s">
        <v>230</v>
      </c>
    </row>
    <row r="2" spans="1:9" ht="23.1" customHeight="1">
      <c r="A2" s="209" t="s">
        <v>68</v>
      </c>
      <c r="B2" s="211" t="s">
        <v>120</v>
      </c>
      <c r="C2" s="213" t="s">
        <v>69</v>
      </c>
      <c r="D2" s="213"/>
      <c r="E2" s="213"/>
      <c r="F2" s="213"/>
      <c r="G2" s="213"/>
      <c r="H2" s="213"/>
      <c r="I2" s="214"/>
    </row>
    <row r="3" spans="1:9" ht="23.1" customHeight="1">
      <c r="A3" s="210"/>
      <c r="B3" s="212"/>
      <c r="C3" s="34" t="s">
        <v>70</v>
      </c>
      <c r="D3" s="34" t="s">
        <v>121</v>
      </c>
      <c r="E3" s="34" t="s">
        <v>71</v>
      </c>
      <c r="F3" s="34" t="s">
        <v>122</v>
      </c>
      <c r="G3" s="35" t="s">
        <v>148</v>
      </c>
      <c r="H3" s="34" t="s">
        <v>72</v>
      </c>
      <c r="I3" s="36" t="s">
        <v>96</v>
      </c>
    </row>
    <row r="4" spans="1:9" ht="23.1" customHeight="1">
      <c r="A4" s="284" t="s">
        <v>146</v>
      </c>
      <c r="B4" s="89" t="s">
        <v>147</v>
      </c>
      <c r="C4" s="93">
        <f>SUM(C5:C9)</f>
        <v>1597361</v>
      </c>
      <c r="D4" s="93">
        <f t="shared" ref="D4:I4" si="0">SUM(D5:D9)</f>
        <v>723934</v>
      </c>
      <c r="E4" s="93">
        <f t="shared" si="0"/>
        <v>234883</v>
      </c>
      <c r="F4" s="93">
        <f t="shared" si="0"/>
        <v>32777</v>
      </c>
      <c r="G4" s="93">
        <f t="shared" si="0"/>
        <v>158908</v>
      </c>
      <c r="H4" s="93">
        <f t="shared" si="0"/>
        <v>44039</v>
      </c>
      <c r="I4" s="196">
        <f t="shared" si="0"/>
        <v>402820</v>
      </c>
    </row>
    <row r="5" spans="1:9" ht="23.1" customHeight="1">
      <c r="A5" s="217"/>
      <c r="B5" s="89" t="s">
        <v>74</v>
      </c>
      <c r="C5" s="94">
        <f t="shared" ref="C5:C9" si="1">SUM(D5:I5)</f>
        <v>940656</v>
      </c>
      <c r="D5" s="94">
        <v>511088</v>
      </c>
      <c r="E5" s="94">
        <v>123381</v>
      </c>
      <c r="F5" s="94">
        <v>15424</v>
      </c>
      <c r="G5" s="94">
        <v>130922</v>
      </c>
      <c r="H5" s="94">
        <v>15780</v>
      </c>
      <c r="I5" s="95">
        <v>144061</v>
      </c>
    </row>
    <row r="6" spans="1:9" ht="23.1" customHeight="1">
      <c r="A6" s="217"/>
      <c r="B6" s="89" t="s">
        <v>75</v>
      </c>
      <c r="C6" s="94">
        <f t="shared" si="1"/>
        <v>280287</v>
      </c>
      <c r="D6" s="94">
        <v>110000</v>
      </c>
      <c r="E6" s="94">
        <v>65704</v>
      </c>
      <c r="F6" s="94">
        <v>14575</v>
      </c>
      <c r="G6" s="94">
        <v>22593</v>
      </c>
      <c r="H6" s="94">
        <v>17405</v>
      </c>
      <c r="I6" s="95">
        <v>50010</v>
      </c>
    </row>
    <row r="7" spans="1:9" ht="23.1" customHeight="1">
      <c r="A7" s="217"/>
      <c r="B7" s="89" t="s">
        <v>77</v>
      </c>
      <c r="C7" s="94">
        <f t="shared" si="1"/>
        <v>160252</v>
      </c>
      <c r="D7" s="94">
        <v>0</v>
      </c>
      <c r="E7" s="94">
        <v>19354</v>
      </c>
      <c r="F7" s="94">
        <v>1579</v>
      </c>
      <c r="G7" s="94">
        <v>0</v>
      </c>
      <c r="H7" s="94">
        <v>6103</v>
      </c>
      <c r="I7" s="95">
        <v>133216</v>
      </c>
    </row>
    <row r="8" spans="1:9" ht="23.1" customHeight="1">
      <c r="A8" s="217"/>
      <c r="B8" s="89" t="s">
        <v>145</v>
      </c>
      <c r="C8" s="94">
        <f t="shared" si="1"/>
        <v>141231</v>
      </c>
      <c r="D8" s="94">
        <v>51423</v>
      </c>
      <c r="E8" s="94">
        <v>21204</v>
      </c>
      <c r="F8" s="94">
        <v>777</v>
      </c>
      <c r="G8" s="94">
        <v>5393</v>
      </c>
      <c r="H8" s="94">
        <v>4751</v>
      </c>
      <c r="I8" s="95">
        <v>57683</v>
      </c>
    </row>
    <row r="9" spans="1:9" ht="23.1" customHeight="1">
      <c r="A9" s="218"/>
      <c r="B9" s="90" t="s">
        <v>76</v>
      </c>
      <c r="C9" s="96">
        <f t="shared" si="1"/>
        <v>74935</v>
      </c>
      <c r="D9" s="96">
        <v>51423</v>
      </c>
      <c r="E9" s="96">
        <v>5240</v>
      </c>
      <c r="F9" s="96">
        <v>422</v>
      </c>
      <c r="G9" s="96">
        <v>0</v>
      </c>
      <c r="H9" s="96">
        <v>0</v>
      </c>
      <c r="I9" s="97">
        <v>17850</v>
      </c>
    </row>
    <row r="10" spans="1:9" ht="23.1" customHeight="1"/>
    <row r="11" spans="1:9" ht="23.1" customHeight="1">
      <c r="I11" s="85" t="s">
        <v>135</v>
      </c>
    </row>
    <row r="12" spans="1:9" ht="23.1" customHeight="1">
      <c r="A12" s="285" t="s">
        <v>0</v>
      </c>
      <c r="B12" s="278" t="s">
        <v>134</v>
      </c>
      <c r="C12" s="278" t="s">
        <v>79</v>
      </c>
      <c r="D12" s="278" t="s">
        <v>22</v>
      </c>
      <c r="E12" s="278" t="s">
        <v>23</v>
      </c>
      <c r="F12" s="278" t="s">
        <v>24</v>
      </c>
      <c r="G12" s="278" t="s">
        <v>151</v>
      </c>
      <c r="H12" s="278" t="s">
        <v>80</v>
      </c>
      <c r="I12" s="290" t="s">
        <v>27</v>
      </c>
    </row>
    <row r="13" spans="1:9" ht="23.1" customHeight="1">
      <c r="A13" s="286"/>
      <c r="B13" s="279"/>
      <c r="C13" s="279"/>
      <c r="D13" s="279"/>
      <c r="E13" s="279"/>
      <c r="F13" s="279"/>
      <c r="G13" s="279"/>
      <c r="H13" s="279"/>
      <c r="I13" s="291"/>
    </row>
    <row r="14" spans="1:9" ht="23.1" customHeight="1">
      <c r="A14" s="287" t="s">
        <v>60</v>
      </c>
      <c r="B14" s="91" t="s">
        <v>133</v>
      </c>
      <c r="C14" s="49">
        <f>SUM(D14:I14)</f>
        <v>909907</v>
      </c>
      <c r="D14" s="102">
        <v>418481</v>
      </c>
      <c r="E14" s="102">
        <v>102602</v>
      </c>
      <c r="F14" s="102">
        <v>13625</v>
      </c>
      <c r="G14" s="102">
        <v>14492</v>
      </c>
      <c r="H14" s="102">
        <v>10507</v>
      </c>
      <c r="I14" s="103">
        <v>350200</v>
      </c>
    </row>
    <row r="15" spans="1:9" ht="23.1" customHeight="1">
      <c r="A15" s="288"/>
      <c r="B15" s="92" t="s">
        <v>82</v>
      </c>
      <c r="C15" s="49">
        <f>SUM(D15:I15)</f>
        <v>972582</v>
      </c>
      <c r="D15" s="98">
        <v>485125</v>
      </c>
      <c r="E15" s="98">
        <v>116162</v>
      </c>
      <c r="F15" s="98">
        <v>13625</v>
      </c>
      <c r="G15" s="98">
        <v>87689</v>
      </c>
      <c r="H15" s="98">
        <v>10507</v>
      </c>
      <c r="I15" s="99">
        <v>259474</v>
      </c>
    </row>
    <row r="16" spans="1:9" ht="23.1" customHeight="1">
      <c r="A16" s="288"/>
      <c r="B16" s="92" t="s">
        <v>83</v>
      </c>
      <c r="C16" s="49">
        <f>SUM(D16:I16)</f>
        <v>937818</v>
      </c>
      <c r="D16" s="100">
        <v>450599</v>
      </c>
      <c r="E16" s="100">
        <v>116162</v>
      </c>
      <c r="F16" s="100">
        <v>13625</v>
      </c>
      <c r="G16" s="100">
        <v>88325</v>
      </c>
      <c r="H16" s="100">
        <v>10507</v>
      </c>
      <c r="I16" s="101">
        <v>258600</v>
      </c>
    </row>
    <row r="17" spans="1:9" ht="23.1" customHeight="1">
      <c r="A17" s="288"/>
      <c r="B17" s="92" t="s">
        <v>84</v>
      </c>
      <c r="C17" s="49">
        <f>SUM(D17:I17)</f>
        <v>925419</v>
      </c>
      <c r="D17" s="104">
        <v>459914</v>
      </c>
      <c r="E17" s="104">
        <v>112890</v>
      </c>
      <c r="F17" s="104">
        <v>13909</v>
      </c>
      <c r="G17" s="104">
        <v>91552</v>
      </c>
      <c r="H17" s="104">
        <v>11044</v>
      </c>
      <c r="I17" s="105">
        <v>236110</v>
      </c>
    </row>
    <row r="18" spans="1:9" ht="23.1" customHeight="1">
      <c r="A18" s="289"/>
      <c r="B18" s="88" t="s">
        <v>85</v>
      </c>
      <c r="C18" s="50">
        <f>SUM(D18:I18)</f>
        <v>940656</v>
      </c>
      <c r="D18" s="106">
        <v>511088</v>
      </c>
      <c r="E18" s="106">
        <v>123381</v>
      </c>
      <c r="F18" s="106">
        <v>15424</v>
      </c>
      <c r="G18" s="106">
        <v>130922</v>
      </c>
      <c r="H18" s="106">
        <v>15780</v>
      </c>
      <c r="I18" s="107">
        <v>144061</v>
      </c>
    </row>
    <row r="19" spans="1:9" ht="23.1" customHeight="1"/>
    <row r="20" spans="1:9" ht="23.1" customHeight="1">
      <c r="I20" s="85" t="s">
        <v>135</v>
      </c>
    </row>
    <row r="21" spans="1:9" ht="23.1" customHeight="1">
      <c r="A21" s="198" t="s">
        <v>0</v>
      </c>
      <c r="B21" s="199" t="s">
        <v>134</v>
      </c>
      <c r="C21" s="199" t="s">
        <v>79</v>
      </c>
      <c r="D21" s="199" t="s">
        <v>22</v>
      </c>
      <c r="E21" s="199" t="s">
        <v>23</v>
      </c>
      <c r="F21" s="199" t="s">
        <v>24</v>
      </c>
      <c r="G21" s="278" t="s">
        <v>151</v>
      </c>
      <c r="H21" s="199" t="s">
        <v>80</v>
      </c>
      <c r="I21" s="280" t="s">
        <v>27</v>
      </c>
    </row>
    <row r="22" spans="1:9" ht="23.1" customHeight="1">
      <c r="A22" s="200"/>
      <c r="B22" s="201"/>
      <c r="C22" s="201"/>
      <c r="D22" s="201"/>
      <c r="E22" s="201"/>
      <c r="F22" s="201"/>
      <c r="G22" s="279"/>
      <c r="H22" s="201"/>
      <c r="I22" s="281"/>
    </row>
    <row r="23" spans="1:9" ht="23.1" customHeight="1">
      <c r="A23" s="277" t="s">
        <v>152</v>
      </c>
      <c r="B23" s="15" t="s">
        <v>82</v>
      </c>
      <c r="C23" s="49">
        <f>SUM(D23:I23)</f>
        <v>278920</v>
      </c>
      <c r="D23" s="98">
        <v>103000</v>
      </c>
      <c r="E23" s="98">
        <v>60000</v>
      </c>
      <c r="F23" s="98">
        <v>9200</v>
      </c>
      <c r="G23" s="98">
        <v>4720</v>
      </c>
      <c r="H23" s="110">
        <v>0</v>
      </c>
      <c r="I23" s="99">
        <v>102000</v>
      </c>
    </row>
    <row r="24" spans="1:9" ht="23.1" customHeight="1">
      <c r="A24" s="277"/>
      <c r="B24" s="15" t="s">
        <v>83</v>
      </c>
      <c r="C24" s="49">
        <f>SUM(D24:I24)</f>
        <v>435000</v>
      </c>
      <c r="D24" s="100">
        <v>115000</v>
      </c>
      <c r="E24" s="100">
        <v>60000</v>
      </c>
      <c r="F24" s="100">
        <v>12000</v>
      </c>
      <c r="G24" s="100">
        <v>6200</v>
      </c>
      <c r="H24" s="111">
        <v>0</v>
      </c>
      <c r="I24" s="101">
        <v>241800</v>
      </c>
    </row>
    <row r="25" spans="1:9" ht="23.1" customHeight="1">
      <c r="A25" s="277"/>
      <c r="B25" s="15" t="s">
        <v>84</v>
      </c>
      <c r="C25" s="49">
        <f>SUM(D25:I25)</f>
        <v>453857</v>
      </c>
      <c r="D25" s="98">
        <v>115000</v>
      </c>
      <c r="E25" s="98">
        <v>68275</v>
      </c>
      <c r="F25" s="98">
        <v>13756</v>
      </c>
      <c r="G25" s="98">
        <v>15026</v>
      </c>
      <c r="H25" s="112">
        <v>0</v>
      </c>
      <c r="I25" s="99">
        <v>241800</v>
      </c>
    </row>
    <row r="26" spans="1:9" ht="23.1" customHeight="1">
      <c r="A26" s="202"/>
      <c r="B26" s="18" t="s">
        <v>85</v>
      </c>
      <c r="C26" s="50">
        <f>SUM(D26:I26)</f>
        <v>280287</v>
      </c>
      <c r="D26" s="106">
        <v>110000</v>
      </c>
      <c r="E26" s="106">
        <v>65704</v>
      </c>
      <c r="F26" s="106">
        <v>14575</v>
      </c>
      <c r="G26" s="106">
        <v>22593</v>
      </c>
      <c r="H26" s="106">
        <v>17405</v>
      </c>
      <c r="I26" s="107">
        <v>50010</v>
      </c>
    </row>
    <row r="27" spans="1:9" ht="23.1" customHeight="1"/>
    <row r="28" spans="1:9" ht="23.1" customHeight="1">
      <c r="I28" s="85" t="s">
        <v>135</v>
      </c>
    </row>
    <row r="29" spans="1:9" ht="23.1" customHeight="1">
      <c r="A29" s="198" t="s">
        <v>0</v>
      </c>
      <c r="B29" s="199" t="s">
        <v>134</v>
      </c>
      <c r="C29" s="199" t="s">
        <v>79</v>
      </c>
      <c r="D29" s="199" t="s">
        <v>22</v>
      </c>
      <c r="E29" s="199" t="s">
        <v>23</v>
      </c>
      <c r="F29" s="199" t="s">
        <v>24</v>
      </c>
      <c r="G29" s="278" t="s">
        <v>151</v>
      </c>
      <c r="H29" s="199" t="s">
        <v>80</v>
      </c>
      <c r="I29" s="280" t="s">
        <v>27</v>
      </c>
    </row>
    <row r="30" spans="1:9" ht="23.1" customHeight="1">
      <c r="A30" s="200"/>
      <c r="B30" s="201"/>
      <c r="C30" s="201"/>
      <c r="D30" s="201"/>
      <c r="E30" s="201"/>
      <c r="F30" s="201"/>
      <c r="G30" s="279"/>
      <c r="H30" s="201"/>
      <c r="I30" s="281"/>
    </row>
    <row r="31" spans="1:9" ht="23.1" customHeight="1">
      <c r="A31" s="87" t="s">
        <v>153</v>
      </c>
      <c r="B31" s="18" t="s">
        <v>85</v>
      </c>
      <c r="C31" s="50">
        <f>SUM(D31:I31)</f>
        <v>160252</v>
      </c>
      <c r="D31" s="108">
        <v>0</v>
      </c>
      <c r="E31" s="108">
        <v>19354</v>
      </c>
      <c r="F31" s="108">
        <v>1579</v>
      </c>
      <c r="G31" s="108">
        <v>0</v>
      </c>
      <c r="H31" s="108">
        <v>6103</v>
      </c>
      <c r="I31" s="109">
        <v>133216</v>
      </c>
    </row>
    <row r="32" spans="1:9" ht="23.1" customHeight="1">
      <c r="A32" s="113"/>
      <c r="B32" s="113"/>
      <c r="C32" s="114"/>
      <c r="D32" s="115"/>
      <c r="E32" s="115"/>
      <c r="F32" s="115"/>
      <c r="G32" s="115"/>
      <c r="H32" s="115"/>
      <c r="I32" s="115"/>
    </row>
    <row r="33" spans="1:9" ht="23.1" customHeight="1">
      <c r="I33" s="85" t="s">
        <v>135</v>
      </c>
    </row>
    <row r="34" spans="1:9" ht="23.1" customHeight="1">
      <c r="A34" s="198" t="s">
        <v>0</v>
      </c>
      <c r="B34" s="199" t="s">
        <v>134</v>
      </c>
      <c r="C34" s="199" t="s">
        <v>79</v>
      </c>
      <c r="D34" s="199" t="s">
        <v>22</v>
      </c>
      <c r="E34" s="199" t="s">
        <v>23</v>
      </c>
      <c r="F34" s="199" t="s">
        <v>24</v>
      </c>
      <c r="G34" s="278" t="s">
        <v>151</v>
      </c>
      <c r="H34" s="199" t="s">
        <v>80</v>
      </c>
      <c r="I34" s="280" t="s">
        <v>27</v>
      </c>
    </row>
    <row r="35" spans="1:9" ht="23.1" customHeight="1">
      <c r="A35" s="200"/>
      <c r="B35" s="201"/>
      <c r="C35" s="201"/>
      <c r="D35" s="201"/>
      <c r="E35" s="201"/>
      <c r="F35" s="201"/>
      <c r="G35" s="279"/>
      <c r="H35" s="201"/>
      <c r="I35" s="281"/>
    </row>
    <row r="36" spans="1:9" ht="23.1" customHeight="1">
      <c r="A36" s="87" t="s">
        <v>154</v>
      </c>
      <c r="B36" s="88" t="s">
        <v>85</v>
      </c>
      <c r="C36" s="50">
        <f>SUM(D36:I36)</f>
        <v>141231</v>
      </c>
      <c r="D36" s="108">
        <v>51423</v>
      </c>
      <c r="E36" s="108">
        <v>21204</v>
      </c>
      <c r="F36" s="108">
        <v>777</v>
      </c>
      <c r="G36" s="108">
        <v>5393</v>
      </c>
      <c r="H36" s="108">
        <v>4751</v>
      </c>
      <c r="I36" s="109">
        <v>57683</v>
      </c>
    </row>
    <row r="37" spans="1:9" ht="23.1" customHeight="1"/>
    <row r="38" spans="1:9" ht="23.1" customHeight="1">
      <c r="I38" s="85" t="s">
        <v>135</v>
      </c>
    </row>
    <row r="39" spans="1:9" ht="23.1" customHeight="1">
      <c r="A39" s="198" t="s">
        <v>0</v>
      </c>
      <c r="B39" s="199" t="s">
        <v>134</v>
      </c>
      <c r="C39" s="199" t="s">
        <v>79</v>
      </c>
      <c r="D39" s="199" t="s">
        <v>22</v>
      </c>
      <c r="E39" s="199" t="s">
        <v>23</v>
      </c>
      <c r="F39" s="199" t="s">
        <v>24</v>
      </c>
      <c r="G39" s="278" t="s">
        <v>151</v>
      </c>
      <c r="H39" s="199" t="s">
        <v>80</v>
      </c>
      <c r="I39" s="280" t="s">
        <v>27</v>
      </c>
    </row>
    <row r="40" spans="1:9" ht="23.1" customHeight="1">
      <c r="A40" s="200"/>
      <c r="B40" s="201"/>
      <c r="C40" s="201"/>
      <c r="D40" s="201"/>
      <c r="E40" s="201"/>
      <c r="F40" s="201"/>
      <c r="G40" s="279"/>
      <c r="H40" s="201"/>
      <c r="I40" s="281"/>
    </row>
    <row r="41" spans="1:9" ht="23.1" customHeight="1">
      <c r="A41" s="282" t="s">
        <v>155</v>
      </c>
      <c r="B41" s="116" t="s">
        <v>84</v>
      </c>
      <c r="C41" s="117">
        <f>SUM(D41:I41)</f>
        <v>68569</v>
      </c>
      <c r="D41" s="118">
        <v>42321</v>
      </c>
      <c r="E41" s="118">
        <v>4790</v>
      </c>
      <c r="F41" s="119">
        <v>393</v>
      </c>
      <c r="G41" s="119">
        <v>0</v>
      </c>
      <c r="H41" s="119">
        <v>0</v>
      </c>
      <c r="I41" s="120">
        <v>21065</v>
      </c>
    </row>
    <row r="42" spans="1:9" ht="23.1" customHeight="1">
      <c r="A42" s="283"/>
      <c r="B42" s="121" t="s">
        <v>85</v>
      </c>
      <c r="C42" s="122">
        <f>SUM(D42:I42)</f>
        <v>74935</v>
      </c>
      <c r="D42" s="123">
        <v>51423</v>
      </c>
      <c r="E42" s="123">
        <v>5240</v>
      </c>
      <c r="F42" s="123">
        <v>422</v>
      </c>
      <c r="G42" s="123">
        <v>0</v>
      </c>
      <c r="H42" s="123">
        <v>0</v>
      </c>
      <c r="I42" s="124">
        <v>17850</v>
      </c>
    </row>
    <row r="43" spans="1:9" ht="23.1" customHeight="1"/>
    <row r="44" spans="1:9" ht="23.1" customHeight="1"/>
    <row r="45" spans="1:9" ht="23.1" customHeight="1"/>
    <row r="46" spans="1:9" ht="23.1" customHeight="1"/>
    <row r="47" spans="1:9" ht="23.1" customHeight="1"/>
  </sheetData>
  <mergeCells count="52">
    <mergeCell ref="A4:A9"/>
    <mergeCell ref="A2:A3"/>
    <mergeCell ref="B2:B3"/>
    <mergeCell ref="C2:I2"/>
    <mergeCell ref="I21:I22"/>
    <mergeCell ref="A12:A13"/>
    <mergeCell ref="B12:B13"/>
    <mergeCell ref="A14:A18"/>
    <mergeCell ref="A21:A22"/>
    <mergeCell ref="B21:B22"/>
    <mergeCell ref="E12:E13"/>
    <mergeCell ref="F12:F13"/>
    <mergeCell ref="H12:H13"/>
    <mergeCell ref="I12:I13"/>
    <mergeCell ref="C21:C22"/>
    <mergeCell ref="D21:D22"/>
    <mergeCell ref="E21:E22"/>
    <mergeCell ref="F21:F22"/>
    <mergeCell ref="H21:H22"/>
    <mergeCell ref="C12:C13"/>
    <mergeCell ref="H39:H40"/>
    <mergeCell ref="G12:G13"/>
    <mergeCell ref="G21:G22"/>
    <mergeCell ref="G39:G40"/>
    <mergeCell ref="F34:F35"/>
    <mergeCell ref="G34:G35"/>
    <mergeCell ref="I39:I40"/>
    <mergeCell ref="A41:A42"/>
    <mergeCell ref="F29:F30"/>
    <mergeCell ref="H29:H30"/>
    <mergeCell ref="I29:I30"/>
    <mergeCell ref="A39:A40"/>
    <mergeCell ref="B39:B40"/>
    <mergeCell ref="C39:C40"/>
    <mergeCell ref="D39:D40"/>
    <mergeCell ref="E39:E40"/>
    <mergeCell ref="F39:F40"/>
    <mergeCell ref="E29:E30"/>
    <mergeCell ref="H34:H35"/>
    <mergeCell ref="I34:I35"/>
    <mergeCell ref="A29:A30"/>
    <mergeCell ref="G29:G30"/>
    <mergeCell ref="A34:A35"/>
    <mergeCell ref="B34:B35"/>
    <mergeCell ref="C34:C35"/>
    <mergeCell ref="D34:D35"/>
    <mergeCell ref="E34:E35"/>
    <mergeCell ref="A23:A26"/>
    <mergeCell ref="B29:B30"/>
    <mergeCell ref="C29:C30"/>
    <mergeCell ref="D29:D30"/>
    <mergeCell ref="D12:D13"/>
  </mergeCells>
  <phoneticPr fontId="2" type="noConversion"/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Normal="100" zoomScaleSheetLayoutView="100" workbookViewId="0">
      <selection sqref="A1:A2"/>
    </sheetView>
  </sheetViews>
  <sheetFormatPr defaultRowHeight="16.5"/>
  <cols>
    <col min="2" max="2" width="10.25" customWidth="1"/>
    <col min="3" max="3" width="11.625" customWidth="1"/>
    <col min="4" max="6" width="14.875" customWidth="1"/>
    <col min="7" max="7" width="16.25" customWidth="1"/>
  </cols>
  <sheetData>
    <row r="1" spans="1:9" ht="28.5" customHeight="1">
      <c r="A1" s="188" t="s">
        <v>231</v>
      </c>
    </row>
    <row r="2" spans="1:9" ht="23.25" customHeight="1">
      <c r="A2" s="189" t="s">
        <v>232</v>
      </c>
    </row>
    <row r="3" spans="1:9" ht="24.95" customHeight="1">
      <c r="A3" s="204" t="s">
        <v>90</v>
      </c>
      <c r="B3" s="205"/>
      <c r="C3" s="31" t="s">
        <v>66</v>
      </c>
      <c r="D3" s="31" t="s">
        <v>86</v>
      </c>
      <c r="E3" s="31" t="s">
        <v>87</v>
      </c>
      <c r="F3" s="31" t="s">
        <v>88</v>
      </c>
      <c r="G3" s="33" t="s">
        <v>89</v>
      </c>
    </row>
    <row r="4" spans="1:9" ht="24.95" customHeight="1">
      <c r="A4" s="206" t="s">
        <v>33</v>
      </c>
      <c r="B4" s="29" t="s">
        <v>81</v>
      </c>
      <c r="C4" s="55">
        <f>SUM(D4:G4)</f>
        <v>7310</v>
      </c>
      <c r="D4" s="55">
        <v>4032</v>
      </c>
      <c r="E4" s="55">
        <v>0</v>
      </c>
      <c r="F4" s="55">
        <v>0</v>
      </c>
      <c r="G4" s="56">
        <v>3278</v>
      </c>
    </row>
    <row r="5" spans="1:9" ht="24.95" customHeight="1">
      <c r="A5" s="207"/>
      <c r="B5" s="24" t="s">
        <v>82</v>
      </c>
      <c r="C5" s="51">
        <f t="shared" ref="C5:C8" si="0">SUM(D5:G5)</f>
        <v>5904</v>
      </c>
      <c r="D5" s="51">
        <v>3961</v>
      </c>
      <c r="E5" s="51">
        <v>0</v>
      </c>
      <c r="F5" s="51">
        <v>0</v>
      </c>
      <c r="G5" s="52">
        <v>1943</v>
      </c>
    </row>
    <row r="6" spans="1:9" ht="24.95" customHeight="1">
      <c r="A6" s="207"/>
      <c r="B6" s="24" t="s">
        <v>83</v>
      </c>
      <c r="C6" s="51">
        <f t="shared" si="0"/>
        <v>5232</v>
      </c>
      <c r="D6" s="51">
        <v>4967</v>
      </c>
      <c r="E6" s="51">
        <v>0</v>
      </c>
      <c r="F6" s="51">
        <v>250</v>
      </c>
      <c r="G6" s="52">
        <v>15</v>
      </c>
    </row>
    <row r="7" spans="1:9" ht="24.95" customHeight="1">
      <c r="A7" s="207"/>
      <c r="B7" s="24" t="s">
        <v>84</v>
      </c>
      <c r="C7" s="51">
        <f t="shared" si="0"/>
        <v>2756</v>
      </c>
      <c r="D7" s="51">
        <v>2566</v>
      </c>
      <c r="E7" s="51">
        <v>30</v>
      </c>
      <c r="F7" s="51">
        <v>150</v>
      </c>
      <c r="G7" s="52">
        <v>10</v>
      </c>
    </row>
    <row r="8" spans="1:9" ht="24.95" customHeight="1">
      <c r="A8" s="208"/>
      <c r="B8" s="27" t="s">
        <v>85</v>
      </c>
      <c r="C8" s="53">
        <f t="shared" si="0"/>
        <v>250</v>
      </c>
      <c r="D8" s="53">
        <v>0</v>
      </c>
      <c r="E8" s="53">
        <v>0</v>
      </c>
      <c r="F8" s="53">
        <v>220</v>
      </c>
      <c r="G8" s="54">
        <v>30</v>
      </c>
    </row>
    <row r="9" spans="1:9" ht="20.100000000000001" customHeight="1"/>
    <row r="10" spans="1:9" ht="26.25" customHeight="1">
      <c r="A10" s="189" t="s">
        <v>233</v>
      </c>
    </row>
    <row r="11" spans="1:9" ht="24.95" customHeight="1">
      <c r="A11" s="252" t="s">
        <v>90</v>
      </c>
      <c r="B11" s="242"/>
      <c r="C11" s="242" t="s">
        <v>139</v>
      </c>
      <c r="D11" s="242" t="s">
        <v>140</v>
      </c>
      <c r="E11" s="242"/>
      <c r="F11" s="242"/>
      <c r="G11" s="47" t="s">
        <v>92</v>
      </c>
    </row>
    <row r="12" spans="1:9" ht="24.95" customHeight="1">
      <c r="A12" s="253"/>
      <c r="B12" s="243"/>
      <c r="C12" s="243"/>
      <c r="D12" s="37" t="s">
        <v>141</v>
      </c>
      <c r="E12" s="37" t="s">
        <v>142</v>
      </c>
      <c r="F12" s="37" t="s">
        <v>91</v>
      </c>
      <c r="G12" s="48" t="s">
        <v>143</v>
      </c>
    </row>
    <row r="13" spans="1:9" ht="24.95" customHeight="1">
      <c r="A13" s="292" t="s">
        <v>32</v>
      </c>
      <c r="B13" s="57" t="s">
        <v>138</v>
      </c>
      <c r="C13" s="58">
        <v>255</v>
      </c>
      <c r="D13" s="58">
        <v>9007</v>
      </c>
      <c r="E13" s="58">
        <v>1285</v>
      </c>
      <c r="F13" s="58">
        <v>154</v>
      </c>
      <c r="G13" s="59">
        <v>1285</v>
      </c>
    </row>
    <row r="14" spans="1:9" ht="24.95" customHeight="1">
      <c r="A14" s="207"/>
      <c r="B14" s="24" t="s">
        <v>82</v>
      </c>
      <c r="C14" s="60">
        <v>273</v>
      </c>
      <c r="D14" s="60">
        <v>4896</v>
      </c>
      <c r="E14" s="60">
        <v>517</v>
      </c>
      <c r="F14" s="60">
        <v>122</v>
      </c>
      <c r="G14" s="61">
        <v>517</v>
      </c>
    </row>
    <row r="15" spans="1:9" ht="24.95" customHeight="1">
      <c r="A15" s="207"/>
      <c r="B15" s="24" t="s">
        <v>83</v>
      </c>
      <c r="C15" s="60">
        <v>288</v>
      </c>
      <c r="D15" s="60">
        <v>8397</v>
      </c>
      <c r="E15" s="60">
        <v>899</v>
      </c>
      <c r="F15" s="60">
        <v>110</v>
      </c>
      <c r="G15" s="61">
        <v>899</v>
      </c>
    </row>
    <row r="16" spans="1:9" ht="24.95" customHeight="1">
      <c r="A16" s="207"/>
      <c r="B16" s="24" t="s">
        <v>84</v>
      </c>
      <c r="C16" s="60">
        <v>294</v>
      </c>
      <c r="D16" s="60">
        <v>9238</v>
      </c>
      <c r="E16" s="60">
        <v>921</v>
      </c>
      <c r="F16" s="60">
        <v>126</v>
      </c>
      <c r="G16" s="61">
        <v>921</v>
      </c>
      <c r="I16" s="189"/>
    </row>
    <row r="17" spans="1:7" ht="24.95" customHeight="1">
      <c r="A17" s="208"/>
      <c r="B17" s="27" t="s">
        <v>85</v>
      </c>
      <c r="C17" s="62">
        <v>300</v>
      </c>
      <c r="D17" s="62">
        <v>7714</v>
      </c>
      <c r="E17" s="62">
        <v>1168</v>
      </c>
      <c r="F17" s="62">
        <v>102</v>
      </c>
      <c r="G17" s="63">
        <v>1168</v>
      </c>
    </row>
    <row r="18" spans="1:7" ht="20.100000000000001" customHeight="1"/>
    <row r="19" spans="1:7" ht="20.100000000000001" customHeight="1"/>
    <row r="20" spans="1:7" ht="20.100000000000001" customHeight="1"/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6">
    <mergeCell ref="A13:A17"/>
    <mergeCell ref="A4:A8"/>
    <mergeCell ref="A3:B3"/>
    <mergeCell ref="D11:F11"/>
    <mergeCell ref="C11:C12"/>
    <mergeCell ref="A11:B12"/>
  </mergeCells>
  <phoneticPr fontId="2" type="noConversion"/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="115" zoomScaleNormal="100" zoomScaleSheetLayoutView="115" workbookViewId="0">
      <selection activeCell="G24" sqref="G24"/>
    </sheetView>
  </sheetViews>
  <sheetFormatPr defaultRowHeight="16.5"/>
  <cols>
    <col min="1" max="1" width="9.875" customWidth="1"/>
    <col min="2" max="2" width="10.5" customWidth="1"/>
    <col min="3" max="7" width="11.625" customWidth="1"/>
  </cols>
  <sheetData>
    <row r="1" spans="1:7" ht="24.75" customHeight="1">
      <c r="A1" s="188" t="s">
        <v>234</v>
      </c>
    </row>
    <row r="2" spans="1:7">
      <c r="A2" s="189" t="s">
        <v>235</v>
      </c>
    </row>
    <row r="3" spans="1:7">
      <c r="A3" s="23"/>
      <c r="B3" s="23"/>
      <c r="C3" s="23"/>
      <c r="D3" s="23"/>
      <c r="E3" s="23"/>
      <c r="F3" s="23"/>
      <c r="G3" s="86" t="s">
        <v>137</v>
      </c>
    </row>
    <row r="4" spans="1:7" ht="24.95" customHeight="1">
      <c r="A4" s="293" t="s">
        <v>93</v>
      </c>
      <c r="B4" s="294"/>
      <c r="C4" s="83" t="s">
        <v>94</v>
      </c>
      <c r="D4" s="83" t="s">
        <v>95</v>
      </c>
      <c r="E4" s="83" t="s">
        <v>72</v>
      </c>
      <c r="F4" s="83" t="s">
        <v>144</v>
      </c>
      <c r="G4" s="84" t="s">
        <v>96</v>
      </c>
    </row>
    <row r="5" spans="1:7" ht="24.95" customHeight="1">
      <c r="A5" s="292" t="s">
        <v>118</v>
      </c>
      <c r="B5" s="64" t="s">
        <v>136</v>
      </c>
      <c r="C5" s="65">
        <f>SUM(D5:G5)</f>
        <v>90</v>
      </c>
      <c r="D5" s="66">
        <v>0</v>
      </c>
      <c r="E5" s="66">
        <v>90</v>
      </c>
      <c r="F5" s="66">
        <v>0</v>
      </c>
      <c r="G5" s="67">
        <v>0</v>
      </c>
    </row>
    <row r="6" spans="1:7" ht="24.95" customHeight="1">
      <c r="A6" s="207"/>
      <c r="B6" s="24" t="s">
        <v>82</v>
      </c>
      <c r="C6" s="51">
        <f t="shared" ref="C6:C9" si="0">SUM(D6:G6)</f>
        <v>90</v>
      </c>
      <c r="D6" s="68">
        <v>0</v>
      </c>
      <c r="E6" s="69">
        <v>90</v>
      </c>
      <c r="F6" s="69">
        <v>0</v>
      </c>
      <c r="G6" s="70">
        <v>0</v>
      </c>
    </row>
    <row r="7" spans="1:7" ht="24.95" customHeight="1">
      <c r="A7" s="207"/>
      <c r="B7" s="24" t="s">
        <v>83</v>
      </c>
      <c r="C7" s="51">
        <f t="shared" si="0"/>
        <v>35</v>
      </c>
      <c r="D7" s="71">
        <v>0</v>
      </c>
      <c r="E7" s="71">
        <v>10</v>
      </c>
      <c r="F7" s="71">
        <v>25</v>
      </c>
      <c r="G7" s="72">
        <v>0</v>
      </c>
    </row>
    <row r="8" spans="1:7" ht="24.95" customHeight="1">
      <c r="A8" s="207"/>
      <c r="B8" s="24" t="s">
        <v>84</v>
      </c>
      <c r="C8" s="51">
        <f t="shared" si="0"/>
        <v>55</v>
      </c>
      <c r="D8" s="69">
        <v>0</v>
      </c>
      <c r="E8" s="69">
        <v>40</v>
      </c>
      <c r="F8" s="69">
        <v>15</v>
      </c>
      <c r="G8" s="70">
        <v>0</v>
      </c>
    </row>
    <row r="9" spans="1:7" ht="24.95" customHeight="1">
      <c r="A9" s="208"/>
      <c r="B9" s="27" t="s">
        <v>85</v>
      </c>
      <c r="C9" s="53">
        <f t="shared" si="0"/>
        <v>72</v>
      </c>
      <c r="D9" s="73">
        <v>0</v>
      </c>
      <c r="E9" s="73">
        <v>10</v>
      </c>
      <c r="F9" s="73">
        <v>62</v>
      </c>
      <c r="G9" s="74">
        <v>0</v>
      </c>
    </row>
    <row r="10" spans="1:7" ht="20.100000000000001" customHeight="1"/>
    <row r="11" spans="1:7" ht="20.100000000000001" customHeight="1"/>
    <row r="12" spans="1:7" ht="20.100000000000001" customHeight="1"/>
    <row r="13" spans="1:7" ht="20.100000000000001" customHeight="1"/>
    <row r="14" spans="1:7" ht="20.100000000000001" customHeight="1"/>
    <row r="15" spans="1:7" ht="20.100000000000001" customHeight="1"/>
    <row r="16" spans="1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</sheetData>
  <mergeCells count="2">
    <mergeCell ref="A5:A9"/>
    <mergeCell ref="A4:B4"/>
  </mergeCells>
  <phoneticPr fontId="2" type="noConversion"/>
  <conditionalFormatting sqref="D8:G8">
    <cfRule type="expression" dxfId="3" priority="3" stopIfTrue="1">
      <formula>OR($A8="시부",$A8="군부",RIGHT($A8,2)="소계",$A8="서귀포시",$A8="제주시")</formula>
    </cfRule>
    <cfRule type="expression" dxfId="2" priority="4" stopIfTrue="1">
      <formula>OR(RIGHT($A8,3)="광역시",RIGHT($A8,3)="특별시",RIGHT($A8,1)="도",$A8="전국")</formula>
    </cfRule>
  </conditionalFormatting>
  <conditionalFormatting sqref="D7:G7">
    <cfRule type="expression" dxfId="1" priority="1" stopIfTrue="1">
      <formula>OR($A7="시부",$A7="군부",RIGHT($A7,2)="소계",$A7="서귀포시",$A7="제주시")</formula>
    </cfRule>
    <cfRule type="expression" dxfId="0" priority="2" stopIfTrue="1">
      <formula>OR(RIGHT($A7,3)="광역시",RIGHT($A7,3)="특별시",RIGHT($A7,1)="도",$A7="전국")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view="pageBreakPreview" zoomScale="115" zoomScaleNormal="100" zoomScaleSheetLayoutView="115" workbookViewId="0">
      <selection activeCell="I8" sqref="I8:I9"/>
    </sheetView>
  </sheetViews>
  <sheetFormatPr defaultRowHeight="16.5"/>
  <cols>
    <col min="2" max="5" width="14.125" customWidth="1"/>
    <col min="6" max="6" width="11.625" customWidth="1"/>
  </cols>
  <sheetData>
    <row r="1" spans="1:6" ht="27.75" customHeight="1">
      <c r="A1" s="188" t="s">
        <v>236</v>
      </c>
    </row>
    <row r="2" spans="1:6">
      <c r="A2" s="10"/>
    </row>
    <row r="3" spans="1:6" ht="24.95" customHeight="1">
      <c r="A3" s="198" t="s">
        <v>97</v>
      </c>
      <c r="B3" s="4" t="s">
        <v>98</v>
      </c>
      <c r="C3" s="4" t="s">
        <v>100</v>
      </c>
      <c r="D3" s="4" t="s">
        <v>102</v>
      </c>
      <c r="E3" s="4" t="s">
        <v>104</v>
      </c>
      <c r="F3" s="280" t="s">
        <v>28</v>
      </c>
    </row>
    <row r="4" spans="1:6" ht="24.95" customHeight="1">
      <c r="A4" s="200"/>
      <c r="B4" s="9" t="s">
        <v>99</v>
      </c>
      <c r="C4" s="9" t="s">
        <v>101</v>
      </c>
      <c r="D4" s="9" t="s">
        <v>103</v>
      </c>
      <c r="E4" s="9" t="s">
        <v>105</v>
      </c>
      <c r="F4" s="281"/>
    </row>
    <row r="5" spans="1:6" ht="24.95" customHeight="1">
      <c r="A5" s="75">
        <v>1999</v>
      </c>
      <c r="B5" s="76">
        <v>5765000</v>
      </c>
      <c r="C5" s="76">
        <v>2550000</v>
      </c>
      <c r="D5" s="77">
        <v>442.3</v>
      </c>
      <c r="E5" s="77"/>
      <c r="F5" s="78"/>
    </row>
    <row r="6" spans="1:6" ht="24.95" customHeight="1">
      <c r="A6" s="5">
        <v>2000</v>
      </c>
      <c r="B6" s="79">
        <v>5736000</v>
      </c>
      <c r="C6" s="79">
        <v>2911000</v>
      </c>
      <c r="D6" s="80">
        <v>507.5</v>
      </c>
      <c r="E6" s="80">
        <f>ROUND((D6-D5)/D5*100,1)</f>
        <v>14.7</v>
      </c>
      <c r="F6" s="6"/>
    </row>
    <row r="7" spans="1:6" ht="24.95" customHeight="1">
      <c r="A7" s="5">
        <v>2001</v>
      </c>
      <c r="B7" s="79">
        <v>5811000</v>
      </c>
      <c r="C7" s="79">
        <v>4275000</v>
      </c>
      <c r="D7" s="80">
        <v>735.7</v>
      </c>
      <c r="E7" s="80">
        <f t="shared" ref="E7:E14" si="0">ROUND((D7-D6)/D6*100,1)</f>
        <v>45</v>
      </c>
      <c r="F7" s="6"/>
    </row>
    <row r="8" spans="1:6" ht="24.95" customHeight="1">
      <c r="A8" s="5">
        <v>2002</v>
      </c>
      <c r="B8" s="79">
        <v>5857000</v>
      </c>
      <c r="C8" s="79">
        <v>4306000</v>
      </c>
      <c r="D8" s="80">
        <v>735.2</v>
      </c>
      <c r="E8" s="80">
        <f t="shared" si="0"/>
        <v>-0.1</v>
      </c>
      <c r="F8" s="6"/>
    </row>
    <row r="9" spans="1:6" ht="24.95" customHeight="1">
      <c r="A9" s="5">
        <v>2003</v>
      </c>
      <c r="B9" s="79">
        <v>5896000</v>
      </c>
      <c r="C9" s="79">
        <v>4350000</v>
      </c>
      <c r="D9" s="80">
        <v>737.8</v>
      </c>
      <c r="E9" s="80">
        <f t="shared" si="0"/>
        <v>0.4</v>
      </c>
      <c r="F9" s="6"/>
    </row>
    <row r="10" spans="1:6" ht="24.95" customHeight="1">
      <c r="A10" s="5">
        <v>2004</v>
      </c>
      <c r="B10" s="79">
        <v>6163000</v>
      </c>
      <c r="C10" s="79">
        <v>4606000</v>
      </c>
      <c r="D10" s="80">
        <v>747.4</v>
      </c>
      <c r="E10" s="80">
        <f t="shared" si="0"/>
        <v>1.3</v>
      </c>
      <c r="F10" s="6"/>
    </row>
    <row r="11" spans="1:6" ht="24.95" customHeight="1">
      <c r="A11" s="5">
        <v>2005</v>
      </c>
      <c r="B11" s="79">
        <v>6318000</v>
      </c>
      <c r="C11" s="79">
        <v>4763000</v>
      </c>
      <c r="D11" s="80">
        <v>753.9</v>
      </c>
      <c r="E11" s="80">
        <f t="shared" si="0"/>
        <v>0.9</v>
      </c>
      <c r="F11" s="6"/>
    </row>
    <row r="12" spans="1:6" ht="24.95" customHeight="1">
      <c r="A12" s="5">
        <v>2006</v>
      </c>
      <c r="B12" s="79">
        <v>6594464</v>
      </c>
      <c r="C12" s="79">
        <v>5037002</v>
      </c>
      <c r="D12" s="80">
        <v>763.8</v>
      </c>
      <c r="E12" s="80">
        <f t="shared" si="0"/>
        <v>1.3</v>
      </c>
      <c r="F12" s="6"/>
    </row>
    <row r="13" spans="1:6" ht="24.95" customHeight="1">
      <c r="A13" s="5">
        <v>2007</v>
      </c>
      <c r="B13" s="79">
        <v>6726797</v>
      </c>
      <c r="C13" s="79">
        <v>5117584</v>
      </c>
      <c r="D13" s="80">
        <v>760.8</v>
      </c>
      <c r="E13" s="80">
        <f t="shared" si="0"/>
        <v>-0.4</v>
      </c>
      <c r="F13" s="6"/>
    </row>
    <row r="14" spans="1:6" ht="24.95" customHeight="1">
      <c r="A14" s="5">
        <v>2008</v>
      </c>
      <c r="B14" s="79">
        <v>6770282</v>
      </c>
      <c r="C14" s="79">
        <v>5669551</v>
      </c>
      <c r="D14" s="80">
        <v>837.4</v>
      </c>
      <c r="E14" s="80">
        <f t="shared" si="0"/>
        <v>10.1</v>
      </c>
      <c r="F14" s="6"/>
    </row>
    <row r="15" spans="1:6" ht="24.95" customHeight="1">
      <c r="A15" s="7" t="s">
        <v>20</v>
      </c>
      <c r="B15" s="81">
        <f>AVERAGE(B5:B14)</f>
        <v>6163754.2999999998</v>
      </c>
      <c r="C15" s="81">
        <f t="shared" ref="C15:E15" si="1">AVERAGE(C5:C14)</f>
        <v>4358513.7</v>
      </c>
      <c r="D15" s="82">
        <f t="shared" si="1"/>
        <v>702.18000000000006</v>
      </c>
      <c r="E15" s="82">
        <f t="shared" si="1"/>
        <v>8.1333333333333329</v>
      </c>
      <c r="F15" s="8"/>
    </row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</sheetData>
  <mergeCells count="2">
    <mergeCell ref="A3:A4"/>
    <mergeCell ref="F3:F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47"/>
  <sheetViews>
    <sheetView tabSelected="1" view="pageBreakPreview" zoomScale="55" zoomScaleNormal="70" zoomScaleSheetLayoutView="55" workbookViewId="0">
      <selection activeCell="S13" sqref="S13"/>
    </sheetView>
  </sheetViews>
  <sheetFormatPr defaultRowHeight="30" customHeight="1"/>
  <cols>
    <col min="1" max="1" width="8" style="125" bestFit="1" customWidth="1"/>
    <col min="2" max="2" width="8.375" style="125" customWidth="1"/>
    <col min="3" max="4" width="9.625" style="125" customWidth="1"/>
    <col min="5" max="6" width="11" style="125" customWidth="1"/>
    <col min="7" max="7" width="10.625" style="125" customWidth="1"/>
    <col min="8" max="9" width="9.625" style="125" customWidth="1"/>
    <col min="10" max="10" width="11.125" style="125" customWidth="1"/>
    <col min="11" max="15" width="9.625" style="125" customWidth="1"/>
    <col min="16" max="16" width="10.125" style="125" bestFit="1" customWidth="1"/>
    <col min="17" max="17" width="9.625" style="125" customWidth="1"/>
    <col min="18" max="18" width="8.5" style="125" bestFit="1" customWidth="1"/>
    <col min="19" max="19" width="9.25" style="125" bestFit="1" customWidth="1"/>
    <col min="20" max="20" width="9.625" style="125" customWidth="1"/>
    <col min="21" max="21" width="8.5" style="125" bestFit="1" customWidth="1"/>
    <col min="22" max="22" width="10.125" style="125" bestFit="1" customWidth="1"/>
    <col min="23" max="23" width="9.625" style="125" customWidth="1"/>
    <col min="24" max="24" width="9.5" style="125" bestFit="1" customWidth="1"/>
    <col min="25" max="25" width="7.625" style="125" customWidth="1"/>
    <col min="26" max="16384" width="9" style="125"/>
  </cols>
  <sheetData>
    <row r="1" spans="1:25" ht="30" customHeight="1">
      <c r="A1" s="188" t="s">
        <v>237</v>
      </c>
    </row>
    <row r="2" spans="1:25" ht="30" customHeight="1">
      <c r="A2" s="302" t="s">
        <v>0</v>
      </c>
      <c r="B2" s="303"/>
      <c r="C2" s="184" t="s">
        <v>156</v>
      </c>
      <c r="D2" s="184"/>
      <c r="E2" s="185" t="s">
        <v>168</v>
      </c>
      <c r="F2" s="185" t="s">
        <v>169</v>
      </c>
      <c r="G2" s="184" t="s">
        <v>22</v>
      </c>
      <c r="H2" s="184"/>
      <c r="I2" s="184"/>
      <c r="J2" s="184" t="s">
        <v>23</v>
      </c>
      <c r="K2" s="184"/>
      <c r="L2" s="184"/>
      <c r="M2" s="184" t="s">
        <v>24</v>
      </c>
      <c r="N2" s="184"/>
      <c r="O2" s="184"/>
      <c r="P2" s="184" t="s">
        <v>157</v>
      </c>
      <c r="Q2" s="184"/>
      <c r="R2" s="184"/>
      <c r="S2" s="184" t="s">
        <v>158</v>
      </c>
      <c r="T2" s="184"/>
      <c r="U2" s="184"/>
      <c r="V2" s="184" t="s">
        <v>159</v>
      </c>
      <c r="W2" s="184"/>
      <c r="X2" s="184"/>
      <c r="Y2" s="306" t="s">
        <v>106</v>
      </c>
    </row>
    <row r="3" spans="1:25" ht="30" customHeight="1">
      <c r="A3" s="304"/>
      <c r="B3" s="305"/>
      <c r="C3" s="186" t="s">
        <v>160</v>
      </c>
      <c r="D3" s="186" t="s">
        <v>161</v>
      </c>
      <c r="E3" s="186" t="s">
        <v>170</v>
      </c>
      <c r="F3" s="186" t="s">
        <v>171</v>
      </c>
      <c r="G3" s="187" t="s">
        <v>162</v>
      </c>
      <c r="H3" s="187" t="s">
        <v>163</v>
      </c>
      <c r="I3" s="187" t="s">
        <v>164</v>
      </c>
      <c r="J3" s="187" t="s">
        <v>162</v>
      </c>
      <c r="K3" s="187" t="s">
        <v>163</v>
      </c>
      <c r="L3" s="187" t="s">
        <v>164</v>
      </c>
      <c r="M3" s="187" t="s">
        <v>162</v>
      </c>
      <c r="N3" s="187" t="s">
        <v>163</v>
      </c>
      <c r="O3" s="187" t="s">
        <v>164</v>
      </c>
      <c r="P3" s="187" t="s">
        <v>162</v>
      </c>
      <c r="Q3" s="187" t="s">
        <v>163</v>
      </c>
      <c r="R3" s="187" t="s">
        <v>164</v>
      </c>
      <c r="S3" s="187" t="s">
        <v>162</v>
      </c>
      <c r="T3" s="187" t="s">
        <v>163</v>
      </c>
      <c r="U3" s="187" t="s">
        <v>164</v>
      </c>
      <c r="V3" s="187" t="s">
        <v>162</v>
      </c>
      <c r="W3" s="187" t="s">
        <v>163</v>
      </c>
      <c r="X3" s="187" t="s">
        <v>164</v>
      </c>
      <c r="Y3" s="307"/>
    </row>
    <row r="4" spans="1:25" ht="30" hidden="1" customHeight="1">
      <c r="A4" s="311" t="s">
        <v>29</v>
      </c>
      <c r="B4" s="172" t="s">
        <v>165</v>
      </c>
      <c r="C4" s="172"/>
      <c r="D4" s="174"/>
      <c r="E4" s="175">
        <f>SUM(I4,L4,O4,R4,U4,X4)</f>
        <v>0</v>
      </c>
      <c r="F4" s="176">
        <f>SUM(G4,J4,M4,P4,S4,V4)</f>
        <v>0</v>
      </c>
      <c r="G4" s="177"/>
      <c r="H4" s="178"/>
      <c r="I4" s="178"/>
      <c r="J4" s="177"/>
      <c r="K4" s="178"/>
      <c r="L4" s="178"/>
      <c r="M4" s="177"/>
      <c r="N4" s="178"/>
      <c r="O4" s="178"/>
      <c r="P4" s="177"/>
      <c r="Q4" s="178"/>
      <c r="R4" s="178"/>
      <c r="S4" s="177"/>
      <c r="T4" s="178"/>
      <c r="U4" s="178"/>
      <c r="V4" s="177"/>
      <c r="W4" s="178"/>
      <c r="X4" s="178"/>
      <c r="Y4" s="172"/>
    </row>
    <row r="5" spans="1:25" ht="30" hidden="1" customHeight="1">
      <c r="A5" s="312"/>
      <c r="B5" s="172" t="s">
        <v>82</v>
      </c>
      <c r="C5" s="172"/>
      <c r="D5" s="172"/>
      <c r="E5" s="175">
        <f>SUM(I5,L5,O5,R5,U5,X5)</f>
        <v>0</v>
      </c>
      <c r="F5" s="176">
        <f>SUM(G5,J5,M5,P5,S5,V5)</f>
        <v>0</v>
      </c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2"/>
    </row>
    <row r="6" spans="1:25" ht="30" hidden="1" customHeight="1">
      <c r="A6" s="312"/>
      <c r="B6" s="172" t="s">
        <v>83</v>
      </c>
      <c r="C6" s="172"/>
      <c r="D6" s="172"/>
      <c r="E6" s="175">
        <f>SUM(I6,L6,O6,R6,U6,X6)</f>
        <v>0</v>
      </c>
      <c r="F6" s="176">
        <f>SUM(G6,J6,M6,P6,S6,V6)</f>
        <v>0</v>
      </c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2"/>
    </row>
    <row r="7" spans="1:25" ht="30" hidden="1" customHeight="1">
      <c r="A7" s="312"/>
      <c r="B7" s="172" t="s">
        <v>84</v>
      </c>
      <c r="C7" s="172"/>
      <c r="D7" s="172"/>
      <c r="E7" s="175">
        <f>SUM(I7,L7,O7,R7,U7,X7)</f>
        <v>0</v>
      </c>
      <c r="F7" s="176">
        <f>SUM(G7,J7,M7,P7,S7,V7)</f>
        <v>0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2"/>
    </row>
    <row r="8" spans="1:25" ht="30" hidden="1" customHeight="1">
      <c r="A8" s="312"/>
      <c r="B8" s="172" t="s">
        <v>172</v>
      </c>
      <c r="C8" s="176"/>
      <c r="D8" s="176"/>
      <c r="E8" s="175">
        <f>SUM(I8,L8,O8,R8,U8,X8)</f>
        <v>0</v>
      </c>
      <c r="F8" s="176">
        <f>SUM(G8,J8,M8,P8,S8,V8)</f>
        <v>0</v>
      </c>
      <c r="G8" s="176"/>
      <c r="H8" s="179"/>
      <c r="I8" s="179"/>
      <c r="J8" s="176"/>
      <c r="K8" s="179"/>
      <c r="L8" s="179"/>
      <c r="M8" s="176"/>
      <c r="N8" s="179"/>
      <c r="O8" s="179"/>
      <c r="P8" s="176"/>
      <c r="Q8" s="179"/>
      <c r="R8" s="179"/>
      <c r="S8" s="176"/>
      <c r="T8" s="179"/>
      <c r="U8" s="179"/>
      <c r="V8" s="176"/>
      <c r="W8" s="179"/>
      <c r="X8" s="179"/>
      <c r="Y8" s="172"/>
    </row>
    <row r="9" spans="1:25" ht="30" hidden="1" customHeight="1">
      <c r="A9" s="313"/>
      <c r="B9" s="172" t="s">
        <v>37</v>
      </c>
      <c r="C9" s="180"/>
      <c r="D9" s="176"/>
      <c r="E9" s="175">
        <f>AVERAGE(E4:E8)</f>
        <v>0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2"/>
    </row>
    <row r="10" spans="1:25" ht="30" customHeight="1">
      <c r="A10" s="308" t="s">
        <v>173</v>
      </c>
      <c r="B10" s="172" t="s">
        <v>165</v>
      </c>
      <c r="C10" s="172">
        <v>28.02</v>
      </c>
      <c r="D10" s="181">
        <v>10226</v>
      </c>
      <c r="E10" s="175">
        <f>SUM(I10,L10,O10,R10,U10,X10)</f>
        <v>88.979757480930957</v>
      </c>
      <c r="F10" s="176">
        <f>SUM(G10,J10,M10,P10,S10,V10)</f>
        <v>909907</v>
      </c>
      <c r="G10" s="181">
        <v>418481</v>
      </c>
      <c r="H10" s="182">
        <f>(G10/F10)*100</f>
        <v>45.991623319745869</v>
      </c>
      <c r="I10" s="182">
        <f>G10/D10</f>
        <v>40.923234891453156</v>
      </c>
      <c r="J10" s="181">
        <v>102602</v>
      </c>
      <c r="K10" s="182">
        <f>(J10/F10)*100</f>
        <v>11.27609744732154</v>
      </c>
      <c r="L10" s="182">
        <f>J10/D10</f>
        <v>10.033444161940153</v>
      </c>
      <c r="M10" s="181">
        <v>13625</v>
      </c>
      <c r="N10" s="182">
        <f>(M10/F10)*100</f>
        <v>1.4974057788323423</v>
      </c>
      <c r="O10" s="182">
        <f>M10/D10</f>
        <v>1.3323880305104636</v>
      </c>
      <c r="P10" s="181">
        <v>14492</v>
      </c>
      <c r="Q10" s="182">
        <f>(P10/F10)*100</f>
        <v>1.5926902419697839</v>
      </c>
      <c r="R10" s="182">
        <f>P10/D10</f>
        <v>1.417171914727166</v>
      </c>
      <c r="S10" s="181">
        <v>10507</v>
      </c>
      <c r="T10" s="182">
        <f>(S10/F10)*100</f>
        <v>1.154733395830563</v>
      </c>
      <c r="U10" s="182">
        <f>S10/D10</f>
        <v>1.0274789751613533</v>
      </c>
      <c r="V10" s="181">
        <v>350200</v>
      </c>
      <c r="W10" s="182">
        <f>(V10/F10)*100</f>
        <v>38.487449816299907</v>
      </c>
      <c r="X10" s="182">
        <f>V10/D10</f>
        <v>34.246039507138669</v>
      </c>
      <c r="Y10" s="181"/>
    </row>
    <row r="11" spans="1:25" ht="30" customHeight="1">
      <c r="A11" s="309"/>
      <c r="B11" s="172" t="s">
        <v>82</v>
      </c>
      <c r="C11" s="180">
        <v>27.5</v>
      </c>
      <c r="D11" s="176">
        <v>10037</v>
      </c>
      <c r="E11" s="175">
        <f>SUM(I11,L11,O11,R11,U11,X11)</f>
        <v>96.899671216498945</v>
      </c>
      <c r="F11" s="176">
        <f>SUM(G11,J11,M11,P11,S11,V11)</f>
        <v>972582</v>
      </c>
      <c r="G11" s="176">
        <v>485125</v>
      </c>
      <c r="H11" s="182">
        <f t="shared" ref="H11:H14" si="0">(G11/F11)*100</f>
        <v>49.880112936492758</v>
      </c>
      <c r="I11" s="182">
        <f t="shared" ref="I11:I14" si="1">G11/D11</f>
        <v>48.333665437879844</v>
      </c>
      <c r="J11" s="176">
        <v>116162</v>
      </c>
      <c r="K11" s="182">
        <f t="shared" ref="K11:K14" si="2">(J11/F11)*100</f>
        <v>11.943671587588502</v>
      </c>
      <c r="L11" s="182">
        <f t="shared" ref="L11:L14" si="3">J11/D11</f>
        <v>11.573378499551659</v>
      </c>
      <c r="M11" s="176">
        <v>13625</v>
      </c>
      <c r="N11" s="182">
        <f t="shared" ref="N11:N14" si="4">(M11/F11)*100</f>
        <v>1.4009101546193534</v>
      </c>
      <c r="O11" s="182">
        <f t="shared" ref="O11:O14" si="5">M11/D11</f>
        <v>1.3574773338647006</v>
      </c>
      <c r="P11" s="176">
        <v>87689</v>
      </c>
      <c r="Q11" s="182">
        <f t="shared" ref="Q11:Q14" si="6">(P11/F11)*100</f>
        <v>9.0161035264892835</v>
      </c>
      <c r="R11" s="182">
        <f t="shared" ref="R11:R14" si="7">P11/D11</f>
        <v>8.7365746737072829</v>
      </c>
      <c r="S11" s="176">
        <v>10507</v>
      </c>
      <c r="T11" s="182">
        <f t="shared" ref="T11:T14" si="8">(S11/F11)*100</f>
        <v>1.080320219786095</v>
      </c>
      <c r="U11" s="182">
        <f t="shared" ref="U11:U14" si="9">S11/D11</f>
        <v>1.0468267410580852</v>
      </c>
      <c r="V11" s="176">
        <v>259474</v>
      </c>
      <c r="W11" s="182">
        <f t="shared" ref="W11:W14" si="10">(V11/F11)*100</f>
        <v>26.678881575024011</v>
      </c>
      <c r="X11" s="182">
        <f t="shared" ref="X11:X14" si="11">V11/D11</f>
        <v>25.85174853043738</v>
      </c>
      <c r="Y11" s="172"/>
    </row>
    <row r="12" spans="1:25" ht="30" customHeight="1">
      <c r="A12" s="309"/>
      <c r="B12" s="172" t="s">
        <v>83</v>
      </c>
      <c r="C12" s="180">
        <v>25</v>
      </c>
      <c r="D12" s="183">
        <v>9172</v>
      </c>
      <c r="E12" s="175">
        <f>SUM(I12,L12,O12,R12,U12,X12)</f>
        <v>102.24792847797644</v>
      </c>
      <c r="F12" s="176">
        <f>SUM(G12,J12,M12,P12,S12,V12)</f>
        <v>937818</v>
      </c>
      <c r="G12" s="176">
        <v>450599</v>
      </c>
      <c r="H12" s="182">
        <f t="shared" si="0"/>
        <v>48.047595588909573</v>
      </c>
      <c r="I12" s="182">
        <f t="shared" si="1"/>
        <v>49.127671173135631</v>
      </c>
      <c r="J12" s="176">
        <v>116162</v>
      </c>
      <c r="K12" s="182">
        <f t="shared" si="2"/>
        <v>12.386411862429597</v>
      </c>
      <c r="L12" s="182">
        <f t="shared" si="3"/>
        <v>12.664849542084605</v>
      </c>
      <c r="M12" s="176">
        <v>13625</v>
      </c>
      <c r="N12" s="182">
        <f t="shared" si="4"/>
        <v>1.4528405298256164</v>
      </c>
      <c r="O12" s="182">
        <f t="shared" si="5"/>
        <v>1.4854993458351504</v>
      </c>
      <c r="P12" s="176">
        <v>88325</v>
      </c>
      <c r="Q12" s="182">
        <f t="shared" si="6"/>
        <v>9.4181387006860593</v>
      </c>
      <c r="R12" s="182">
        <f t="shared" si="7"/>
        <v>9.629851722634104</v>
      </c>
      <c r="S12" s="176">
        <v>10507</v>
      </c>
      <c r="T12" s="182">
        <f t="shared" si="8"/>
        <v>1.1203666383029542</v>
      </c>
      <c r="U12" s="182">
        <f t="shared" si="9"/>
        <v>1.1455516790231137</v>
      </c>
      <c r="V12" s="176">
        <v>258600</v>
      </c>
      <c r="W12" s="182">
        <f t="shared" si="10"/>
        <v>27.5746466798462</v>
      </c>
      <c r="X12" s="182">
        <f t="shared" si="11"/>
        <v>28.194505015263847</v>
      </c>
      <c r="Y12" s="172"/>
    </row>
    <row r="13" spans="1:25" ht="30" customHeight="1">
      <c r="A13" s="309"/>
      <c r="B13" s="172" t="s">
        <v>84</v>
      </c>
      <c r="C13" s="180">
        <v>25</v>
      </c>
      <c r="D13" s="176">
        <v>8874</v>
      </c>
      <c r="E13" s="175">
        <f>SUM(I13,L13,O13,R13,U13,X13)</f>
        <v>104.28431372549019</v>
      </c>
      <c r="F13" s="176">
        <f>SUM(G13,J13,M13,P13,S13,V13)</f>
        <v>925419</v>
      </c>
      <c r="G13" s="176">
        <v>459914</v>
      </c>
      <c r="H13" s="182">
        <f t="shared" si="0"/>
        <v>49.697920617579712</v>
      </c>
      <c r="I13" s="182">
        <f t="shared" si="1"/>
        <v>51.827135451881901</v>
      </c>
      <c r="J13" s="176">
        <v>112890</v>
      </c>
      <c r="K13" s="182">
        <f t="shared" si="2"/>
        <v>12.198798598256573</v>
      </c>
      <c r="L13" s="182">
        <f t="shared" si="3"/>
        <v>12.721433400946585</v>
      </c>
      <c r="M13" s="176">
        <v>13909</v>
      </c>
      <c r="N13" s="182">
        <f t="shared" si="4"/>
        <v>1.5029948596257479</v>
      </c>
      <c r="O13" s="182">
        <f t="shared" si="5"/>
        <v>1.567387874690106</v>
      </c>
      <c r="P13" s="176">
        <v>91552</v>
      </c>
      <c r="Q13" s="182">
        <f t="shared" si="6"/>
        <v>9.8930322372892725</v>
      </c>
      <c r="R13" s="182">
        <f>P13/D13</f>
        <v>10.316880775298625</v>
      </c>
      <c r="S13" s="176">
        <v>11044</v>
      </c>
      <c r="T13" s="182">
        <f t="shared" si="8"/>
        <v>1.193405365569542</v>
      </c>
      <c r="U13" s="182">
        <f t="shared" si="9"/>
        <v>1.2445345954473743</v>
      </c>
      <c r="V13" s="176">
        <v>236110</v>
      </c>
      <c r="W13" s="182">
        <f t="shared" si="10"/>
        <v>25.513848321679156</v>
      </c>
      <c r="X13" s="182">
        <f t="shared" si="11"/>
        <v>26.606941627225602</v>
      </c>
      <c r="Y13" s="172"/>
    </row>
    <row r="14" spans="1:25" ht="30" customHeight="1">
      <c r="A14" s="309"/>
      <c r="B14" s="172" t="s">
        <v>172</v>
      </c>
      <c r="C14" s="180">
        <v>23.6</v>
      </c>
      <c r="D14" s="176">
        <f>23.57*365</f>
        <v>8603.0499999999993</v>
      </c>
      <c r="E14" s="175">
        <f>SUM(I14,L14,O14,R14,U14,X14)</f>
        <v>109.33982715432319</v>
      </c>
      <c r="F14" s="176">
        <f>SUM(G14,J14,M14,P14,S14,V14)</f>
        <v>940656</v>
      </c>
      <c r="G14" s="176">
        <v>511088</v>
      </c>
      <c r="H14" s="182">
        <f t="shared" si="0"/>
        <v>54.333146229865115</v>
      </c>
      <c r="I14" s="182">
        <f t="shared" si="1"/>
        <v>59.407768175240179</v>
      </c>
      <c r="J14" s="176">
        <v>123381</v>
      </c>
      <c r="K14" s="182">
        <f t="shared" si="2"/>
        <v>13.116484666020309</v>
      </c>
      <c r="L14" s="182">
        <f t="shared" si="3"/>
        <v>14.341541662549911</v>
      </c>
      <c r="M14" s="176">
        <v>15424</v>
      </c>
      <c r="N14" s="182">
        <f t="shared" si="4"/>
        <v>1.6397067578370839</v>
      </c>
      <c r="O14" s="182">
        <f t="shared" si="5"/>
        <v>1.7928525348568243</v>
      </c>
      <c r="P14" s="176">
        <v>130922</v>
      </c>
      <c r="Q14" s="182">
        <f t="shared" si="6"/>
        <v>13.91815924206086</v>
      </c>
      <c r="R14" s="182">
        <f t="shared" si="7"/>
        <v>15.218091258332802</v>
      </c>
      <c r="S14" s="176">
        <v>15780</v>
      </c>
      <c r="T14" s="182">
        <f t="shared" si="8"/>
        <v>1.6775526866357096</v>
      </c>
      <c r="U14" s="182">
        <f t="shared" si="9"/>
        <v>1.8342332079901897</v>
      </c>
      <c r="V14" s="176">
        <v>144061</v>
      </c>
      <c r="W14" s="182">
        <f t="shared" si="10"/>
        <v>15.314950417580922</v>
      </c>
      <c r="X14" s="182">
        <f t="shared" si="11"/>
        <v>16.745340315353278</v>
      </c>
      <c r="Y14" s="172"/>
    </row>
    <row r="15" spans="1:25" ht="30" customHeight="1">
      <c r="A15" s="310"/>
      <c r="B15" s="172" t="s">
        <v>37</v>
      </c>
      <c r="C15" s="180"/>
      <c r="D15" s="176"/>
      <c r="E15" s="175">
        <f>AVERAGE(E10:E14)</f>
        <v>100.35029961104394</v>
      </c>
      <c r="F15" s="181">
        <f t="shared" ref="F15:V15" si="12">AVERAGE(F10:F14)</f>
        <v>937276.4</v>
      </c>
      <c r="G15" s="181">
        <f t="shared" si="12"/>
        <v>465041.4</v>
      </c>
      <c r="H15" s="181"/>
      <c r="I15" s="181"/>
      <c r="J15" s="181">
        <f t="shared" si="12"/>
        <v>114239.4</v>
      </c>
      <c r="K15" s="181"/>
      <c r="L15" s="181"/>
      <c r="M15" s="181">
        <f t="shared" si="12"/>
        <v>14041.6</v>
      </c>
      <c r="N15" s="181"/>
      <c r="O15" s="181"/>
      <c r="P15" s="181">
        <f t="shared" si="12"/>
        <v>82596</v>
      </c>
      <c r="Q15" s="181"/>
      <c r="R15" s="181"/>
      <c r="S15" s="181">
        <f t="shared" si="12"/>
        <v>11669</v>
      </c>
      <c r="T15" s="181"/>
      <c r="U15" s="181"/>
      <c r="V15" s="181">
        <f t="shared" si="12"/>
        <v>249689</v>
      </c>
      <c r="W15" s="181"/>
      <c r="X15" s="181"/>
      <c r="Y15" s="181"/>
    </row>
    <row r="16" spans="1:25" ht="30" customHeight="1">
      <c r="A16" s="299" t="s">
        <v>174</v>
      </c>
      <c r="B16" s="172" t="s">
        <v>82</v>
      </c>
      <c r="C16" s="180">
        <v>1.1000000000000001</v>
      </c>
      <c r="D16" s="183">
        <v>405</v>
      </c>
      <c r="E16" s="175">
        <f>SUM(I16,L16,O16,R16,U16,X16)</f>
        <v>688.69135802469145</v>
      </c>
      <c r="F16" s="176">
        <f>SUM(G16,J16,M16,P16,S16,V16)</f>
        <v>278920</v>
      </c>
      <c r="G16" s="176">
        <v>103000</v>
      </c>
      <c r="H16" s="182">
        <f t="shared" ref="H16:H19" si="13">(G16/F16)*100</f>
        <v>36.928151441273485</v>
      </c>
      <c r="I16" s="182">
        <f t="shared" ref="I16:I19" si="14">G16/D16</f>
        <v>254.32098765432099</v>
      </c>
      <c r="J16" s="176">
        <v>60000</v>
      </c>
      <c r="K16" s="182">
        <f>(J16/F16)*100</f>
        <v>21.511544528897176</v>
      </c>
      <c r="L16" s="182">
        <f>J16/D16</f>
        <v>148.14814814814815</v>
      </c>
      <c r="M16" s="176">
        <v>9200</v>
      </c>
      <c r="N16" s="182">
        <f>(M16/F16)*100</f>
        <v>3.2984368277642333</v>
      </c>
      <c r="O16" s="182">
        <f>M16/D16</f>
        <v>22.716049382716051</v>
      </c>
      <c r="P16" s="176">
        <v>4720</v>
      </c>
      <c r="Q16" s="182">
        <f>(P16/F16)*100</f>
        <v>1.6922415029399112</v>
      </c>
      <c r="R16" s="182">
        <f>P16/D16</f>
        <v>11.654320987654321</v>
      </c>
      <c r="S16" s="176">
        <v>0</v>
      </c>
      <c r="T16" s="182">
        <f>(S16/F16)*100</f>
        <v>0</v>
      </c>
      <c r="U16" s="182">
        <f>S16/D16</f>
        <v>0</v>
      </c>
      <c r="V16" s="176">
        <v>102000</v>
      </c>
      <c r="W16" s="182">
        <f>(V16/F16)*100</f>
        <v>36.569625699125197</v>
      </c>
      <c r="X16" s="182">
        <f>V16/D16</f>
        <v>251.85185185185185</v>
      </c>
      <c r="Y16" s="177"/>
    </row>
    <row r="17" spans="1:28" ht="30" customHeight="1">
      <c r="A17" s="300"/>
      <c r="B17" s="172" t="s">
        <v>83</v>
      </c>
      <c r="C17" s="180">
        <v>1.8</v>
      </c>
      <c r="D17" s="176">
        <v>673</v>
      </c>
      <c r="E17" s="175">
        <f>SUM(I17,L17,O17,R17,U17,X17)</f>
        <v>646.35958395245166</v>
      </c>
      <c r="F17" s="176">
        <f>SUM(G17,J17,M17,P17,S17,V17)</f>
        <v>435000</v>
      </c>
      <c r="G17" s="176">
        <v>115000</v>
      </c>
      <c r="H17" s="182">
        <f t="shared" si="13"/>
        <v>26.436781609195403</v>
      </c>
      <c r="I17" s="182">
        <f t="shared" si="14"/>
        <v>170.87667161961366</v>
      </c>
      <c r="J17" s="176">
        <v>60000</v>
      </c>
      <c r="K17" s="182">
        <f t="shared" ref="K17:K19" si="15">(J17/F17)*100</f>
        <v>13.793103448275861</v>
      </c>
      <c r="L17" s="182">
        <f t="shared" ref="L17:L19" si="16">J17/D17</f>
        <v>89.153046062407128</v>
      </c>
      <c r="M17" s="176">
        <v>12000</v>
      </c>
      <c r="N17" s="182">
        <f t="shared" ref="N17:N19" si="17">(M17/F17)*100</f>
        <v>2.7586206896551726</v>
      </c>
      <c r="O17" s="182">
        <f t="shared" ref="O17:O19" si="18">M17/D17</f>
        <v>17.830609212481427</v>
      </c>
      <c r="P17" s="176">
        <v>6200</v>
      </c>
      <c r="Q17" s="182">
        <f t="shared" ref="Q17:Q19" si="19">(P17/F17)*100</f>
        <v>1.4252873563218391</v>
      </c>
      <c r="R17" s="182">
        <f t="shared" ref="R17:R19" si="20">P17/D17</f>
        <v>9.2124814264487362</v>
      </c>
      <c r="S17" s="176">
        <v>0</v>
      </c>
      <c r="T17" s="182">
        <f t="shared" ref="T17:T19" si="21">(S17/F17)*100</f>
        <v>0</v>
      </c>
      <c r="U17" s="182">
        <f t="shared" ref="U17:U19" si="22">S17/D17</f>
        <v>0</v>
      </c>
      <c r="V17" s="176">
        <v>241800</v>
      </c>
      <c r="W17" s="182">
        <f t="shared" ref="W17:W19" si="23">(V17/F17)*100</f>
        <v>55.58620689655173</v>
      </c>
      <c r="X17" s="182">
        <f t="shared" ref="X17:X19" si="24">V17/D17</f>
        <v>359.28677563150075</v>
      </c>
      <c r="Y17" s="172"/>
    </row>
    <row r="18" spans="1:28" ht="30" customHeight="1">
      <c r="A18" s="300"/>
      <c r="B18" s="172" t="s">
        <v>84</v>
      </c>
      <c r="C18" s="180">
        <v>2.4</v>
      </c>
      <c r="D18" s="176">
        <v>870</v>
      </c>
      <c r="E18" s="175">
        <f>SUM(I18,L18,O18,R18,U18,X18)</f>
        <v>521.67471264367816</v>
      </c>
      <c r="F18" s="176">
        <f>SUM(G18,J18,M18,P18,S18,V18)</f>
        <v>453857</v>
      </c>
      <c r="G18" s="176">
        <v>115000</v>
      </c>
      <c r="H18" s="182">
        <f t="shared" si="13"/>
        <v>25.338377506571451</v>
      </c>
      <c r="I18" s="182">
        <f t="shared" si="14"/>
        <v>132.18390804597701</v>
      </c>
      <c r="J18" s="176">
        <v>68275</v>
      </c>
      <c r="K18" s="182">
        <f t="shared" si="15"/>
        <v>15.043284558792747</v>
      </c>
      <c r="L18" s="182">
        <f t="shared" si="16"/>
        <v>78.477011494252878</v>
      </c>
      <c r="M18" s="176">
        <v>13756</v>
      </c>
      <c r="N18" s="182">
        <f t="shared" si="17"/>
        <v>3.0309106172208429</v>
      </c>
      <c r="O18" s="182">
        <f t="shared" si="18"/>
        <v>15.811494252873564</v>
      </c>
      <c r="P18" s="176">
        <v>15026</v>
      </c>
      <c r="Q18" s="182">
        <f t="shared" si="19"/>
        <v>3.3107344383803707</v>
      </c>
      <c r="R18" s="182">
        <f t="shared" si="20"/>
        <v>17.271264367816091</v>
      </c>
      <c r="S18" s="176">
        <v>0</v>
      </c>
      <c r="T18" s="182">
        <f t="shared" si="21"/>
        <v>0</v>
      </c>
      <c r="U18" s="182">
        <f t="shared" si="22"/>
        <v>0</v>
      </c>
      <c r="V18" s="176">
        <v>241800</v>
      </c>
      <c r="W18" s="182">
        <f t="shared" si="23"/>
        <v>53.276692879034584</v>
      </c>
      <c r="X18" s="182">
        <f t="shared" si="24"/>
        <v>277.93103448275861</v>
      </c>
      <c r="Y18" s="172"/>
    </row>
    <row r="19" spans="1:28" ht="30" customHeight="1">
      <c r="A19" s="300"/>
      <c r="B19" s="172" t="s">
        <v>175</v>
      </c>
      <c r="C19" s="180">
        <v>2.46</v>
      </c>
      <c r="D19" s="176">
        <f>C19*365</f>
        <v>897.9</v>
      </c>
      <c r="E19" s="175">
        <f>SUM(I19,L19,O19,R19,U19,X19)</f>
        <v>312.15836952890083</v>
      </c>
      <c r="F19" s="176">
        <f>SUM(G19,J19,M19,P19,S19,V19)</f>
        <v>280287</v>
      </c>
      <c r="G19" s="176">
        <v>110000</v>
      </c>
      <c r="H19" s="182">
        <f t="shared" si="13"/>
        <v>39.245487660861897</v>
      </c>
      <c r="I19" s="182">
        <f t="shared" si="14"/>
        <v>122.50807439581246</v>
      </c>
      <c r="J19" s="176">
        <v>65704</v>
      </c>
      <c r="K19" s="182">
        <f t="shared" si="15"/>
        <v>23.441686556993368</v>
      </c>
      <c r="L19" s="182">
        <f t="shared" si="16"/>
        <v>73.175186546386016</v>
      </c>
      <c r="M19" s="176">
        <v>14575</v>
      </c>
      <c r="N19" s="182">
        <f t="shared" si="17"/>
        <v>5.2000271150642021</v>
      </c>
      <c r="O19" s="182">
        <f t="shared" si="18"/>
        <v>16.232319857445152</v>
      </c>
      <c r="P19" s="176">
        <v>22593</v>
      </c>
      <c r="Q19" s="182">
        <f t="shared" si="19"/>
        <v>8.060666388380481</v>
      </c>
      <c r="R19" s="182">
        <f t="shared" si="20"/>
        <v>25.162044771132642</v>
      </c>
      <c r="S19" s="176">
        <v>17405</v>
      </c>
      <c r="T19" s="182">
        <f t="shared" si="21"/>
        <v>6.2097064794300127</v>
      </c>
      <c r="U19" s="182">
        <f t="shared" si="22"/>
        <v>19.384118498719236</v>
      </c>
      <c r="V19" s="176">
        <v>50010</v>
      </c>
      <c r="W19" s="182">
        <f t="shared" si="23"/>
        <v>17.842425799270035</v>
      </c>
      <c r="X19" s="182">
        <f t="shared" si="24"/>
        <v>55.696625459405283</v>
      </c>
      <c r="Y19" s="172"/>
      <c r="AB19" s="189"/>
    </row>
    <row r="20" spans="1:28" ht="30" customHeight="1">
      <c r="A20" s="301"/>
      <c r="B20" s="172" t="s">
        <v>37</v>
      </c>
      <c r="C20" s="180"/>
      <c r="D20" s="176"/>
      <c r="E20" s="175">
        <f>AVERAGE(E16:E19)</f>
        <v>542.22100603743058</v>
      </c>
      <c r="F20" s="181">
        <f t="shared" ref="F20:V20" si="25">AVERAGE(F16:F19)</f>
        <v>362016</v>
      </c>
      <c r="G20" s="181">
        <f t="shared" si="25"/>
        <v>110750</v>
      </c>
      <c r="H20" s="181"/>
      <c r="I20" s="181"/>
      <c r="J20" s="181">
        <f t="shared" si="25"/>
        <v>63494.75</v>
      </c>
      <c r="K20" s="181"/>
      <c r="L20" s="181"/>
      <c r="M20" s="181">
        <f t="shared" si="25"/>
        <v>12382.75</v>
      </c>
      <c r="N20" s="181"/>
      <c r="O20" s="181"/>
      <c r="P20" s="181">
        <f t="shared" si="25"/>
        <v>12134.75</v>
      </c>
      <c r="Q20" s="181"/>
      <c r="R20" s="181"/>
      <c r="S20" s="181">
        <f t="shared" si="25"/>
        <v>4351.25</v>
      </c>
      <c r="T20" s="181"/>
      <c r="U20" s="181"/>
      <c r="V20" s="181">
        <f t="shared" si="25"/>
        <v>158902.5</v>
      </c>
      <c r="W20" s="181"/>
      <c r="X20" s="181"/>
      <c r="Y20" s="181"/>
    </row>
    <row r="21" spans="1:28" ht="30" customHeight="1">
      <c r="A21" s="314" t="s">
        <v>176</v>
      </c>
      <c r="B21" s="172" t="s">
        <v>175</v>
      </c>
      <c r="C21" s="180">
        <v>0.3</v>
      </c>
      <c r="D21" s="176">
        <f>C21*365</f>
        <v>109.5</v>
      </c>
      <c r="E21" s="175">
        <f>SUM(I21,L21,O21,R21,U21,X21)</f>
        <v>1463.4885844748858</v>
      </c>
      <c r="F21" s="176">
        <f>SUM(G21,J21,M21,P21,S21,V21)</f>
        <v>160252</v>
      </c>
      <c r="G21" s="176">
        <v>0</v>
      </c>
      <c r="H21" s="182">
        <f t="shared" ref="H21" si="26">(G21/F21)*100</f>
        <v>0</v>
      </c>
      <c r="I21" s="182">
        <f t="shared" ref="I21" si="27">G21/D21</f>
        <v>0</v>
      </c>
      <c r="J21" s="176">
        <v>19354</v>
      </c>
      <c r="K21" s="182">
        <f>(J21/F21)*100</f>
        <v>12.077228365324613</v>
      </c>
      <c r="L21" s="182">
        <f>J21/D21</f>
        <v>176.74885844748857</v>
      </c>
      <c r="M21" s="176">
        <v>1579</v>
      </c>
      <c r="N21" s="182">
        <f>(M21/F21)*100</f>
        <v>0.98532311609215495</v>
      </c>
      <c r="O21" s="182">
        <f>M21/D21</f>
        <v>14.420091324200913</v>
      </c>
      <c r="P21" s="176">
        <v>0</v>
      </c>
      <c r="Q21" s="182">
        <f>(P21/F21)*100</f>
        <v>0</v>
      </c>
      <c r="R21" s="182">
        <f>P21/D21</f>
        <v>0</v>
      </c>
      <c r="S21" s="176">
        <v>6103</v>
      </c>
      <c r="T21" s="182">
        <f>(S21/F21)*100</f>
        <v>3.8083768065297154</v>
      </c>
      <c r="U21" s="182">
        <f>S21/D21</f>
        <v>55.735159817351601</v>
      </c>
      <c r="V21" s="176">
        <v>133216</v>
      </c>
      <c r="W21" s="182">
        <f>(V21/F21)*100</f>
        <v>83.129071712053516</v>
      </c>
      <c r="X21" s="182">
        <f>V21/D21</f>
        <v>1216.5844748858447</v>
      </c>
      <c r="Y21" s="172"/>
    </row>
    <row r="22" spans="1:28" ht="30" customHeight="1">
      <c r="A22" s="315"/>
      <c r="B22" s="172" t="s">
        <v>37</v>
      </c>
      <c r="C22" s="180"/>
      <c r="D22" s="176"/>
      <c r="E22" s="175">
        <f>AVERAGE(E21:E21)</f>
        <v>1463.4885844748858</v>
      </c>
      <c r="F22" s="181">
        <f t="shared" ref="F22:V22" si="28">AVERAGE(F21:F21)</f>
        <v>160252</v>
      </c>
      <c r="G22" s="181">
        <f t="shared" si="28"/>
        <v>0</v>
      </c>
      <c r="H22" s="181"/>
      <c r="I22" s="181"/>
      <c r="J22" s="181">
        <f t="shared" si="28"/>
        <v>19354</v>
      </c>
      <c r="K22" s="181"/>
      <c r="L22" s="181"/>
      <c r="M22" s="181">
        <f t="shared" si="28"/>
        <v>1579</v>
      </c>
      <c r="N22" s="181"/>
      <c r="O22" s="181"/>
      <c r="P22" s="181">
        <f t="shared" si="28"/>
        <v>0</v>
      </c>
      <c r="Q22" s="181"/>
      <c r="R22" s="181"/>
      <c r="S22" s="181">
        <f t="shared" si="28"/>
        <v>6103</v>
      </c>
      <c r="T22" s="181"/>
      <c r="U22" s="181"/>
      <c r="V22" s="181">
        <f t="shared" si="28"/>
        <v>133216</v>
      </c>
      <c r="W22" s="181"/>
      <c r="X22" s="181"/>
      <c r="Y22" s="181"/>
    </row>
    <row r="23" spans="1:28" ht="30" customHeight="1">
      <c r="A23" s="314" t="s">
        <v>177</v>
      </c>
      <c r="B23" s="172" t="s">
        <v>175</v>
      </c>
      <c r="C23" s="180">
        <v>0.47499999999999998</v>
      </c>
      <c r="D23" s="176">
        <f>C23*365</f>
        <v>173.375</v>
      </c>
      <c r="E23" s="175">
        <f>SUM(I23,L23,O23,R23,U23,X23)</f>
        <v>814.59841384282618</v>
      </c>
      <c r="F23" s="176">
        <f>SUM(G23,J23,M23,P23,S23,V23)</f>
        <v>141231</v>
      </c>
      <c r="G23" s="176">
        <v>51423</v>
      </c>
      <c r="H23" s="182">
        <f t="shared" ref="H23" si="29">(G23/F23)*100</f>
        <v>36.41056142065127</v>
      </c>
      <c r="I23" s="182">
        <f t="shared" ref="I23" si="30">G23/D23</f>
        <v>296.59985580389332</v>
      </c>
      <c r="J23" s="176">
        <v>21204</v>
      </c>
      <c r="K23" s="182">
        <f>(J23/F23)*100</f>
        <v>15.013700958004971</v>
      </c>
      <c r="L23" s="182">
        <f>J23/D23</f>
        <v>122.3013698630137</v>
      </c>
      <c r="M23" s="176">
        <v>777</v>
      </c>
      <c r="N23" s="182">
        <f>(M23/F23)*100</f>
        <v>0.55016249973447751</v>
      </c>
      <c r="O23" s="182">
        <f>M23/D23</f>
        <v>4.4816149963950975</v>
      </c>
      <c r="P23" s="176">
        <v>5393</v>
      </c>
      <c r="Q23" s="182">
        <f>(P23/F23)*100</f>
        <v>3.8185667452613092</v>
      </c>
      <c r="R23" s="182">
        <f>P23/D23</f>
        <v>31.105984138428262</v>
      </c>
      <c r="S23" s="176">
        <v>4751</v>
      </c>
      <c r="T23" s="182">
        <f>(S23/F23)*100</f>
        <v>3.363992324631278</v>
      </c>
      <c r="U23" s="182">
        <f>S23/D23</f>
        <v>27.403028118240808</v>
      </c>
      <c r="V23" s="176">
        <v>57683</v>
      </c>
      <c r="W23" s="182">
        <f>(V23/F23)*100</f>
        <v>40.843016051716688</v>
      </c>
      <c r="X23" s="182">
        <f>V23/D23</f>
        <v>332.70656092285509</v>
      </c>
      <c r="Y23" s="172"/>
    </row>
    <row r="24" spans="1:28" ht="30" customHeight="1">
      <c r="A24" s="315"/>
      <c r="B24" s="172" t="s">
        <v>37</v>
      </c>
      <c r="C24" s="180"/>
      <c r="D24" s="176"/>
      <c r="E24" s="175">
        <f>AVERAGE(E23:E23)</f>
        <v>814.59841384282618</v>
      </c>
      <c r="F24" s="181">
        <f t="shared" ref="F24:V24" si="31">AVERAGE(F23:F23)</f>
        <v>141231</v>
      </c>
      <c r="G24" s="181">
        <f t="shared" si="31"/>
        <v>51423</v>
      </c>
      <c r="H24" s="181"/>
      <c r="I24" s="181"/>
      <c r="J24" s="181">
        <f t="shared" si="31"/>
        <v>21204</v>
      </c>
      <c r="K24" s="181"/>
      <c r="L24" s="181"/>
      <c r="M24" s="181">
        <f t="shared" si="31"/>
        <v>777</v>
      </c>
      <c r="N24" s="181"/>
      <c r="O24" s="181"/>
      <c r="P24" s="181">
        <f t="shared" si="31"/>
        <v>5393</v>
      </c>
      <c r="Q24" s="181"/>
      <c r="R24" s="181"/>
      <c r="S24" s="181">
        <f t="shared" si="31"/>
        <v>4751</v>
      </c>
      <c r="T24" s="181"/>
      <c r="U24" s="181"/>
      <c r="V24" s="181">
        <f t="shared" si="31"/>
        <v>57683</v>
      </c>
      <c r="W24" s="181"/>
      <c r="X24" s="181"/>
      <c r="Y24" s="181"/>
    </row>
    <row r="25" spans="1:28" ht="30" customHeight="1">
      <c r="A25" s="299" t="s">
        <v>178</v>
      </c>
      <c r="B25" s="172" t="s">
        <v>84</v>
      </c>
      <c r="C25" s="180">
        <v>1</v>
      </c>
      <c r="D25" s="176">
        <v>370</v>
      </c>
      <c r="E25" s="175">
        <f>SUM(I25,L25,O25,R25,U25,X25)</f>
        <v>185.3216216216216</v>
      </c>
      <c r="F25" s="176">
        <f>SUM(G25,J25,M25,P25,S25,V25)</f>
        <v>68569</v>
      </c>
      <c r="G25" s="176">
        <v>42321</v>
      </c>
      <c r="H25" s="182">
        <f t="shared" ref="H25:H26" si="32">(G25/F25)*100</f>
        <v>61.720310927678689</v>
      </c>
      <c r="I25" s="182">
        <f t="shared" ref="I25:I26" si="33">G25/D25</f>
        <v>114.38108108108108</v>
      </c>
      <c r="J25" s="176">
        <v>4790</v>
      </c>
      <c r="K25" s="182">
        <f>(J25/F25)*100</f>
        <v>6.9856640756026778</v>
      </c>
      <c r="L25" s="182">
        <f>J25/D25</f>
        <v>12.945945945945946</v>
      </c>
      <c r="M25" s="176">
        <v>393</v>
      </c>
      <c r="N25" s="182">
        <f>(M25/F25)*100</f>
        <v>0.57314529889600252</v>
      </c>
      <c r="O25" s="182">
        <f>M25/D25</f>
        <v>1.0621621621621622</v>
      </c>
      <c r="P25" s="176">
        <v>0</v>
      </c>
      <c r="Q25" s="182">
        <f>(P25/F25)*100</f>
        <v>0</v>
      </c>
      <c r="R25" s="182">
        <f>P25/D25</f>
        <v>0</v>
      </c>
      <c r="S25" s="176">
        <v>0</v>
      </c>
      <c r="T25" s="182">
        <f>(S25/F25)*100</f>
        <v>0</v>
      </c>
      <c r="U25" s="182">
        <f>S25/D25</f>
        <v>0</v>
      </c>
      <c r="V25" s="176">
        <v>21065</v>
      </c>
      <c r="W25" s="182">
        <f>(V25/F25)*100</f>
        <v>30.720879697822635</v>
      </c>
      <c r="X25" s="182">
        <f>V25/D25</f>
        <v>56.932432432432435</v>
      </c>
      <c r="Y25" s="172"/>
    </row>
    <row r="26" spans="1:28" ht="30" customHeight="1">
      <c r="A26" s="300"/>
      <c r="B26" s="172" t="s">
        <v>175</v>
      </c>
      <c r="C26" s="180">
        <v>0.9</v>
      </c>
      <c r="D26" s="176">
        <f>C26*365</f>
        <v>328.5</v>
      </c>
      <c r="E26" s="175">
        <f>SUM(I26,L26,O26,R26,U26,X26)</f>
        <v>228.11263318112634</v>
      </c>
      <c r="F26" s="176">
        <f>SUM(G26,J26,M26,P26,S26,V26)</f>
        <v>74935</v>
      </c>
      <c r="G26" s="176">
        <v>51423</v>
      </c>
      <c r="H26" s="182">
        <f t="shared" si="32"/>
        <v>68.623473677186894</v>
      </c>
      <c r="I26" s="182">
        <f t="shared" si="33"/>
        <v>156.53881278538813</v>
      </c>
      <c r="J26" s="176">
        <v>5240</v>
      </c>
      <c r="K26" s="182">
        <f>(J26/F26)*100</f>
        <v>6.9927270300927473</v>
      </c>
      <c r="L26" s="182">
        <f>J26/D26</f>
        <v>15.951293759512938</v>
      </c>
      <c r="M26" s="176">
        <v>422</v>
      </c>
      <c r="N26" s="182">
        <f>(M26/F26)*100</f>
        <v>0.56315473410288919</v>
      </c>
      <c r="O26" s="182">
        <f>M26/D26</f>
        <v>1.2846270928462709</v>
      </c>
      <c r="P26" s="176">
        <v>0</v>
      </c>
      <c r="Q26" s="182">
        <f>(P26/F26)*100</f>
        <v>0</v>
      </c>
      <c r="R26" s="182">
        <f>P26/D26</f>
        <v>0</v>
      </c>
      <c r="S26" s="176">
        <v>0</v>
      </c>
      <c r="T26" s="182">
        <f>(S26/F26)*100</f>
        <v>0</v>
      </c>
      <c r="U26" s="182">
        <f>S26/D26</f>
        <v>0</v>
      </c>
      <c r="V26" s="176">
        <v>17850</v>
      </c>
      <c r="W26" s="182">
        <f>(V26/F26)*100</f>
        <v>23.820644558617467</v>
      </c>
      <c r="X26" s="182">
        <f>V26/D26</f>
        <v>54.337899543378995</v>
      </c>
      <c r="Y26" s="172"/>
    </row>
    <row r="27" spans="1:28" ht="30" customHeight="1">
      <c r="A27" s="301"/>
      <c r="B27" s="172" t="s">
        <v>37</v>
      </c>
      <c r="C27" s="180"/>
      <c r="D27" s="176"/>
      <c r="E27" s="175">
        <f>AVERAGE(E25:E26)</f>
        <v>206.71712740137397</v>
      </c>
      <c r="F27" s="181">
        <f t="shared" ref="F27:V27" si="34">AVERAGE(F25:F26)</f>
        <v>71752</v>
      </c>
      <c r="G27" s="181">
        <f t="shared" si="34"/>
        <v>46872</v>
      </c>
      <c r="H27" s="181"/>
      <c r="I27" s="181"/>
      <c r="J27" s="181">
        <f t="shared" si="34"/>
        <v>5015</v>
      </c>
      <c r="K27" s="181"/>
      <c r="L27" s="181"/>
      <c r="M27" s="181">
        <f t="shared" si="34"/>
        <v>407.5</v>
      </c>
      <c r="N27" s="181"/>
      <c r="O27" s="181"/>
      <c r="P27" s="181">
        <f t="shared" si="34"/>
        <v>0</v>
      </c>
      <c r="Q27" s="181"/>
      <c r="R27" s="181"/>
      <c r="S27" s="181">
        <f t="shared" si="34"/>
        <v>0</v>
      </c>
      <c r="T27" s="181"/>
      <c r="U27" s="181"/>
      <c r="V27" s="181">
        <f t="shared" si="34"/>
        <v>19457.5</v>
      </c>
      <c r="W27" s="181"/>
      <c r="X27" s="181"/>
      <c r="Y27" s="181"/>
    </row>
    <row r="28" spans="1:28" ht="30" customHeight="1">
      <c r="A28" s="299" t="s">
        <v>179</v>
      </c>
      <c r="B28" s="172" t="s">
        <v>165</v>
      </c>
      <c r="C28" s="180"/>
      <c r="D28" s="176"/>
      <c r="E28" s="175"/>
      <c r="F28" s="176">
        <f>SUM(G28,J28,M28,P28,S28,V28)</f>
        <v>435430</v>
      </c>
      <c r="G28" s="176">
        <v>207692</v>
      </c>
      <c r="H28" s="182">
        <f>(G28/F28)*100</f>
        <v>47.698137473302253</v>
      </c>
      <c r="I28" s="182"/>
      <c r="J28" s="176">
        <v>55064</v>
      </c>
      <c r="K28" s="180"/>
      <c r="L28" s="175"/>
      <c r="M28" s="176">
        <v>0</v>
      </c>
      <c r="N28" s="180"/>
      <c r="O28" s="175"/>
      <c r="P28" s="176">
        <v>0</v>
      </c>
      <c r="Q28" s="180"/>
      <c r="R28" s="175"/>
      <c r="S28" s="176">
        <v>26906</v>
      </c>
      <c r="T28" s="180"/>
      <c r="U28" s="175"/>
      <c r="V28" s="176">
        <v>145768</v>
      </c>
      <c r="W28" s="180"/>
      <c r="X28" s="175"/>
      <c r="Y28" s="172"/>
    </row>
    <row r="29" spans="1:28" ht="30" customHeight="1">
      <c r="A29" s="300"/>
      <c r="B29" s="172" t="s">
        <v>82</v>
      </c>
      <c r="C29" s="180"/>
      <c r="D29" s="176"/>
      <c r="E29" s="175"/>
      <c r="F29" s="176">
        <f>SUM(G29,J29,M29,P29,S29,V29)</f>
        <v>443940</v>
      </c>
      <c r="G29" s="176">
        <v>228311</v>
      </c>
      <c r="H29" s="182">
        <f t="shared" ref="H29:H32" si="35">(G29/F29)*100</f>
        <v>51.428346172906245</v>
      </c>
      <c r="I29" s="182"/>
      <c r="J29" s="176">
        <v>40939</v>
      </c>
      <c r="K29" s="180"/>
      <c r="L29" s="175"/>
      <c r="M29" s="176">
        <v>0</v>
      </c>
      <c r="N29" s="180"/>
      <c r="O29" s="175"/>
      <c r="P29" s="176">
        <v>0</v>
      </c>
      <c r="Q29" s="180"/>
      <c r="R29" s="175"/>
      <c r="S29" s="176">
        <v>26906</v>
      </c>
      <c r="T29" s="180"/>
      <c r="U29" s="175"/>
      <c r="V29" s="176">
        <v>147784</v>
      </c>
      <c r="W29" s="180"/>
      <c r="X29" s="175"/>
      <c r="Y29" s="172"/>
    </row>
    <row r="30" spans="1:28" ht="30" customHeight="1">
      <c r="A30" s="300"/>
      <c r="B30" s="172" t="s">
        <v>83</v>
      </c>
      <c r="C30" s="180"/>
      <c r="D30" s="176"/>
      <c r="E30" s="175"/>
      <c r="F30" s="176">
        <f>SUM(G30,J30,M30,P30,S30,V30)</f>
        <v>449469</v>
      </c>
      <c r="G30" s="176">
        <v>242687</v>
      </c>
      <c r="H30" s="182">
        <f t="shared" si="35"/>
        <v>53.994157550353862</v>
      </c>
      <c r="I30" s="182"/>
      <c r="J30" s="176">
        <v>40940</v>
      </c>
      <c r="K30" s="180"/>
      <c r="L30" s="175"/>
      <c r="M30" s="176">
        <v>0</v>
      </c>
      <c r="N30" s="180"/>
      <c r="O30" s="175"/>
      <c r="P30" s="176">
        <v>0</v>
      </c>
      <c r="Q30" s="180"/>
      <c r="R30" s="175"/>
      <c r="S30" s="176">
        <v>26906</v>
      </c>
      <c r="T30" s="180"/>
      <c r="U30" s="175"/>
      <c r="V30" s="176">
        <v>138936</v>
      </c>
      <c r="W30" s="180"/>
      <c r="X30" s="175"/>
      <c r="Y30" s="172"/>
    </row>
    <row r="31" spans="1:28" ht="30" customHeight="1">
      <c r="A31" s="300"/>
      <c r="B31" s="172" t="s">
        <v>84</v>
      </c>
      <c r="C31" s="180"/>
      <c r="D31" s="176"/>
      <c r="E31" s="175"/>
      <c r="F31" s="176">
        <f>SUM(G31,J31,M31,P31,S31,V31)</f>
        <v>290485</v>
      </c>
      <c r="G31" s="176">
        <v>169287</v>
      </c>
      <c r="H31" s="182">
        <f t="shared" si="35"/>
        <v>58.277363719297036</v>
      </c>
      <c r="I31" s="182"/>
      <c r="J31" s="176">
        <v>0</v>
      </c>
      <c r="K31" s="180"/>
      <c r="L31" s="175"/>
      <c r="M31" s="176">
        <v>2269</v>
      </c>
      <c r="N31" s="180"/>
      <c r="O31" s="175"/>
      <c r="P31" s="176">
        <v>0</v>
      </c>
      <c r="Q31" s="180"/>
      <c r="R31" s="175"/>
      <c r="S31" s="176">
        <v>28239</v>
      </c>
      <c r="T31" s="180"/>
      <c r="U31" s="175"/>
      <c r="V31" s="176">
        <v>90690</v>
      </c>
      <c r="W31" s="180"/>
      <c r="X31" s="175"/>
      <c r="Y31" s="172"/>
    </row>
    <row r="32" spans="1:28" ht="30" customHeight="1">
      <c r="A32" s="300"/>
      <c r="B32" s="172" t="s">
        <v>175</v>
      </c>
      <c r="C32" s="180"/>
      <c r="D32" s="176"/>
      <c r="E32" s="175"/>
      <c r="F32" s="176">
        <f>SUM(G32,J32,M32,P32,S32,V32)</f>
        <v>251699</v>
      </c>
      <c r="G32" s="176">
        <v>154271</v>
      </c>
      <c r="H32" s="182">
        <f t="shared" si="35"/>
        <v>61.291860515933713</v>
      </c>
      <c r="I32" s="182"/>
      <c r="J32" s="176">
        <v>0</v>
      </c>
      <c r="K32" s="180"/>
      <c r="L32" s="175"/>
      <c r="M32" s="176">
        <v>2519</v>
      </c>
      <c r="N32" s="180"/>
      <c r="O32" s="175"/>
      <c r="P32" s="176">
        <v>0</v>
      </c>
      <c r="Q32" s="180"/>
      <c r="R32" s="175"/>
      <c r="S32" s="176">
        <v>31374</v>
      </c>
      <c r="T32" s="180"/>
      <c r="U32" s="175"/>
      <c r="V32" s="176">
        <v>63535</v>
      </c>
      <c r="W32" s="180"/>
      <c r="X32" s="175"/>
      <c r="Y32" s="172"/>
    </row>
    <row r="33" spans="1:25" ht="30" customHeight="1">
      <c r="A33" s="301"/>
      <c r="B33" s="172" t="s">
        <v>37</v>
      </c>
      <c r="C33" s="180"/>
      <c r="D33" s="176"/>
      <c r="E33" s="175"/>
      <c r="F33" s="181">
        <f t="shared" ref="F33" si="36">AVERAGE(F31:F32)</f>
        <v>271092</v>
      </c>
      <c r="G33" s="181">
        <f t="shared" ref="G33" si="37">AVERAGE(G31:G32)</f>
        <v>161779</v>
      </c>
      <c r="H33" s="181"/>
      <c r="I33" s="181"/>
      <c r="J33" s="181">
        <f t="shared" ref="J33" si="38">AVERAGE(J31:J32)</f>
        <v>0</v>
      </c>
      <c r="K33" s="181"/>
      <c r="L33" s="181"/>
      <c r="M33" s="181">
        <f t="shared" ref="M33" si="39">AVERAGE(M31:M32)</f>
        <v>2394</v>
      </c>
      <c r="N33" s="181"/>
      <c r="O33" s="181"/>
      <c r="P33" s="181">
        <f t="shared" ref="P33" si="40">AVERAGE(P31:P32)</f>
        <v>0</v>
      </c>
      <c r="Q33" s="181"/>
      <c r="R33" s="181"/>
      <c r="S33" s="181">
        <f t="shared" ref="S33" si="41">AVERAGE(S31:S32)</f>
        <v>29806.5</v>
      </c>
      <c r="T33" s="181"/>
      <c r="U33" s="181"/>
      <c r="V33" s="181">
        <f t="shared" ref="V33" si="42">AVERAGE(V31:V32)</f>
        <v>77112.5</v>
      </c>
      <c r="W33" s="181"/>
      <c r="X33" s="181"/>
      <c r="Y33" s="181"/>
    </row>
    <row r="34" spans="1:25" ht="30" customHeight="1">
      <c r="A34" s="299" t="s">
        <v>180</v>
      </c>
      <c r="B34" s="172" t="s">
        <v>84</v>
      </c>
      <c r="C34" s="180"/>
      <c r="D34" s="176"/>
      <c r="E34" s="175"/>
      <c r="F34" s="176">
        <f>SUM(G34,J34,M34,P34,S34,V34)</f>
        <v>623442</v>
      </c>
      <c r="G34" s="176">
        <v>185301</v>
      </c>
      <c r="H34" s="182">
        <f t="shared" ref="H34:H35" si="43">(G34/F34)*100</f>
        <v>29.722251628860423</v>
      </c>
      <c r="I34" s="182"/>
      <c r="J34" s="176">
        <v>100321</v>
      </c>
      <c r="K34" s="180"/>
      <c r="L34" s="175"/>
      <c r="M34" s="176">
        <v>88862</v>
      </c>
      <c r="N34" s="180"/>
      <c r="O34" s="175"/>
      <c r="P34" s="176">
        <v>79162</v>
      </c>
      <c r="Q34" s="180"/>
      <c r="R34" s="175"/>
      <c r="S34" s="176">
        <v>9736</v>
      </c>
      <c r="T34" s="180"/>
      <c r="U34" s="175"/>
      <c r="V34" s="176">
        <v>160060</v>
      </c>
      <c r="W34" s="180"/>
      <c r="X34" s="175"/>
      <c r="Y34" s="172"/>
    </row>
    <row r="35" spans="1:25" ht="30" customHeight="1">
      <c r="A35" s="300"/>
      <c r="B35" s="172" t="s">
        <v>175</v>
      </c>
      <c r="C35" s="180"/>
      <c r="D35" s="176"/>
      <c r="E35" s="175"/>
      <c r="F35" s="176">
        <f>SUM(G35,J35,M35,P35,S35,V35)</f>
        <v>743626</v>
      </c>
      <c r="G35" s="176">
        <v>152066</v>
      </c>
      <c r="H35" s="182">
        <f t="shared" si="43"/>
        <v>20.449258094794963</v>
      </c>
      <c r="I35" s="182"/>
      <c r="J35" s="176">
        <v>109647</v>
      </c>
      <c r="K35" s="180"/>
      <c r="L35" s="175"/>
      <c r="M35" s="176">
        <v>100360</v>
      </c>
      <c r="N35" s="180"/>
      <c r="O35" s="175"/>
      <c r="P35" s="176">
        <v>138012</v>
      </c>
      <c r="Q35" s="180"/>
      <c r="R35" s="175"/>
      <c r="S35" s="176">
        <v>12258</v>
      </c>
      <c r="T35" s="180"/>
      <c r="U35" s="175"/>
      <c r="V35" s="176">
        <v>231283</v>
      </c>
      <c r="W35" s="180"/>
      <c r="X35" s="175"/>
      <c r="Y35" s="172"/>
    </row>
    <row r="36" spans="1:25" ht="30" customHeight="1">
      <c r="A36" s="301"/>
      <c r="B36" s="172" t="s">
        <v>37</v>
      </c>
      <c r="C36" s="180"/>
      <c r="D36" s="176"/>
      <c r="E36" s="175"/>
      <c r="F36" s="181">
        <f t="shared" ref="F36" si="44">AVERAGE(F34:F35)</f>
        <v>683534</v>
      </c>
      <c r="G36" s="181">
        <f t="shared" ref="G36" si="45">AVERAGE(G34:G35)</f>
        <v>168683.5</v>
      </c>
      <c r="H36" s="181"/>
      <c r="I36" s="181"/>
      <c r="J36" s="181">
        <f t="shared" ref="J36" si="46">AVERAGE(J34:J35)</f>
        <v>104984</v>
      </c>
      <c r="K36" s="181"/>
      <c r="L36" s="181"/>
      <c r="M36" s="181">
        <f t="shared" ref="M36" si="47">AVERAGE(M34:M35)</f>
        <v>94611</v>
      </c>
      <c r="N36" s="181"/>
      <c r="O36" s="181"/>
      <c r="P36" s="181">
        <f t="shared" ref="P36" si="48">AVERAGE(P34:P35)</f>
        <v>108587</v>
      </c>
      <c r="Q36" s="181"/>
      <c r="R36" s="181"/>
      <c r="S36" s="181">
        <f t="shared" ref="S36" si="49">AVERAGE(S34:S35)</f>
        <v>10997</v>
      </c>
      <c r="T36" s="181"/>
      <c r="U36" s="181"/>
      <c r="V36" s="181">
        <f t="shared" ref="V36" si="50">AVERAGE(V34:V35)</f>
        <v>195671.5</v>
      </c>
      <c r="W36" s="181"/>
      <c r="X36" s="181"/>
      <c r="Y36" s="181"/>
    </row>
    <row r="37" spans="1:25" ht="30" customHeight="1">
      <c r="A37" s="296" t="s">
        <v>200</v>
      </c>
      <c r="B37" s="297"/>
      <c r="C37" s="181">
        <f>SUM(C14,C19,C21,C23,C26)</f>
        <v>27.735000000000003</v>
      </c>
      <c r="D37" s="181">
        <f t="shared" ref="D37:V37" si="51">SUM(D14,D19,D21,D23,D26)</f>
        <v>10112.324999999999</v>
      </c>
      <c r="E37" s="181"/>
      <c r="F37" s="181">
        <f t="shared" si="51"/>
        <v>1597361</v>
      </c>
      <c r="G37" s="181">
        <f t="shared" si="51"/>
        <v>723934</v>
      </c>
      <c r="H37" s="181"/>
      <c r="I37" s="181"/>
      <c r="J37" s="181">
        <f t="shared" si="51"/>
        <v>234883</v>
      </c>
      <c r="K37" s="181"/>
      <c r="L37" s="181"/>
      <c r="M37" s="181">
        <f t="shared" si="51"/>
        <v>32777</v>
      </c>
      <c r="N37" s="181"/>
      <c r="O37" s="181"/>
      <c r="P37" s="181">
        <f t="shared" si="51"/>
        <v>158908</v>
      </c>
      <c r="Q37" s="181"/>
      <c r="R37" s="181"/>
      <c r="S37" s="181">
        <f t="shared" si="51"/>
        <v>44039</v>
      </c>
      <c r="T37" s="181"/>
      <c r="U37" s="181"/>
      <c r="V37" s="181">
        <f t="shared" si="51"/>
        <v>402820</v>
      </c>
      <c r="W37" s="181"/>
      <c r="X37" s="181"/>
      <c r="Y37" s="181"/>
    </row>
    <row r="38" spans="1:25" ht="30" customHeight="1">
      <c r="A38" s="296" t="s">
        <v>201</v>
      </c>
      <c r="B38" s="297"/>
      <c r="C38" s="181">
        <f t="shared" ref="C38:E38" si="52">SUM(C15,C20,C22,C24,C27)</f>
        <v>0</v>
      </c>
      <c r="D38" s="181">
        <f t="shared" si="52"/>
        <v>0</v>
      </c>
      <c r="E38" s="181">
        <f t="shared" si="52"/>
        <v>3127.3754313675604</v>
      </c>
      <c r="F38" s="181">
        <f>SUM(F15,F20,F22,F24,F27)</f>
        <v>1672527.4</v>
      </c>
      <c r="G38" s="181">
        <f>SUM(G15,G20,G22,G24,G27)</f>
        <v>674086.40000000002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</row>
    <row r="40" spans="1:25" ht="30" customHeight="1">
      <c r="A40" s="126" t="s">
        <v>182</v>
      </c>
      <c r="B40" s="298" t="s">
        <v>184</v>
      </c>
      <c r="C40" s="298"/>
    </row>
    <row r="41" spans="1:25" ht="30" customHeight="1">
      <c r="A41" s="126" t="s">
        <v>166</v>
      </c>
      <c r="B41" s="295">
        <f>E15</f>
        <v>100.35029961104394</v>
      </c>
      <c r="C41" s="295"/>
    </row>
    <row r="42" spans="1:25" ht="30" customHeight="1">
      <c r="A42" s="126" t="s">
        <v>152</v>
      </c>
      <c r="B42" s="295">
        <f>E20</f>
        <v>542.22100603743058</v>
      </c>
      <c r="C42" s="295"/>
    </row>
    <row r="43" spans="1:25" ht="30" customHeight="1">
      <c r="A43" s="126" t="s">
        <v>153</v>
      </c>
      <c r="B43" s="295">
        <f>E22</f>
        <v>1463.4885844748858</v>
      </c>
      <c r="C43" s="295"/>
    </row>
    <row r="44" spans="1:25" ht="30" customHeight="1">
      <c r="A44" s="126" t="s">
        <v>154</v>
      </c>
      <c r="B44" s="295">
        <f>E24</f>
        <v>814.59841384282618</v>
      </c>
      <c r="C44" s="295"/>
    </row>
    <row r="45" spans="1:25" ht="30" customHeight="1">
      <c r="A45" s="126" t="s">
        <v>155</v>
      </c>
      <c r="B45" s="295">
        <f>E27</f>
        <v>206.71712740137397</v>
      </c>
      <c r="C45" s="295"/>
    </row>
    <row r="46" spans="1:25" ht="30" customHeight="1">
      <c r="A46" s="126" t="s">
        <v>167</v>
      </c>
      <c r="B46" s="295"/>
      <c r="C46" s="295"/>
    </row>
    <row r="47" spans="1:25" ht="30" customHeight="1">
      <c r="A47" s="126" t="s">
        <v>181</v>
      </c>
      <c r="B47" s="295"/>
      <c r="C47" s="295"/>
    </row>
  </sheetData>
  <mergeCells count="20">
    <mergeCell ref="A34:A36"/>
    <mergeCell ref="A2:B3"/>
    <mergeCell ref="Y2:Y3"/>
    <mergeCell ref="A16:A20"/>
    <mergeCell ref="A10:A15"/>
    <mergeCell ref="A4:A9"/>
    <mergeCell ref="A21:A22"/>
    <mergeCell ref="A23:A24"/>
    <mergeCell ref="A25:A27"/>
    <mergeCell ref="A28:A33"/>
    <mergeCell ref="B46:C46"/>
    <mergeCell ref="B47:C47"/>
    <mergeCell ref="A37:B37"/>
    <mergeCell ref="A38:B38"/>
    <mergeCell ref="B40:C40"/>
    <mergeCell ref="B41:C41"/>
    <mergeCell ref="B42:C42"/>
    <mergeCell ref="B43:C43"/>
    <mergeCell ref="B44:C44"/>
    <mergeCell ref="B45:C4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7"/>
  <sheetViews>
    <sheetView view="pageBreakPreview" zoomScale="85" zoomScaleNormal="100" zoomScaleSheetLayoutView="85" workbookViewId="0">
      <selection activeCell="I7" sqref="I7"/>
    </sheetView>
  </sheetViews>
  <sheetFormatPr defaultRowHeight="24.95" customHeight="1"/>
  <cols>
    <col min="2" max="2" width="15.625" customWidth="1"/>
    <col min="3" max="3" width="13.125" customWidth="1"/>
    <col min="4" max="4" width="12" customWidth="1"/>
    <col min="5" max="5" width="11.625" bestFit="1" customWidth="1"/>
    <col min="6" max="6" width="10.625" customWidth="1"/>
    <col min="7" max="7" width="11" customWidth="1"/>
    <col min="8" max="8" width="11.25" customWidth="1"/>
    <col min="9" max="9" width="11" bestFit="1" customWidth="1"/>
    <col min="12" max="12" width="11" bestFit="1" customWidth="1"/>
    <col min="13" max="13" width="15.75" customWidth="1"/>
  </cols>
  <sheetData>
    <row r="1" spans="1:8" ht="24.95" customHeight="1">
      <c r="A1" s="188" t="s">
        <v>238</v>
      </c>
    </row>
    <row r="2" spans="1:8" ht="24.95" customHeight="1">
      <c r="A2" s="316" t="s">
        <v>0</v>
      </c>
      <c r="B2" s="142" t="s">
        <v>30</v>
      </c>
      <c r="C2" s="142" t="s">
        <v>189</v>
      </c>
      <c r="D2" s="142" t="s">
        <v>191</v>
      </c>
      <c r="E2" s="142" t="s">
        <v>193</v>
      </c>
      <c r="F2" s="318" t="s">
        <v>183</v>
      </c>
      <c r="G2" s="319"/>
      <c r="H2" s="320"/>
    </row>
    <row r="3" spans="1:8" ht="24.95" customHeight="1">
      <c r="A3" s="317"/>
      <c r="B3" s="140" t="s">
        <v>101</v>
      </c>
      <c r="C3" s="140" t="s">
        <v>190</v>
      </c>
      <c r="D3" s="140" t="s">
        <v>192</v>
      </c>
      <c r="E3" s="140" t="s">
        <v>194</v>
      </c>
      <c r="F3" s="321"/>
      <c r="G3" s="322"/>
      <c r="H3" s="323"/>
    </row>
    <row r="4" spans="1:8" ht="24.95" customHeight="1">
      <c r="A4" s="317"/>
      <c r="B4" s="141"/>
      <c r="C4" s="141"/>
      <c r="D4" s="141"/>
      <c r="E4" s="140" t="s">
        <v>195</v>
      </c>
      <c r="F4" s="142" t="s">
        <v>196</v>
      </c>
      <c r="G4" s="142" t="s">
        <v>197</v>
      </c>
      <c r="H4" s="142" t="s">
        <v>199</v>
      </c>
    </row>
    <row r="5" spans="1:8" ht="24.95" customHeight="1">
      <c r="A5" s="143" t="s">
        <v>198</v>
      </c>
      <c r="B5" s="147">
        <v>696933644</v>
      </c>
      <c r="C5" s="147">
        <v>6597192.5</v>
      </c>
      <c r="D5" s="147">
        <v>847895</v>
      </c>
      <c r="E5" s="147">
        <v>2822</v>
      </c>
      <c r="F5" s="147">
        <v>105.5</v>
      </c>
      <c r="G5" s="147">
        <v>824.4</v>
      </c>
      <c r="H5" s="147">
        <v>41766.300000000003</v>
      </c>
    </row>
    <row r="6" spans="1:8" ht="24.95" customHeight="1">
      <c r="A6" s="143" t="s">
        <v>32</v>
      </c>
      <c r="B6" s="146">
        <f>'8.유지관리비'!F37</f>
        <v>1597361</v>
      </c>
      <c r="C6" s="146">
        <f>'8.유지관리비'!D37</f>
        <v>10112.324999999999</v>
      </c>
      <c r="D6" s="146">
        <f>1400*365/1000</f>
        <v>511</v>
      </c>
      <c r="E6" s="148">
        <f>4602/1000</f>
        <v>4.6020000000000003</v>
      </c>
      <c r="F6" s="146">
        <f>ROUND(B6/C6,1)</f>
        <v>158</v>
      </c>
      <c r="G6" s="146">
        <f>B6/D6</f>
        <v>3125.9510763209391</v>
      </c>
      <c r="H6" s="147">
        <f>'8.유지관리비'!P37*1000/(E6*1000)</f>
        <v>34530.204259017817</v>
      </c>
    </row>
    <row r="8" spans="1:8" ht="24.95" customHeight="1">
      <c r="A8" t="s">
        <v>202</v>
      </c>
    </row>
    <row r="9" spans="1:8" ht="24.95" customHeight="1">
      <c r="A9" t="s">
        <v>203</v>
      </c>
    </row>
    <row r="10" spans="1:8" ht="24.95" customHeight="1">
      <c r="A10" s="3" t="s">
        <v>166</v>
      </c>
      <c r="B10" s="144">
        <v>1067</v>
      </c>
    </row>
    <row r="11" spans="1:8" ht="24.95" customHeight="1">
      <c r="A11" s="3" t="s">
        <v>152</v>
      </c>
      <c r="B11" s="144">
        <v>229</v>
      </c>
    </row>
    <row r="12" spans="1:8" ht="24.95" customHeight="1">
      <c r="A12" s="3" t="s">
        <v>153</v>
      </c>
      <c r="B12" s="144">
        <v>20</v>
      </c>
    </row>
    <row r="13" spans="1:8" ht="24.95" customHeight="1">
      <c r="A13" s="3" t="s">
        <v>154</v>
      </c>
      <c r="B13" s="144"/>
    </row>
    <row r="14" spans="1:8" ht="24.95" customHeight="1">
      <c r="A14" s="3" t="s">
        <v>155</v>
      </c>
      <c r="B14" s="144">
        <v>18</v>
      </c>
    </row>
    <row r="15" spans="1:8" ht="24.95" customHeight="1">
      <c r="A15" s="3" t="s">
        <v>89</v>
      </c>
      <c r="B15" s="144">
        <v>23</v>
      </c>
    </row>
    <row r="16" spans="1:8" ht="24.95" customHeight="1">
      <c r="A16" s="3" t="s">
        <v>66</v>
      </c>
      <c r="B16" s="144">
        <f>SUM(B10:B15)</f>
        <v>1357</v>
      </c>
      <c r="C16" t="s">
        <v>204</v>
      </c>
    </row>
    <row r="17" spans="1:1" ht="24.95" customHeight="1">
      <c r="A17" s="145" t="s">
        <v>205</v>
      </c>
    </row>
  </sheetData>
  <mergeCells count="2">
    <mergeCell ref="A2:A4"/>
    <mergeCell ref="F2:H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5</vt:i4>
      </vt:variant>
    </vt:vector>
  </HeadingPairs>
  <TitlesOfParts>
    <vt:vector size="16" baseType="lpstr">
      <vt:lpstr>1. 유지관리인원</vt:lpstr>
      <vt:lpstr>2. 예산집행현황</vt:lpstr>
      <vt:lpstr>3. 장기계획인원</vt:lpstr>
      <vt:lpstr>4. 하수처리비용</vt:lpstr>
      <vt:lpstr>5. 하수관거</vt:lpstr>
      <vt:lpstr>6. 빗물펌프장</vt:lpstr>
      <vt:lpstr>7. 상수도사용료</vt:lpstr>
      <vt:lpstr>8.유지관리비</vt:lpstr>
      <vt:lpstr>9.처리비용</vt:lpstr>
      <vt:lpstr>10.연도별 처리비용</vt:lpstr>
      <vt:lpstr>11.하수관거준설</vt:lpstr>
      <vt:lpstr>'2. 예산집행현황'!Print_Area</vt:lpstr>
      <vt:lpstr>'3. 장기계획인원'!Print_Area</vt:lpstr>
      <vt:lpstr>'6. 빗물펌프장'!Print_Area</vt:lpstr>
      <vt:lpstr>'8.유지관리비'!Print_Area</vt:lpstr>
      <vt:lpstr>'9.처리비용'!Print_Area</vt:lpstr>
    </vt:vector>
  </TitlesOfParts>
  <Company>선진엔지니어링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kimdaehwan</dc:creator>
  <cp:lastModifiedBy>선진</cp:lastModifiedBy>
  <cp:lastPrinted>2010-06-15T07:45:36Z</cp:lastPrinted>
  <dcterms:created xsi:type="dcterms:W3CDTF">2009-12-09T02:45:22Z</dcterms:created>
  <dcterms:modified xsi:type="dcterms:W3CDTF">2010-06-15T07:47:08Z</dcterms:modified>
</cp:coreProperties>
</file>