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40" yWindow="345" windowWidth="15450" windowHeight="10650" activeTab="2"/>
  </bookViews>
  <sheets>
    <sheet name="1.보령시하수도요금 현황" sheetId="1" r:id="rId1"/>
    <sheet name="2.전국하수도요금 현황1" sheetId="2" r:id="rId2"/>
    <sheet name="3.하수도수입분석" sheetId="3" r:id="rId3"/>
  </sheets>
  <definedNames>
    <definedName name="_xlnm.Print_Area" localSheetId="0">'1.보령시하수도요금 현황'!$A$1:$H$26</definedName>
    <definedName name="_xlnm.Print_Area" localSheetId="2">'3.하수도수입분석'!$A$1:$J$23</definedName>
  </definedNames>
  <calcPr calcId="125725"/>
</workbook>
</file>

<file path=xl/calcChain.xml><?xml version="1.0" encoding="utf-8"?>
<calcChain xmlns="http://schemas.openxmlformats.org/spreadsheetml/2006/main">
  <c r="I23" i="3"/>
  <c r="I22"/>
  <c r="I21"/>
  <c r="I20"/>
  <c r="I19"/>
  <c r="I18"/>
  <c r="I17"/>
  <c r="I16"/>
  <c r="I15"/>
  <c r="I14"/>
  <c r="I13"/>
  <c r="I12"/>
  <c r="I11"/>
  <c r="I10"/>
  <c r="I9"/>
  <c r="I8"/>
  <c r="B22" l="1"/>
  <c r="B21"/>
  <c r="B20"/>
  <c r="B19"/>
  <c r="B17"/>
  <c r="B16"/>
  <c r="B15"/>
  <c r="B14"/>
  <c r="B12"/>
  <c r="B11"/>
  <c r="B10"/>
  <c r="B9"/>
  <c r="B7"/>
  <c r="C7" s="1"/>
  <c r="D7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J7"/>
  <c r="J6"/>
  <c r="C6"/>
  <c r="E6" s="1"/>
  <c r="L5"/>
  <c r="L9"/>
  <c r="L10"/>
  <c r="L11"/>
  <c r="L12"/>
  <c r="L13"/>
  <c r="L14"/>
  <c r="L15"/>
  <c r="L16"/>
  <c r="L17"/>
  <c r="L18"/>
  <c r="L19"/>
  <c r="L20"/>
  <c r="L21"/>
  <c r="L22"/>
  <c r="L23"/>
  <c r="L8"/>
  <c r="E10" i="2"/>
  <c r="H10" s="1"/>
  <c r="F10"/>
  <c r="F10" i="1"/>
  <c r="H10" s="1"/>
  <c r="E10"/>
  <c r="E16" i="2"/>
  <c r="H16" s="1"/>
  <c r="F16"/>
  <c r="E7" i="3" l="1"/>
  <c r="G7" s="1"/>
  <c r="F6"/>
  <c r="H6" s="1"/>
  <c r="G6"/>
  <c r="J8"/>
  <c r="F7" l="1"/>
  <c r="H7" s="1"/>
  <c r="N8"/>
  <c r="J9"/>
  <c r="C9"/>
  <c r="C10"/>
  <c r="C11"/>
  <c r="C12"/>
  <c r="C13"/>
  <c r="C14"/>
  <c r="C15"/>
  <c r="C16"/>
  <c r="C17"/>
  <c r="C18"/>
  <c r="C19"/>
  <c r="C20"/>
  <c r="C21"/>
  <c r="C22"/>
  <c r="C23"/>
  <c r="C8"/>
  <c r="E8" s="1"/>
  <c r="F8" l="1"/>
  <c r="G8"/>
  <c r="N9"/>
  <c r="J10"/>
  <c r="E10"/>
  <c r="G10" s="1"/>
  <c r="E9"/>
  <c r="G9" s="1"/>
  <c r="M8" l="1"/>
  <c r="H8"/>
  <c r="N10"/>
  <c r="J11"/>
  <c r="F9"/>
  <c r="E11"/>
  <c r="G11" s="1"/>
  <c r="H9" l="1"/>
  <c r="M9"/>
  <c r="J12"/>
  <c r="N11"/>
  <c r="F10"/>
  <c r="E12"/>
  <c r="G12" s="1"/>
  <c r="H10" l="1"/>
  <c r="M10"/>
  <c r="J13"/>
  <c r="N12"/>
  <c r="F11"/>
  <c r="E13"/>
  <c r="G13" s="1"/>
  <c r="H11" l="1"/>
  <c r="M11"/>
  <c r="F12"/>
  <c r="J14"/>
  <c r="N13"/>
  <c r="E14"/>
  <c r="G14" s="1"/>
  <c r="H12" l="1"/>
  <c r="M12"/>
  <c r="F13"/>
  <c r="J15"/>
  <c r="N14"/>
  <c r="E15"/>
  <c r="G15" s="1"/>
  <c r="H13" l="1"/>
  <c r="M13"/>
  <c r="F14"/>
  <c r="J16"/>
  <c r="N15"/>
  <c r="E16"/>
  <c r="G16" s="1"/>
  <c r="H14" l="1"/>
  <c r="M14"/>
  <c r="F15"/>
  <c r="J17"/>
  <c r="N16"/>
  <c r="E17"/>
  <c r="G17" s="1"/>
  <c r="H15" l="1"/>
  <c r="M15"/>
  <c r="F16"/>
  <c r="J18"/>
  <c r="N17"/>
  <c r="E18"/>
  <c r="G18" s="1"/>
  <c r="H16" l="1"/>
  <c r="M16"/>
  <c r="F17"/>
  <c r="J19"/>
  <c r="N18"/>
  <c r="E19"/>
  <c r="G19" s="1"/>
  <c r="H17" l="1"/>
  <c r="M17"/>
  <c r="F18"/>
  <c r="N19"/>
  <c r="J20"/>
  <c r="E20"/>
  <c r="G20" s="1"/>
  <c r="H18" l="1"/>
  <c r="M18"/>
  <c r="F19"/>
  <c r="J21"/>
  <c r="N20"/>
  <c r="E21"/>
  <c r="G21" s="1"/>
  <c r="H19" l="1"/>
  <c r="M19"/>
  <c r="F20"/>
  <c r="J22"/>
  <c r="N21"/>
  <c r="E22"/>
  <c r="G22" s="1"/>
  <c r="H20" l="1"/>
  <c r="M20"/>
  <c r="F21"/>
  <c r="J23"/>
  <c r="N22"/>
  <c r="E23"/>
  <c r="G23" s="1"/>
  <c r="H21" l="1"/>
  <c r="M21"/>
  <c r="F22"/>
  <c r="N23"/>
  <c r="H22" l="1"/>
  <c r="M22"/>
  <c r="F23"/>
  <c r="H23" l="1"/>
  <c r="M23"/>
  <c r="E8" i="2" l="1"/>
  <c r="E9"/>
  <c r="F8"/>
  <c r="F9"/>
  <c r="H8"/>
  <c r="H9"/>
  <c r="F7"/>
  <c r="E7"/>
  <c r="H7" s="1"/>
  <c r="E6"/>
  <c r="F6"/>
  <c r="F5"/>
  <c r="E5"/>
  <c r="F15"/>
  <c r="E15"/>
  <c r="F14"/>
  <c r="E14"/>
  <c r="F13"/>
  <c r="E13"/>
  <c r="F12"/>
  <c r="E12"/>
  <c r="E11"/>
  <c r="H11" s="1"/>
  <c r="F6" i="1"/>
  <c r="E6"/>
  <c r="F7"/>
  <c r="E7"/>
  <c r="F8"/>
  <c r="E8"/>
  <c r="F9"/>
  <c r="E9"/>
  <c r="E11"/>
  <c r="F11"/>
  <c r="H6" l="1"/>
  <c r="H7"/>
  <c r="H8"/>
  <c r="H12" i="2"/>
  <c r="H13"/>
  <c r="H14"/>
  <c r="H15"/>
  <c r="H11" i="1"/>
  <c r="H9"/>
  <c r="H6" i="2"/>
</calcChain>
</file>

<file path=xl/sharedStrings.xml><?xml version="1.0" encoding="utf-8"?>
<sst xmlns="http://schemas.openxmlformats.org/spreadsheetml/2006/main" count="94" uniqueCount="60">
  <si>
    <t>연간부과량</t>
  </si>
  <si>
    <t>부과액</t>
  </si>
  <si>
    <t>처리원가</t>
  </si>
  <si>
    <t>처리금액</t>
  </si>
  <si>
    <t>현실화율</t>
  </si>
  <si>
    <t>(천톤)</t>
  </si>
  <si>
    <t>(백만원)</t>
  </si>
  <si>
    <t>(원/톤)</t>
  </si>
  <si>
    <t>(%)</t>
  </si>
  <si>
    <t>전  국</t>
  </si>
  <si>
    <t>2004년</t>
  </si>
  <si>
    <t>2005년</t>
  </si>
  <si>
    <t>2006년</t>
  </si>
  <si>
    <t>2007년</t>
  </si>
  <si>
    <t>구  분</t>
    <phoneticPr fontId="1" type="noConversion"/>
  </si>
  <si>
    <t>년 도</t>
  </si>
  <si>
    <t>(년)</t>
  </si>
  <si>
    <t>(㎥/일)</t>
  </si>
  <si>
    <t>(천㎥/년)</t>
  </si>
  <si>
    <t>단 가</t>
  </si>
  <si>
    <t>평균원가</t>
    <phoneticPr fontId="1" type="noConversion"/>
  </si>
  <si>
    <t>2003년</t>
    <phoneticPr fontId="1" type="noConversion"/>
  </si>
  <si>
    <t>보령시</t>
    <phoneticPr fontId="1" type="noConversion"/>
  </si>
  <si>
    <t>계획 
하수량</t>
    <phoneticPr fontId="1" type="noConversion"/>
  </si>
  <si>
    <t>년간 
하수량</t>
    <phoneticPr fontId="1" type="noConversion"/>
  </si>
  <si>
    <t>년간 
투자비</t>
    <phoneticPr fontId="1" type="noConversion"/>
  </si>
  <si>
    <t>누가 
투자비</t>
    <phoneticPr fontId="1" type="noConversion"/>
  </si>
  <si>
    <t>누가 
부과액</t>
    <phoneticPr fontId="1" type="noConversion"/>
  </si>
  <si>
    <t>년간 
비용분석</t>
    <phoneticPr fontId="1" type="noConversion"/>
  </si>
  <si>
    <t>누가 
비용분석</t>
    <phoneticPr fontId="1" type="noConversion"/>
  </si>
  <si>
    <t>(일평균)</t>
    <phoneticPr fontId="1" type="noConversion"/>
  </si>
  <si>
    <t>(원/톤)</t>
    <phoneticPr fontId="1" type="noConversion"/>
  </si>
  <si>
    <t>2008년</t>
  </si>
  <si>
    <t>2008년</t>
    <phoneticPr fontId="1" type="noConversion"/>
  </si>
  <si>
    <t>년간 인상률</t>
    <phoneticPr fontId="1" type="noConversion"/>
  </si>
  <si>
    <t>2010년</t>
    <phoneticPr fontId="1" type="noConversion"/>
  </si>
  <si>
    <t>2011년</t>
    <phoneticPr fontId="1" type="noConversion"/>
  </si>
  <si>
    <t>2012년</t>
  </si>
  <si>
    <t>2013년</t>
  </si>
  <si>
    <t>2014년</t>
  </si>
  <si>
    <t>2015년</t>
  </si>
  <si>
    <t>2016년</t>
  </si>
  <si>
    <t>2017년</t>
  </si>
  <si>
    <t>2018년</t>
  </si>
  <si>
    <t>2019년</t>
  </si>
  <si>
    <t>2020년</t>
  </si>
  <si>
    <t>2021년</t>
  </si>
  <si>
    <t>2022년</t>
  </si>
  <si>
    <t>2023년</t>
  </si>
  <si>
    <t>2024년</t>
  </si>
  <si>
    <t>2025년</t>
  </si>
  <si>
    <t>누가부과액</t>
    <phoneticPr fontId="1" type="noConversion"/>
  </si>
  <si>
    <t>누가투자비</t>
    <phoneticPr fontId="1" type="noConversion"/>
  </si>
  <si>
    <t xml:space="preserve">  1) 보령시하수도요금 현황</t>
    <phoneticPr fontId="5" type="noConversion"/>
  </si>
  <si>
    <t xml:space="preserve">  2) 전국하수도요금 현황</t>
    <phoneticPr fontId="5" type="noConversion"/>
  </si>
  <si>
    <t xml:space="preserve">  3) 하수도 수입분석</t>
    <phoneticPr fontId="5" type="noConversion"/>
  </si>
  <si>
    <t>2009년</t>
    <phoneticPr fontId="1" type="noConversion"/>
  </si>
  <si>
    <t>2008년</t>
    <phoneticPr fontId="1" type="noConversion"/>
  </si>
  <si>
    <t>년간 하수도사용료22% 인상</t>
    <phoneticPr fontId="1" type="noConversion"/>
  </si>
  <si>
    <t>10.6 하수도요금 현실화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</si>
</sst>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-* #,##0.0_-;\-* #,##0.0_-;_-* &quot;-&quot;_-;_-@_-"/>
    <numFmt numFmtId="177" formatCode="#,##0_ 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돋움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sz val="1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0"/>
      <name val="돋움"/>
      <family val="3"/>
      <charset val="129"/>
    </font>
    <font>
      <sz val="11"/>
      <name val="(한)문화방송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2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176" fontId="8" fillId="0" borderId="5" xfId="1" applyNumberFormat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176" fontId="8" fillId="0" borderId="8" xfId="1" applyNumberFormat="1" applyFont="1" applyBorder="1" applyAlignment="1">
      <alignment horizontal="center" vertical="center"/>
    </xf>
    <xf numFmtId="41" fontId="8" fillId="0" borderId="8" xfId="1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41" fontId="8" fillId="0" borderId="5" xfId="1" applyFont="1" applyBorder="1" applyAlignment="1">
      <alignment horizontal="center" vertical="center"/>
    </xf>
    <xf numFmtId="41" fontId="10" fillId="0" borderId="5" xfId="1" applyFont="1" applyBorder="1" applyAlignment="1">
      <alignment horizontal="center" vertical="center" wrapText="1"/>
    </xf>
    <xf numFmtId="41" fontId="10" fillId="0" borderId="5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177" fontId="8" fillId="0" borderId="14" xfId="1" applyNumberFormat="1" applyFont="1" applyBorder="1" applyAlignment="1">
      <alignment horizontal="center" vertical="center" wrapText="1"/>
    </xf>
    <xf numFmtId="177" fontId="12" fillId="0" borderId="14" xfId="1" applyNumberFormat="1" applyFont="1" applyBorder="1" applyAlignment="1">
      <alignment horizontal="center" vertical="center" wrapText="1"/>
    </xf>
    <xf numFmtId="177" fontId="8" fillId="0" borderId="15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1" fontId="8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1" fontId="8" fillId="0" borderId="8" xfId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center" vertical="center"/>
    </xf>
    <xf numFmtId="176" fontId="8" fillId="0" borderId="9" xfId="1" applyNumberFormat="1" applyFont="1" applyFill="1" applyBorder="1" applyAlignment="1">
      <alignment horizontal="center" vertical="center"/>
    </xf>
    <xf numFmtId="9" fontId="0" fillId="0" borderId="0" xfId="3" applyFont="1">
      <alignment vertical="center"/>
    </xf>
    <xf numFmtId="177" fontId="0" fillId="0" borderId="0" xfId="0" applyNumberFormat="1">
      <alignment vertical="center"/>
    </xf>
    <xf numFmtId="0" fontId="11" fillId="2" borderId="11" xfId="0" applyFont="1" applyFill="1" applyBorder="1" applyAlignment="1">
      <alignment horizontal="center" vertical="center" wrapText="1"/>
    </xf>
    <xf numFmtId="41" fontId="4" fillId="0" borderId="0" xfId="4" applyFont="1" applyFill="1" applyAlignment="1">
      <alignment horizontal="left" vertical="center"/>
    </xf>
    <xf numFmtId="41" fontId="13" fillId="0" borderId="0" xfId="4" applyFont="1" applyFill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41" fontId="10" fillId="0" borderId="8" xfId="1" applyFont="1" applyFill="1" applyBorder="1" applyAlignment="1">
      <alignment horizontal="center" vertical="center" wrapText="1"/>
    </xf>
    <xf numFmtId="41" fontId="14" fillId="0" borderId="0" xfId="4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</cellXfs>
  <cellStyles count="5">
    <cellStyle name="백분율" xfId="3" builtinId="5"/>
    <cellStyle name="쉼표 [0]" xfId="1" builtinId="6"/>
    <cellStyle name="쉼표 [0] 2 2" xfId="4"/>
    <cellStyle name="표준" xfId="0" builtinId="0"/>
    <cellStyle name="표준_고양과거인구자료 (ve-1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style val="26"/>
  <c:chart>
    <c:plotArea>
      <c:layout>
        <c:manualLayout>
          <c:layoutTarget val="inner"/>
          <c:xMode val="edge"/>
          <c:yMode val="edge"/>
          <c:x val="0.13950276243093923"/>
          <c:y val="8.6253369272237548E-2"/>
          <c:w val="0.850828729281768"/>
          <c:h val="0.7493261455525605"/>
        </c:manualLayout>
      </c:layout>
      <c:barChart>
        <c:barDir val="col"/>
        <c:grouping val="clustered"/>
        <c:ser>
          <c:idx val="0"/>
          <c:order val="0"/>
          <c:tx>
            <c:strRef>
              <c:f>'1.보령시하수도요금 현황'!$E$4:$E$5</c:f>
              <c:strCache>
                <c:ptCount val="1"/>
                <c:pt idx="0">
                  <c:v>처리원가 (원/톤)</c:v>
                </c:pt>
              </c:strCache>
            </c:strRef>
          </c:tx>
          <c:cat>
            <c:strRef>
              <c:f>'1.보령시하수도요금 현황'!$B$6:$B$11</c:f>
              <c:strCache>
                <c:ptCount val="6"/>
                <c:pt idx="0">
                  <c:v>2003년</c:v>
                </c:pt>
                <c:pt idx="1">
                  <c:v>2004년</c:v>
                </c:pt>
                <c:pt idx="2">
                  <c:v>2005년</c:v>
                </c:pt>
                <c:pt idx="3">
                  <c:v>2006년</c:v>
                </c:pt>
                <c:pt idx="4">
                  <c:v>2007년</c:v>
                </c:pt>
                <c:pt idx="5">
                  <c:v>2008년</c:v>
                </c:pt>
              </c:strCache>
            </c:strRef>
          </c:cat>
          <c:val>
            <c:numRef>
              <c:f>'1.보령시하수도요금 현황'!$E$6:$E$11</c:f>
              <c:numCache>
                <c:formatCode>_-* #,##0.0_-;\-* #,##0.0_-;_-* "-"_-;_-@_-</c:formatCode>
                <c:ptCount val="6"/>
                <c:pt idx="0">
                  <c:v>600.1</c:v>
                </c:pt>
                <c:pt idx="1">
                  <c:v>1066.7</c:v>
                </c:pt>
                <c:pt idx="2">
                  <c:v>1052.8</c:v>
                </c:pt>
                <c:pt idx="3">
                  <c:v>1313.4</c:v>
                </c:pt>
                <c:pt idx="4">
                  <c:v>1606.6</c:v>
                </c:pt>
                <c:pt idx="5">
                  <c:v>1938.8</c:v>
                </c:pt>
              </c:numCache>
            </c:numRef>
          </c:val>
        </c:ser>
        <c:ser>
          <c:idx val="1"/>
          <c:order val="1"/>
          <c:tx>
            <c:strRef>
              <c:f>'1.보령시하수도요금 현황'!$F$4:$F$5</c:f>
              <c:strCache>
                <c:ptCount val="1"/>
                <c:pt idx="0">
                  <c:v>평균원가 (원/톤)</c:v>
                </c:pt>
              </c:strCache>
            </c:strRef>
          </c:tx>
          <c:val>
            <c:numRef>
              <c:f>'1.보령시하수도요금 현황'!$F$6:$F$11</c:f>
              <c:numCache>
                <c:formatCode>_-* #,##0.0_-;\-* #,##0.0_-;_-* "-"_-;_-@_-</c:formatCode>
                <c:ptCount val="6"/>
                <c:pt idx="0">
                  <c:v>123</c:v>
                </c:pt>
                <c:pt idx="1">
                  <c:v>138.5</c:v>
                </c:pt>
                <c:pt idx="2">
                  <c:v>139.80000000000001</c:v>
                </c:pt>
                <c:pt idx="3">
                  <c:v>178.6</c:v>
                </c:pt>
                <c:pt idx="4">
                  <c:v>139.30000000000001</c:v>
                </c:pt>
                <c:pt idx="5">
                  <c:v>168</c:v>
                </c:pt>
              </c:numCache>
            </c:numRef>
          </c:val>
        </c:ser>
        <c:axId val="64427136"/>
        <c:axId val="64429440"/>
      </c:barChart>
      <c:catAx>
        <c:axId val="64427136"/>
        <c:scaling>
          <c:orientation val="minMax"/>
        </c:scaling>
        <c:axPos val="b"/>
        <c:numFmt formatCode="_-* #,##0.0_-;\-* #,##0.0_-;_-* &quot;-&quot;_-;_-@_-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64429440"/>
        <c:crosses val="autoZero"/>
        <c:auto val="1"/>
        <c:lblAlgn val="ctr"/>
        <c:lblOffset val="100"/>
        <c:tickLblSkip val="1"/>
        <c:tickMarkSkip val="1"/>
      </c:catAx>
      <c:valAx>
        <c:axId val="6442944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ko-KR"/>
                  <a:t>원</a:t>
                </a:r>
                <a:r>
                  <a:rPr lang="en-US"/>
                  <a:t>/</a:t>
                </a:r>
                <a:r>
                  <a:rPr lang="ko-KR"/>
                  <a:t>톤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3204316127150768E-2"/>
              <c:y val="7.8035451048071253E-4"/>
            </c:manualLayout>
          </c:layout>
        </c:title>
        <c:numFmt formatCode="_-* #,##0.0_-;\-* #,##0.0_-;_-* &quot;-&quot;_-;_-@_-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6442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772020699236063"/>
          <c:y val="9.1176064292273068E-2"/>
          <c:w val="0.45814094855963583"/>
          <c:h val="0.16008255933952517"/>
        </c:manualLayout>
      </c:layout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>
        <c:manualLayout>
          <c:layoutTarget val="inner"/>
          <c:xMode val="edge"/>
          <c:yMode val="edge"/>
          <c:x val="0.13179031972521521"/>
          <c:y val="4.0893258508432312E-2"/>
          <c:w val="0.81588634576781638"/>
          <c:h val="0.80446743866986181"/>
        </c:manualLayout>
      </c:layout>
      <c:lineChart>
        <c:grouping val="standard"/>
        <c:ser>
          <c:idx val="0"/>
          <c:order val="0"/>
          <c:tx>
            <c:strRef>
              <c:f>'3.하수도수입분석'!$M$5</c:f>
              <c:strCache>
                <c:ptCount val="1"/>
                <c:pt idx="0">
                  <c:v>누가부과액</c:v>
                </c:pt>
              </c:strCache>
            </c:strRef>
          </c:tx>
          <c:marker>
            <c:symbol val="triangle"/>
            <c:size val="5"/>
          </c:marker>
          <c:cat>
            <c:strRef>
              <c:f>'3.하수도수입분석'!$L$8:$L$23</c:f>
              <c:strCache>
                <c:ptCount val="16"/>
                <c:pt idx="0">
                  <c:v>2010년</c:v>
                </c:pt>
                <c:pt idx="1">
                  <c:v>2011년</c:v>
                </c:pt>
                <c:pt idx="2">
                  <c:v>2012년</c:v>
                </c:pt>
                <c:pt idx="3">
                  <c:v>2013년</c:v>
                </c:pt>
                <c:pt idx="4">
                  <c:v>2014년</c:v>
                </c:pt>
                <c:pt idx="5">
                  <c:v>2015년</c:v>
                </c:pt>
                <c:pt idx="6">
                  <c:v>2016년</c:v>
                </c:pt>
                <c:pt idx="7">
                  <c:v>2017년</c:v>
                </c:pt>
                <c:pt idx="8">
                  <c:v>2018년</c:v>
                </c:pt>
                <c:pt idx="9">
                  <c:v>2019년</c:v>
                </c:pt>
                <c:pt idx="10">
                  <c:v>2020년</c:v>
                </c:pt>
                <c:pt idx="11">
                  <c:v>2021년</c:v>
                </c:pt>
                <c:pt idx="12">
                  <c:v>2022년</c:v>
                </c:pt>
                <c:pt idx="13">
                  <c:v>2023년</c:v>
                </c:pt>
                <c:pt idx="14">
                  <c:v>2024년</c:v>
                </c:pt>
                <c:pt idx="15">
                  <c:v>2025년</c:v>
                </c:pt>
              </c:strCache>
            </c:strRef>
          </c:cat>
          <c:val>
            <c:numRef>
              <c:f>'3.하수도수입분석'!$M$8:$M$23</c:f>
              <c:numCache>
                <c:formatCode>#,##0_ </c:formatCode>
                <c:ptCount val="16"/>
                <c:pt idx="0">
                  <c:v>2241</c:v>
                </c:pt>
                <c:pt idx="1">
                  <c:v>5086</c:v>
                </c:pt>
                <c:pt idx="2">
                  <c:v>8691</c:v>
                </c:pt>
                <c:pt idx="3">
                  <c:v>13256</c:v>
                </c:pt>
                <c:pt idx="4">
                  <c:v>19029</c:v>
                </c:pt>
                <c:pt idx="5">
                  <c:v>26320</c:v>
                </c:pt>
                <c:pt idx="6">
                  <c:v>35506</c:v>
                </c:pt>
                <c:pt idx="7">
                  <c:v>47071</c:v>
                </c:pt>
                <c:pt idx="8">
                  <c:v>61615</c:v>
                </c:pt>
                <c:pt idx="9">
                  <c:v>79879</c:v>
                </c:pt>
                <c:pt idx="10">
                  <c:v>102802</c:v>
                </c:pt>
                <c:pt idx="11">
                  <c:v>131107</c:v>
                </c:pt>
                <c:pt idx="12">
                  <c:v>166057</c:v>
                </c:pt>
                <c:pt idx="13">
                  <c:v>209207</c:v>
                </c:pt>
                <c:pt idx="14">
                  <c:v>262479</c:v>
                </c:pt>
                <c:pt idx="15">
                  <c:v>328221</c:v>
                </c:pt>
              </c:numCache>
            </c:numRef>
          </c:val>
        </c:ser>
        <c:ser>
          <c:idx val="1"/>
          <c:order val="1"/>
          <c:tx>
            <c:strRef>
              <c:f>'3.하수도수입분석'!$N$5</c:f>
              <c:strCache>
                <c:ptCount val="1"/>
                <c:pt idx="0">
                  <c:v>누가투자비</c:v>
                </c:pt>
              </c:strCache>
            </c:strRef>
          </c:tx>
          <c:marker>
            <c:symbol val="square"/>
            <c:size val="5"/>
          </c:marker>
          <c:cat>
            <c:strRef>
              <c:f>'3.하수도수입분석'!$L$8:$L$23</c:f>
              <c:strCache>
                <c:ptCount val="16"/>
                <c:pt idx="0">
                  <c:v>2010년</c:v>
                </c:pt>
                <c:pt idx="1">
                  <c:v>2011년</c:v>
                </c:pt>
                <c:pt idx="2">
                  <c:v>2012년</c:v>
                </c:pt>
                <c:pt idx="3">
                  <c:v>2013년</c:v>
                </c:pt>
                <c:pt idx="4">
                  <c:v>2014년</c:v>
                </c:pt>
                <c:pt idx="5">
                  <c:v>2015년</c:v>
                </c:pt>
                <c:pt idx="6">
                  <c:v>2016년</c:v>
                </c:pt>
                <c:pt idx="7">
                  <c:v>2017년</c:v>
                </c:pt>
                <c:pt idx="8">
                  <c:v>2018년</c:v>
                </c:pt>
                <c:pt idx="9">
                  <c:v>2019년</c:v>
                </c:pt>
                <c:pt idx="10">
                  <c:v>2020년</c:v>
                </c:pt>
                <c:pt idx="11">
                  <c:v>2021년</c:v>
                </c:pt>
                <c:pt idx="12">
                  <c:v>2022년</c:v>
                </c:pt>
                <c:pt idx="13">
                  <c:v>2023년</c:v>
                </c:pt>
                <c:pt idx="14">
                  <c:v>2024년</c:v>
                </c:pt>
                <c:pt idx="15">
                  <c:v>2025년</c:v>
                </c:pt>
              </c:strCache>
            </c:strRef>
          </c:cat>
          <c:val>
            <c:numRef>
              <c:f>'3.하수도수입분석'!$N$8:$N$23</c:f>
              <c:numCache>
                <c:formatCode>#,##0_ </c:formatCode>
                <c:ptCount val="16"/>
                <c:pt idx="0">
                  <c:v>2486</c:v>
                </c:pt>
                <c:pt idx="1">
                  <c:v>28562</c:v>
                </c:pt>
                <c:pt idx="2">
                  <c:v>54638</c:v>
                </c:pt>
                <c:pt idx="3">
                  <c:v>80714</c:v>
                </c:pt>
                <c:pt idx="4">
                  <c:v>106790</c:v>
                </c:pt>
                <c:pt idx="5">
                  <c:v>134820</c:v>
                </c:pt>
                <c:pt idx="6">
                  <c:v>151770</c:v>
                </c:pt>
                <c:pt idx="7">
                  <c:v>168720</c:v>
                </c:pt>
                <c:pt idx="8">
                  <c:v>185670</c:v>
                </c:pt>
                <c:pt idx="9">
                  <c:v>202620</c:v>
                </c:pt>
                <c:pt idx="10">
                  <c:v>220325</c:v>
                </c:pt>
                <c:pt idx="11">
                  <c:v>235717</c:v>
                </c:pt>
                <c:pt idx="12">
                  <c:v>251109</c:v>
                </c:pt>
                <c:pt idx="13">
                  <c:v>266501</c:v>
                </c:pt>
                <c:pt idx="14">
                  <c:v>281893</c:v>
                </c:pt>
                <c:pt idx="15">
                  <c:v>297485</c:v>
                </c:pt>
              </c:numCache>
            </c:numRef>
          </c:val>
        </c:ser>
        <c:marker val="1"/>
        <c:axId val="65626112"/>
        <c:axId val="65628416"/>
      </c:lineChart>
      <c:catAx>
        <c:axId val="65626112"/>
        <c:scaling>
          <c:orientation val="minMax"/>
        </c:scaling>
        <c:axPos val="b"/>
        <c:tickLblPos val="nextTo"/>
        <c:crossAx val="65628416"/>
        <c:crosses val="autoZero"/>
        <c:auto val="1"/>
        <c:lblAlgn val="ctr"/>
        <c:lblOffset val="100"/>
        <c:tickLblSkip val="5"/>
        <c:tickMarkSkip val="10"/>
      </c:catAx>
      <c:valAx>
        <c:axId val="65628416"/>
        <c:scaling>
          <c:orientation val="minMax"/>
        </c:scaling>
        <c:axPos val="l"/>
        <c:majorGridlines/>
        <c:numFmt formatCode="#,##0_ " sourceLinked="1"/>
        <c:tickLblPos val="nextTo"/>
        <c:crossAx val="65626112"/>
        <c:crosses val="autoZero"/>
        <c:crossBetween val="between"/>
        <c:majorUnit val="100000"/>
        <c:minorUnit val="2000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453046981847056"/>
          <c:y val="6.2385105265461545E-2"/>
          <c:w val="0.40733159796533908"/>
          <c:h val="0.1152748739172111"/>
        </c:manualLayout>
      </c:layout>
      <c:spPr>
        <a:solidFill>
          <a:schemeClr val="bg1"/>
        </a:solidFill>
        <a:ln>
          <a:solidFill>
            <a:schemeClr val="tx1"/>
          </a:solidFill>
        </a:ln>
      </c:sp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3375" y="3524250"/>
    <xdr:ext cx="5610225" cy="2743200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107574</xdr:colOff>
      <xdr:row>30</xdr:row>
      <xdr:rowOff>74518</xdr:rowOff>
    </xdr:from>
    <xdr:to>
      <xdr:col>16</xdr:col>
      <xdr:colOff>448235</xdr:colOff>
      <xdr:row>44</xdr:row>
      <xdr:rowOff>22412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view="pageBreakPreview" zoomScaleNormal="100" zoomScaleSheetLayoutView="100" workbookViewId="0"/>
  </sheetViews>
  <sheetFormatPr defaultRowHeight="16.5"/>
  <cols>
    <col min="1" max="1" width="7.125" bestFit="1" customWidth="1"/>
    <col min="2" max="2" width="7.375" bestFit="1" customWidth="1"/>
    <col min="3" max="3" width="11.875" customWidth="1"/>
    <col min="4" max="4" width="11" customWidth="1"/>
    <col min="5" max="5" width="10.875" customWidth="1"/>
    <col min="6" max="6" width="10.625" customWidth="1"/>
    <col min="7" max="7" width="11.125" customWidth="1"/>
    <col min="8" max="8" width="10.25" customWidth="1"/>
  </cols>
  <sheetData>
    <row r="1" spans="1:11">
      <c r="A1" s="47" t="s">
        <v>59</v>
      </c>
    </row>
    <row r="2" spans="1:11" ht="30.75" customHeight="1">
      <c r="A2" s="44" t="s">
        <v>53</v>
      </c>
      <c r="B2" s="2"/>
      <c r="C2" s="2"/>
      <c r="D2" s="2"/>
      <c r="E2" s="2"/>
    </row>
    <row r="4" spans="1:11" ht="24.95" customHeight="1">
      <c r="A4" s="48" t="s">
        <v>14</v>
      </c>
      <c r="B4" s="49"/>
      <c r="C4" s="3" t="s">
        <v>0</v>
      </c>
      <c r="D4" s="3" t="s">
        <v>1</v>
      </c>
      <c r="E4" s="3" t="s">
        <v>2</v>
      </c>
      <c r="F4" s="3" t="s">
        <v>20</v>
      </c>
      <c r="G4" s="3" t="s">
        <v>3</v>
      </c>
      <c r="H4" s="4" t="s">
        <v>4</v>
      </c>
    </row>
    <row r="5" spans="1:11" ht="24.95" customHeight="1">
      <c r="A5" s="50"/>
      <c r="B5" s="51"/>
      <c r="C5" s="5" t="s">
        <v>5</v>
      </c>
      <c r="D5" s="5" t="s">
        <v>6</v>
      </c>
      <c r="E5" s="5" t="s">
        <v>7</v>
      </c>
      <c r="F5" s="5" t="s">
        <v>7</v>
      </c>
      <c r="G5" s="5" t="s">
        <v>6</v>
      </c>
      <c r="H5" s="6" t="s">
        <v>8</v>
      </c>
    </row>
    <row r="6" spans="1:11" ht="24.95" customHeight="1">
      <c r="A6" s="52" t="s">
        <v>22</v>
      </c>
      <c r="B6" s="7" t="s">
        <v>21</v>
      </c>
      <c r="C6" s="9">
        <v>5991</v>
      </c>
      <c r="D6" s="9">
        <v>737</v>
      </c>
      <c r="E6" s="9">
        <f t="shared" ref="E6:E11" si="0">ROUND(G6/C6*1000,1)</f>
        <v>600.1</v>
      </c>
      <c r="F6" s="9">
        <f t="shared" ref="F6:F11" si="1">ROUND(D6/C6*1000,1)</f>
        <v>123</v>
      </c>
      <c r="G6" s="10">
        <v>3595</v>
      </c>
      <c r="H6" s="11">
        <f t="shared" ref="H6:H11" si="2">ROUND(F6/E6*100,1)</f>
        <v>20.5</v>
      </c>
    </row>
    <row r="7" spans="1:11" ht="24.95" customHeight="1">
      <c r="A7" s="52"/>
      <c r="B7" s="7" t="s">
        <v>10</v>
      </c>
      <c r="C7" s="9">
        <v>6417</v>
      </c>
      <c r="D7" s="9">
        <v>889</v>
      </c>
      <c r="E7" s="9">
        <f t="shared" si="0"/>
        <v>1066.7</v>
      </c>
      <c r="F7" s="9">
        <f t="shared" si="1"/>
        <v>138.5</v>
      </c>
      <c r="G7" s="10">
        <v>6845</v>
      </c>
      <c r="H7" s="11">
        <f t="shared" si="2"/>
        <v>13</v>
      </c>
    </row>
    <row r="8" spans="1:11" ht="24.95" customHeight="1">
      <c r="A8" s="52"/>
      <c r="B8" s="7" t="s">
        <v>11</v>
      </c>
      <c r="C8" s="9">
        <v>6502</v>
      </c>
      <c r="D8" s="9">
        <v>909</v>
      </c>
      <c r="E8" s="9">
        <f t="shared" si="0"/>
        <v>1052.8</v>
      </c>
      <c r="F8" s="9">
        <f t="shared" si="1"/>
        <v>139.80000000000001</v>
      </c>
      <c r="G8" s="10">
        <v>6845</v>
      </c>
      <c r="H8" s="11">
        <f t="shared" si="2"/>
        <v>13.3</v>
      </c>
    </row>
    <row r="9" spans="1:11" ht="24.95" customHeight="1">
      <c r="A9" s="52"/>
      <c r="B9" s="7" t="s">
        <v>12</v>
      </c>
      <c r="C9" s="9">
        <v>7375</v>
      </c>
      <c r="D9" s="9">
        <v>1317</v>
      </c>
      <c r="E9" s="9">
        <f t="shared" si="0"/>
        <v>1313.4</v>
      </c>
      <c r="F9" s="9">
        <f t="shared" si="1"/>
        <v>178.6</v>
      </c>
      <c r="G9" s="10">
        <v>9686</v>
      </c>
      <c r="H9" s="11">
        <f t="shared" si="2"/>
        <v>13.6</v>
      </c>
    </row>
    <row r="10" spans="1:11" ht="24.95" customHeight="1">
      <c r="A10" s="53"/>
      <c r="B10" s="7" t="s">
        <v>13</v>
      </c>
      <c r="C10" s="9">
        <v>6029</v>
      </c>
      <c r="D10" s="9">
        <v>840</v>
      </c>
      <c r="E10" s="9">
        <f t="shared" si="0"/>
        <v>1606.6</v>
      </c>
      <c r="F10" s="9">
        <f t="shared" si="1"/>
        <v>139.30000000000001</v>
      </c>
      <c r="G10" s="10">
        <v>9686</v>
      </c>
      <c r="H10" s="11">
        <f t="shared" si="2"/>
        <v>8.6999999999999993</v>
      </c>
    </row>
    <row r="11" spans="1:11" ht="24.95" customHeight="1">
      <c r="A11" s="54"/>
      <c r="B11" s="12" t="s">
        <v>33</v>
      </c>
      <c r="C11" s="13">
        <v>6535</v>
      </c>
      <c r="D11" s="13">
        <v>1098</v>
      </c>
      <c r="E11" s="13">
        <f t="shared" si="0"/>
        <v>1938.8</v>
      </c>
      <c r="F11" s="13">
        <f t="shared" si="1"/>
        <v>168</v>
      </c>
      <c r="G11" s="14">
        <v>12670</v>
      </c>
      <c r="H11" s="15">
        <f t="shared" si="2"/>
        <v>8.6999999999999993</v>
      </c>
    </row>
    <row r="12" spans="1:11">
      <c r="K12" s="43"/>
    </row>
    <row r="13" spans="1:11">
      <c r="K13" s="44"/>
    </row>
  </sheetData>
  <mergeCells count="2">
    <mergeCell ref="A4:B5"/>
    <mergeCell ref="A6:A1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view="pageBreakPreview" topLeftCell="A10" zoomScaleNormal="100" zoomScaleSheetLayoutView="100" workbookViewId="0">
      <selection activeCell="G22" sqref="G22"/>
    </sheetView>
  </sheetViews>
  <sheetFormatPr defaultRowHeight="16.5"/>
  <cols>
    <col min="1" max="1" width="7.125" style="1" bestFit="1" customWidth="1"/>
    <col min="2" max="2" width="8.5" style="1" customWidth="1"/>
    <col min="3" max="3" width="12.375" style="1" bestFit="1" customWidth="1"/>
    <col min="4" max="4" width="11.75" style="1" bestFit="1" customWidth="1"/>
    <col min="5" max="5" width="10.125" style="1" bestFit="1" customWidth="1"/>
    <col min="6" max="6" width="9.375" style="1" bestFit="1" customWidth="1"/>
    <col min="7" max="7" width="14.625" style="1" bestFit="1" customWidth="1"/>
    <col min="8" max="8" width="9.375" style="1" bestFit="1" customWidth="1"/>
    <col min="9" max="16384" width="9" style="1"/>
  </cols>
  <sheetData>
    <row r="1" spans="1:8" ht="26.25" customHeight="1">
      <c r="A1" s="44" t="s">
        <v>54</v>
      </c>
      <c r="B1" s="2"/>
      <c r="C1" s="2"/>
    </row>
    <row r="3" spans="1:8" ht="24.95" customHeight="1">
      <c r="A3" s="48" t="s">
        <v>14</v>
      </c>
      <c r="B3" s="49"/>
      <c r="C3" s="3" t="s">
        <v>0</v>
      </c>
      <c r="D3" s="3" t="s">
        <v>1</v>
      </c>
      <c r="E3" s="3" t="s">
        <v>2</v>
      </c>
      <c r="F3" s="3" t="s">
        <v>20</v>
      </c>
      <c r="G3" s="3" t="s">
        <v>3</v>
      </c>
      <c r="H3" s="4" t="s">
        <v>4</v>
      </c>
    </row>
    <row r="4" spans="1:8" ht="24.95" customHeight="1">
      <c r="A4" s="50"/>
      <c r="B4" s="51"/>
      <c r="C4" s="5" t="s">
        <v>5</v>
      </c>
      <c r="D4" s="5" t="s">
        <v>6</v>
      </c>
      <c r="E4" s="5" t="s">
        <v>7</v>
      </c>
      <c r="F4" s="5" t="s">
        <v>7</v>
      </c>
      <c r="G4" s="5" t="s">
        <v>6</v>
      </c>
      <c r="H4" s="6" t="s">
        <v>8</v>
      </c>
    </row>
    <row r="5" spans="1:8" ht="24.95" customHeight="1">
      <c r="A5" s="53" t="s">
        <v>9</v>
      </c>
      <c r="B5" s="8" t="s">
        <v>21</v>
      </c>
      <c r="C5" s="16">
        <v>4577440</v>
      </c>
      <c r="D5" s="16">
        <v>828975</v>
      </c>
      <c r="E5" s="9">
        <f>ROUND(G5/C5*1000,1)</f>
        <v>296.2</v>
      </c>
      <c r="F5" s="9">
        <f>ROUND(D5/C5*1000,1)</f>
        <v>181.1</v>
      </c>
      <c r="G5" s="16">
        <v>1355615</v>
      </c>
      <c r="H5" s="11">
        <v>61.2</v>
      </c>
    </row>
    <row r="6" spans="1:8" ht="24.95" customHeight="1">
      <c r="A6" s="56"/>
      <c r="B6" s="8" t="s">
        <v>10</v>
      </c>
      <c r="C6" s="16">
        <v>4691052.7209999999</v>
      </c>
      <c r="D6" s="16">
        <v>952031.98</v>
      </c>
      <c r="E6" s="9">
        <f>ROUND(G6/C6*1000,1)</f>
        <v>325</v>
      </c>
      <c r="F6" s="9">
        <f>ROUND(D6/C6*1000,1)</f>
        <v>202.9</v>
      </c>
      <c r="G6" s="16">
        <v>1524360.1053649141</v>
      </c>
      <c r="H6" s="11">
        <f>ROUND(F6/E6*100,1)</f>
        <v>62.4</v>
      </c>
    </row>
    <row r="7" spans="1:8" ht="24.95" customHeight="1">
      <c r="A7" s="56"/>
      <c r="B7" s="8" t="s">
        <v>11</v>
      </c>
      <c r="C7" s="17">
        <v>4787201.8849999998</v>
      </c>
      <c r="D7" s="17">
        <v>1046910.8659100001</v>
      </c>
      <c r="E7" s="9">
        <f>ROUND(G7/C7*1000,1)</f>
        <v>363</v>
      </c>
      <c r="F7" s="9">
        <f>ROUND(D7/C7*1000,1)</f>
        <v>218.7</v>
      </c>
      <c r="G7" s="17">
        <v>1737885.37925</v>
      </c>
      <c r="H7" s="11">
        <f t="shared" ref="H7:H10" si="0">ROUND(F7/E7*100,1)</f>
        <v>60.2</v>
      </c>
    </row>
    <row r="8" spans="1:8" ht="24.95" customHeight="1">
      <c r="A8" s="56"/>
      <c r="B8" s="8" t="s">
        <v>12</v>
      </c>
      <c r="C8" s="18">
        <v>4807600.3550000004</v>
      </c>
      <c r="D8" s="18">
        <v>1156708.02128</v>
      </c>
      <c r="E8" s="9">
        <f t="shared" ref="E8:E10" si="1">ROUND(G8/C8*1000,1)</f>
        <v>416.1</v>
      </c>
      <c r="F8" s="9">
        <f t="shared" ref="F8:F10" si="2">ROUND(D8/C8*1000,1)</f>
        <v>240.6</v>
      </c>
      <c r="G8" s="18">
        <v>2000450.1070000003</v>
      </c>
      <c r="H8" s="11">
        <f t="shared" si="0"/>
        <v>57.8</v>
      </c>
    </row>
    <row r="9" spans="1:8" ht="24.95" customHeight="1">
      <c r="A9" s="56"/>
      <c r="B9" s="8" t="s">
        <v>13</v>
      </c>
      <c r="C9" s="18">
        <v>4880939.9290000005</v>
      </c>
      <c r="D9" s="18">
        <v>1231738.4363500001</v>
      </c>
      <c r="E9" s="9">
        <f t="shared" si="1"/>
        <v>592.4</v>
      </c>
      <c r="F9" s="9">
        <f t="shared" si="2"/>
        <v>252.4</v>
      </c>
      <c r="G9" s="18">
        <v>2891371.28</v>
      </c>
      <c r="H9" s="11">
        <f t="shared" si="0"/>
        <v>42.6</v>
      </c>
    </row>
    <row r="10" spans="1:8" ht="24.95" customHeight="1">
      <c r="A10" s="57"/>
      <c r="B10" s="45" t="s">
        <v>32</v>
      </c>
      <c r="C10" s="46">
        <v>4924867</v>
      </c>
      <c r="D10" s="46">
        <v>1362256</v>
      </c>
      <c r="E10" s="13">
        <f t="shared" si="1"/>
        <v>666.7</v>
      </c>
      <c r="F10" s="13">
        <f t="shared" si="2"/>
        <v>276.60000000000002</v>
      </c>
      <c r="G10" s="46">
        <v>3283471</v>
      </c>
      <c r="H10" s="15">
        <f t="shared" si="0"/>
        <v>41.5</v>
      </c>
    </row>
    <row r="11" spans="1:8" ht="24.95" customHeight="1">
      <c r="A11" s="55" t="s">
        <v>22</v>
      </c>
      <c r="B11" s="32" t="s">
        <v>21</v>
      </c>
      <c r="C11" s="33">
        <v>5991</v>
      </c>
      <c r="D11" s="33">
        <v>737</v>
      </c>
      <c r="E11" s="34">
        <f t="shared" ref="E11:E16" si="3">ROUND(G11/C11*1000,1)</f>
        <v>600.1</v>
      </c>
      <c r="F11" s="34">
        <v>123.3</v>
      </c>
      <c r="G11" s="33">
        <v>3595</v>
      </c>
      <c r="H11" s="35">
        <f t="shared" ref="H11:H16" si="4">ROUND(F11/E11*100,1)</f>
        <v>20.5</v>
      </c>
    </row>
    <row r="12" spans="1:8" ht="24.95" customHeight="1">
      <c r="A12" s="52"/>
      <c r="B12" s="8" t="s">
        <v>10</v>
      </c>
      <c r="C12" s="16">
        <v>6417</v>
      </c>
      <c r="D12" s="16">
        <v>889</v>
      </c>
      <c r="E12" s="9">
        <f t="shared" si="3"/>
        <v>1066.7</v>
      </c>
      <c r="F12" s="9">
        <f>ROUND(D12/C12*1000,1)</f>
        <v>138.5</v>
      </c>
      <c r="G12" s="16">
        <v>6845</v>
      </c>
      <c r="H12" s="11">
        <f t="shared" si="4"/>
        <v>13</v>
      </c>
    </row>
    <row r="13" spans="1:8" ht="24.95" customHeight="1">
      <c r="A13" s="52"/>
      <c r="B13" s="8" t="s">
        <v>11</v>
      </c>
      <c r="C13" s="16">
        <v>6502</v>
      </c>
      <c r="D13" s="16">
        <v>909</v>
      </c>
      <c r="E13" s="9">
        <f t="shared" si="3"/>
        <v>1052.8</v>
      </c>
      <c r="F13" s="9">
        <f>ROUND(D13/C13*1000,1)</f>
        <v>139.80000000000001</v>
      </c>
      <c r="G13" s="16">
        <v>6845</v>
      </c>
      <c r="H13" s="11">
        <f t="shared" si="4"/>
        <v>13.3</v>
      </c>
    </row>
    <row r="14" spans="1:8" ht="24.95" customHeight="1">
      <c r="A14" s="52"/>
      <c r="B14" s="8" t="s">
        <v>12</v>
      </c>
      <c r="C14" s="16">
        <v>7375</v>
      </c>
      <c r="D14" s="16">
        <v>1317</v>
      </c>
      <c r="E14" s="9">
        <f t="shared" si="3"/>
        <v>1313.4</v>
      </c>
      <c r="F14" s="9">
        <f>ROUND(D14/C14*1000,1)</f>
        <v>178.6</v>
      </c>
      <c r="G14" s="16">
        <v>9686</v>
      </c>
      <c r="H14" s="11">
        <f t="shared" si="4"/>
        <v>13.6</v>
      </c>
    </row>
    <row r="15" spans="1:8" ht="24.95" customHeight="1">
      <c r="A15" s="52"/>
      <c r="B15" s="8" t="s">
        <v>13</v>
      </c>
      <c r="C15" s="16">
        <v>6029</v>
      </c>
      <c r="D15" s="16">
        <v>840</v>
      </c>
      <c r="E15" s="9">
        <f t="shared" si="3"/>
        <v>1606.6</v>
      </c>
      <c r="F15" s="9">
        <f>ROUND(D15/C15*1000,1)</f>
        <v>139.30000000000001</v>
      </c>
      <c r="G15" s="16">
        <v>9686</v>
      </c>
      <c r="H15" s="11">
        <f t="shared" si="4"/>
        <v>8.6999999999999993</v>
      </c>
    </row>
    <row r="16" spans="1:8" ht="23.25" customHeight="1">
      <c r="A16" s="54"/>
      <c r="B16" s="36" t="s">
        <v>33</v>
      </c>
      <c r="C16" s="37">
        <v>6535</v>
      </c>
      <c r="D16" s="37">
        <v>1098</v>
      </c>
      <c r="E16" s="38">
        <f t="shared" si="3"/>
        <v>1938.8</v>
      </c>
      <c r="F16" s="38">
        <f>ROUND(D16/C16*1000,1)</f>
        <v>168</v>
      </c>
      <c r="G16" s="37">
        <v>12670</v>
      </c>
      <c r="H16" s="39">
        <f t="shared" si="4"/>
        <v>8.6999999999999993</v>
      </c>
    </row>
  </sheetData>
  <mergeCells count="3">
    <mergeCell ref="A3:B4"/>
    <mergeCell ref="A11:A16"/>
    <mergeCell ref="A5:A10"/>
  </mergeCells>
  <phoneticPr fontId="1" type="noConversion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"/>
  <sheetViews>
    <sheetView tabSelected="1" view="pageBreakPreview" topLeftCell="A8" zoomScale="85" zoomScaleNormal="100" zoomScaleSheetLayoutView="85" workbookViewId="0">
      <selection activeCell="L20" sqref="L20"/>
    </sheetView>
  </sheetViews>
  <sheetFormatPr defaultRowHeight="16.5"/>
  <cols>
    <col min="3" max="3" width="9" customWidth="1"/>
    <col min="12" max="12" width="12.875" customWidth="1"/>
    <col min="13" max="14" width="12.5" customWidth="1"/>
  </cols>
  <sheetData>
    <row r="1" spans="1:18" ht="27.75" customHeight="1">
      <c r="A1" s="44" t="s">
        <v>55</v>
      </c>
      <c r="B1" s="2"/>
      <c r="C1" s="2"/>
    </row>
    <row r="2" spans="1:18">
      <c r="L2" t="s">
        <v>34</v>
      </c>
      <c r="M2" s="40">
        <v>0.22</v>
      </c>
    </row>
    <row r="3" spans="1:18" ht="24.95" customHeight="1">
      <c r="A3" s="20" t="s">
        <v>15</v>
      </c>
      <c r="B3" s="42" t="s">
        <v>23</v>
      </c>
      <c r="C3" s="42" t="s">
        <v>24</v>
      </c>
      <c r="D3" s="58" t="s">
        <v>58</v>
      </c>
      <c r="E3" s="58"/>
      <c r="F3" s="58"/>
      <c r="G3" s="58"/>
      <c r="H3" s="58"/>
      <c r="I3" s="42" t="s">
        <v>25</v>
      </c>
      <c r="J3" s="21" t="s">
        <v>26</v>
      </c>
    </row>
    <row r="4" spans="1:18" ht="24.95" customHeight="1">
      <c r="A4" s="22" t="s">
        <v>16</v>
      </c>
      <c r="B4" s="23" t="s">
        <v>17</v>
      </c>
      <c r="C4" s="23" t="s">
        <v>18</v>
      </c>
      <c r="D4" s="23" t="s">
        <v>19</v>
      </c>
      <c r="E4" s="23" t="s">
        <v>1</v>
      </c>
      <c r="F4" s="23" t="s">
        <v>27</v>
      </c>
      <c r="G4" s="23" t="s">
        <v>28</v>
      </c>
      <c r="H4" s="23" t="s">
        <v>29</v>
      </c>
      <c r="I4" s="23" t="s">
        <v>6</v>
      </c>
      <c r="J4" s="24" t="s">
        <v>6</v>
      </c>
    </row>
    <row r="5" spans="1:18" ht="24.95" customHeight="1">
      <c r="A5" s="25"/>
      <c r="B5" s="26" t="s">
        <v>30</v>
      </c>
      <c r="C5" s="27"/>
      <c r="D5" s="23" t="s">
        <v>31</v>
      </c>
      <c r="E5" s="23" t="s">
        <v>6</v>
      </c>
      <c r="F5" s="23" t="s">
        <v>6</v>
      </c>
      <c r="G5" s="23" t="s">
        <v>6</v>
      </c>
      <c r="H5" s="23" t="s">
        <v>6</v>
      </c>
      <c r="I5" s="27"/>
      <c r="J5" s="28"/>
      <c r="L5" t="str">
        <f>A3</f>
        <v>년 도</v>
      </c>
      <c r="M5" t="s">
        <v>51</v>
      </c>
      <c r="N5" t="s">
        <v>52</v>
      </c>
    </row>
    <row r="6" spans="1:18" ht="24.95" customHeight="1">
      <c r="A6" s="19" t="s">
        <v>57</v>
      </c>
      <c r="B6" s="29">
        <v>23668</v>
      </c>
      <c r="C6" s="29">
        <f>ROUND(B6*365/1000,0)</f>
        <v>8639</v>
      </c>
      <c r="D6" s="30">
        <v>168</v>
      </c>
      <c r="E6" s="29">
        <f>ROUND(D6*C6/1000,0)</f>
        <v>1451</v>
      </c>
      <c r="F6" s="29">
        <f>E6</f>
        <v>1451</v>
      </c>
      <c r="G6" s="29">
        <f t="shared" ref="G6:H8" si="0">E6-I6</f>
        <v>1451</v>
      </c>
      <c r="H6" s="29">
        <f t="shared" si="0"/>
        <v>1451</v>
      </c>
      <c r="I6" s="29">
        <v>0</v>
      </c>
      <c r="J6" s="31">
        <f>I6</f>
        <v>0</v>
      </c>
    </row>
    <row r="7" spans="1:18" ht="24.95" customHeight="1">
      <c r="A7" s="19" t="s">
        <v>56</v>
      </c>
      <c r="B7" s="29">
        <f>ROUND(B6+(B8-B6)/2*1,0)</f>
        <v>24112</v>
      </c>
      <c r="C7" s="29">
        <f>ROUND(B7*365/1000,0)</f>
        <v>8801</v>
      </c>
      <c r="D7" s="29">
        <f t="shared" ref="D7:D8" si="1">ROUND(D6*(1+$M$2),0)</f>
        <v>205</v>
      </c>
      <c r="E7" s="29">
        <f>ROUND(D7*C7/1000,0)</f>
        <v>1804</v>
      </c>
      <c r="F7" s="29">
        <f>E7</f>
        <v>1804</v>
      </c>
      <c r="G7" s="29">
        <f t="shared" si="0"/>
        <v>1804</v>
      </c>
      <c r="H7" s="29">
        <f t="shared" si="0"/>
        <v>1804</v>
      </c>
      <c r="I7" s="29">
        <v>0</v>
      </c>
      <c r="J7" s="31">
        <f>I7</f>
        <v>0</v>
      </c>
    </row>
    <row r="8" spans="1:18" ht="24.95" customHeight="1">
      <c r="A8" s="19" t="s">
        <v>35</v>
      </c>
      <c r="B8" s="29">
        <v>24556</v>
      </c>
      <c r="C8" s="29">
        <f>ROUND(B8*365/1000,0)</f>
        <v>8963</v>
      </c>
      <c r="D8" s="29">
        <f t="shared" si="1"/>
        <v>250</v>
      </c>
      <c r="E8" s="29">
        <f>ROUND(D8*C8/1000,0)</f>
        <v>2241</v>
      </c>
      <c r="F8" s="29">
        <f>E8</f>
        <v>2241</v>
      </c>
      <c r="G8" s="29">
        <f t="shared" si="0"/>
        <v>-245</v>
      </c>
      <c r="H8" s="29">
        <f t="shared" si="0"/>
        <v>-245</v>
      </c>
      <c r="I8" s="29">
        <f>2486</f>
        <v>2486</v>
      </c>
      <c r="J8" s="31">
        <f>I8</f>
        <v>2486</v>
      </c>
      <c r="L8" t="str">
        <f>A8</f>
        <v>2010년</v>
      </c>
      <c r="M8" s="41">
        <f>F8</f>
        <v>2241</v>
      </c>
      <c r="N8" s="41">
        <f>J8</f>
        <v>2486</v>
      </c>
    </row>
    <row r="9" spans="1:18" ht="24.95" customHeight="1">
      <c r="A9" s="19" t="s">
        <v>36</v>
      </c>
      <c r="B9" s="29">
        <f>ROUND(B8+(B13-B8)/5*1,0)</f>
        <v>25555</v>
      </c>
      <c r="C9" s="29">
        <f t="shared" ref="C9:C23" si="2">ROUND(B9*365/1000,0)</f>
        <v>9328</v>
      </c>
      <c r="D9" s="29">
        <f>ROUND(D8*(1+$M$2),0)</f>
        <v>305</v>
      </c>
      <c r="E9" s="29">
        <f t="shared" ref="E9:E23" si="3">ROUND(D9*C9/1000,0)</f>
        <v>2845</v>
      </c>
      <c r="F9" s="29">
        <f>F8+E9</f>
        <v>5086</v>
      </c>
      <c r="G9" s="29">
        <f t="shared" ref="G9:G23" si="4">E9-I9</f>
        <v>-23231</v>
      </c>
      <c r="H9" s="29">
        <f t="shared" ref="H9:H23" si="5">F9-J9</f>
        <v>-23476</v>
      </c>
      <c r="I9" s="29">
        <f>23590+2486</f>
        <v>26076</v>
      </c>
      <c r="J9" s="31">
        <f>J8+I9</f>
        <v>28562</v>
      </c>
      <c r="L9" t="str">
        <f t="shared" ref="L9:L23" si="6">A9</f>
        <v>2011년</v>
      </c>
      <c r="M9" s="41">
        <f t="shared" ref="M9:M23" si="7">F9</f>
        <v>5086</v>
      </c>
      <c r="N9" s="41">
        <f t="shared" ref="N9:N23" si="8">J9</f>
        <v>28562</v>
      </c>
    </row>
    <row r="10" spans="1:18" ht="24.95" customHeight="1">
      <c r="A10" s="19" t="s">
        <v>37</v>
      </c>
      <c r="B10" s="29">
        <f>ROUND(B8+(B13-B8)/5*2,0)</f>
        <v>26554</v>
      </c>
      <c r="C10" s="29">
        <f t="shared" si="2"/>
        <v>9692</v>
      </c>
      <c r="D10" s="29">
        <f t="shared" ref="D10:D23" si="9">ROUND(D9*(1+$M$2),0)</f>
        <v>372</v>
      </c>
      <c r="E10" s="29">
        <f t="shared" si="3"/>
        <v>3605</v>
      </c>
      <c r="F10" s="29">
        <f t="shared" ref="F10:F23" si="10">F9+E10</f>
        <v>8691</v>
      </c>
      <c r="G10" s="29">
        <f t="shared" si="4"/>
        <v>-22471</v>
      </c>
      <c r="H10" s="29">
        <f t="shared" si="5"/>
        <v>-45947</v>
      </c>
      <c r="I10" s="29">
        <f>23590+2486</f>
        <v>26076</v>
      </c>
      <c r="J10" s="31">
        <f t="shared" ref="J10:J23" si="11">J9+I10</f>
        <v>54638</v>
      </c>
      <c r="L10" t="str">
        <f t="shared" si="6"/>
        <v>2012년</v>
      </c>
      <c r="M10" s="41">
        <f t="shared" si="7"/>
        <v>8691</v>
      </c>
      <c r="N10" s="41">
        <f t="shared" si="8"/>
        <v>54638</v>
      </c>
    </row>
    <row r="11" spans="1:18" ht="24.95" customHeight="1">
      <c r="A11" s="19" t="s">
        <v>38</v>
      </c>
      <c r="B11" s="29">
        <f>ROUND(B8+(B13-B8)/5*3,0)</f>
        <v>27552</v>
      </c>
      <c r="C11" s="29">
        <f t="shared" si="2"/>
        <v>10056</v>
      </c>
      <c r="D11" s="29">
        <f t="shared" si="9"/>
        <v>454</v>
      </c>
      <c r="E11" s="29">
        <f t="shared" si="3"/>
        <v>4565</v>
      </c>
      <c r="F11" s="29">
        <f t="shared" si="10"/>
        <v>13256</v>
      </c>
      <c r="G11" s="29">
        <f t="shared" si="4"/>
        <v>-21511</v>
      </c>
      <c r="H11" s="29">
        <f t="shared" si="5"/>
        <v>-67458</v>
      </c>
      <c r="I11" s="29">
        <f>23590+2486</f>
        <v>26076</v>
      </c>
      <c r="J11" s="31">
        <f t="shared" si="11"/>
        <v>80714</v>
      </c>
      <c r="L11" t="str">
        <f t="shared" si="6"/>
        <v>2013년</v>
      </c>
      <c r="M11" s="41">
        <f t="shared" si="7"/>
        <v>13256</v>
      </c>
      <c r="N11" s="41">
        <f t="shared" si="8"/>
        <v>80714</v>
      </c>
    </row>
    <row r="12" spans="1:18" ht="24.95" customHeight="1">
      <c r="A12" s="19" t="s">
        <v>39</v>
      </c>
      <c r="B12" s="29">
        <f>ROUND(B8+(B13-B8)/5*4,0)</f>
        <v>28551</v>
      </c>
      <c r="C12" s="29">
        <f t="shared" si="2"/>
        <v>10421</v>
      </c>
      <c r="D12" s="29">
        <f t="shared" si="9"/>
        <v>554</v>
      </c>
      <c r="E12" s="29">
        <f t="shared" si="3"/>
        <v>5773</v>
      </c>
      <c r="F12" s="29">
        <f t="shared" si="10"/>
        <v>19029</v>
      </c>
      <c r="G12" s="29">
        <f t="shared" si="4"/>
        <v>-20303</v>
      </c>
      <c r="H12" s="29">
        <f t="shared" si="5"/>
        <v>-87761</v>
      </c>
      <c r="I12" s="29">
        <f>23590+2486</f>
        <v>26076</v>
      </c>
      <c r="J12" s="31">
        <f t="shared" si="11"/>
        <v>106790</v>
      </c>
      <c r="L12" t="str">
        <f t="shared" si="6"/>
        <v>2014년</v>
      </c>
      <c r="M12" s="41">
        <f t="shared" si="7"/>
        <v>19029</v>
      </c>
      <c r="N12" s="41">
        <f t="shared" si="8"/>
        <v>106790</v>
      </c>
    </row>
    <row r="13" spans="1:18" ht="24.95" customHeight="1">
      <c r="A13" s="19" t="s">
        <v>40</v>
      </c>
      <c r="B13" s="29">
        <v>29550</v>
      </c>
      <c r="C13" s="29">
        <f t="shared" si="2"/>
        <v>10786</v>
      </c>
      <c r="D13" s="29">
        <f t="shared" si="9"/>
        <v>676</v>
      </c>
      <c r="E13" s="29">
        <f t="shared" si="3"/>
        <v>7291</v>
      </c>
      <c r="F13" s="29">
        <f t="shared" si="10"/>
        <v>26320</v>
      </c>
      <c r="G13" s="29">
        <f t="shared" si="4"/>
        <v>-20739</v>
      </c>
      <c r="H13" s="29">
        <f t="shared" si="5"/>
        <v>-108500</v>
      </c>
      <c r="I13" s="29">
        <f>23590+4440</f>
        <v>28030</v>
      </c>
      <c r="J13" s="31">
        <f t="shared" si="11"/>
        <v>134820</v>
      </c>
      <c r="L13" t="str">
        <f t="shared" si="6"/>
        <v>2015년</v>
      </c>
      <c r="M13" s="41">
        <f t="shared" si="7"/>
        <v>26320</v>
      </c>
      <c r="N13" s="41">
        <f t="shared" si="8"/>
        <v>134820</v>
      </c>
      <c r="R13" s="44"/>
    </row>
    <row r="14" spans="1:18" ht="24.95" customHeight="1">
      <c r="A14" s="19" t="s">
        <v>41</v>
      </c>
      <c r="B14" s="29">
        <f>ROUND(B13+(B18-B13)/5*1,0)</f>
        <v>30508</v>
      </c>
      <c r="C14" s="29">
        <f t="shared" si="2"/>
        <v>11135</v>
      </c>
      <c r="D14" s="29">
        <f t="shared" si="9"/>
        <v>825</v>
      </c>
      <c r="E14" s="29">
        <f t="shared" si="3"/>
        <v>9186</v>
      </c>
      <c r="F14" s="29">
        <f t="shared" si="10"/>
        <v>35506</v>
      </c>
      <c r="G14" s="29">
        <f t="shared" si="4"/>
        <v>-7764</v>
      </c>
      <c r="H14" s="29">
        <f t="shared" si="5"/>
        <v>-116264</v>
      </c>
      <c r="I14" s="29">
        <f>12510+4440</f>
        <v>16950</v>
      </c>
      <c r="J14" s="31">
        <f t="shared" si="11"/>
        <v>151770</v>
      </c>
      <c r="L14" t="str">
        <f t="shared" si="6"/>
        <v>2016년</v>
      </c>
      <c r="M14" s="41">
        <f t="shared" si="7"/>
        <v>35506</v>
      </c>
      <c r="N14" s="41">
        <f t="shared" si="8"/>
        <v>151770</v>
      </c>
    </row>
    <row r="15" spans="1:18" ht="24.95" customHeight="1">
      <c r="A15" s="19" t="s">
        <v>42</v>
      </c>
      <c r="B15" s="29">
        <f>ROUND(B13+(B18-B13)/5*2,0)</f>
        <v>31465</v>
      </c>
      <c r="C15" s="29">
        <f t="shared" si="2"/>
        <v>11485</v>
      </c>
      <c r="D15" s="29">
        <f t="shared" si="9"/>
        <v>1007</v>
      </c>
      <c r="E15" s="29">
        <f t="shared" si="3"/>
        <v>11565</v>
      </c>
      <c r="F15" s="29">
        <f t="shared" si="10"/>
        <v>47071</v>
      </c>
      <c r="G15" s="29">
        <f t="shared" si="4"/>
        <v>-5385</v>
      </c>
      <c r="H15" s="29">
        <f t="shared" si="5"/>
        <v>-121649</v>
      </c>
      <c r="I15" s="29">
        <f>12510+4440</f>
        <v>16950</v>
      </c>
      <c r="J15" s="31">
        <f t="shared" si="11"/>
        <v>168720</v>
      </c>
      <c r="L15" t="str">
        <f t="shared" si="6"/>
        <v>2017년</v>
      </c>
      <c r="M15" s="41">
        <f t="shared" si="7"/>
        <v>47071</v>
      </c>
      <c r="N15" s="41">
        <f t="shared" si="8"/>
        <v>168720</v>
      </c>
    </row>
    <row r="16" spans="1:18" ht="24.95" customHeight="1">
      <c r="A16" s="19" t="s">
        <v>43</v>
      </c>
      <c r="B16" s="29">
        <f>ROUND(B13+(B18-B13)/5*3,0)</f>
        <v>32423</v>
      </c>
      <c r="C16" s="29">
        <f t="shared" si="2"/>
        <v>11834</v>
      </c>
      <c r="D16" s="29">
        <f t="shared" si="9"/>
        <v>1229</v>
      </c>
      <c r="E16" s="29">
        <f t="shared" si="3"/>
        <v>14544</v>
      </c>
      <c r="F16" s="29">
        <f t="shared" si="10"/>
        <v>61615</v>
      </c>
      <c r="G16" s="29">
        <f t="shared" si="4"/>
        <v>-2406</v>
      </c>
      <c r="H16" s="29">
        <f t="shared" si="5"/>
        <v>-124055</v>
      </c>
      <c r="I16" s="29">
        <f>12510+4440</f>
        <v>16950</v>
      </c>
      <c r="J16" s="31">
        <f t="shared" si="11"/>
        <v>185670</v>
      </c>
      <c r="L16" t="str">
        <f t="shared" si="6"/>
        <v>2018년</v>
      </c>
      <c r="M16" s="41">
        <f t="shared" si="7"/>
        <v>61615</v>
      </c>
      <c r="N16" s="41">
        <f t="shared" si="8"/>
        <v>185670</v>
      </c>
    </row>
    <row r="17" spans="1:14" ht="24.95" customHeight="1">
      <c r="A17" s="19" t="s">
        <v>44</v>
      </c>
      <c r="B17" s="29">
        <f>ROUND(B13+(B18-B13)/5*4,0)</f>
        <v>33380</v>
      </c>
      <c r="C17" s="29">
        <f t="shared" si="2"/>
        <v>12184</v>
      </c>
      <c r="D17" s="29">
        <f t="shared" si="9"/>
        <v>1499</v>
      </c>
      <c r="E17" s="29">
        <f t="shared" si="3"/>
        <v>18264</v>
      </c>
      <c r="F17" s="29">
        <f t="shared" si="10"/>
        <v>79879</v>
      </c>
      <c r="G17" s="29">
        <f t="shared" si="4"/>
        <v>1314</v>
      </c>
      <c r="H17" s="29">
        <f t="shared" si="5"/>
        <v>-122741</v>
      </c>
      <c r="I17" s="29">
        <f>12510+4440</f>
        <v>16950</v>
      </c>
      <c r="J17" s="31">
        <f t="shared" si="11"/>
        <v>202620</v>
      </c>
      <c r="L17" t="str">
        <f t="shared" si="6"/>
        <v>2019년</v>
      </c>
      <c r="M17" s="41">
        <f t="shared" si="7"/>
        <v>79879</v>
      </c>
      <c r="N17" s="41">
        <f t="shared" si="8"/>
        <v>202620</v>
      </c>
    </row>
    <row r="18" spans="1:14" ht="24.95" customHeight="1">
      <c r="A18" s="19" t="s">
        <v>45</v>
      </c>
      <c r="B18" s="29">
        <v>34338</v>
      </c>
      <c r="C18" s="29">
        <f t="shared" si="2"/>
        <v>12533</v>
      </c>
      <c r="D18" s="29">
        <f t="shared" si="9"/>
        <v>1829</v>
      </c>
      <c r="E18" s="29">
        <f t="shared" si="3"/>
        <v>22923</v>
      </c>
      <c r="F18" s="29">
        <f t="shared" si="10"/>
        <v>102802</v>
      </c>
      <c r="G18" s="29">
        <f t="shared" si="4"/>
        <v>5218</v>
      </c>
      <c r="H18" s="29">
        <f t="shared" si="5"/>
        <v>-117523</v>
      </c>
      <c r="I18" s="29">
        <f>12510+5195</f>
        <v>17705</v>
      </c>
      <c r="J18" s="31">
        <f t="shared" si="11"/>
        <v>220325</v>
      </c>
      <c r="L18" t="str">
        <f t="shared" si="6"/>
        <v>2020년</v>
      </c>
      <c r="M18" s="41">
        <f t="shared" si="7"/>
        <v>102802</v>
      </c>
      <c r="N18" s="41">
        <f t="shared" si="8"/>
        <v>220325</v>
      </c>
    </row>
    <row r="19" spans="1:14" ht="24.95" customHeight="1">
      <c r="A19" s="19" t="s">
        <v>46</v>
      </c>
      <c r="B19" s="29">
        <f>ROUND(B18+(B23-B18)/5*1,0)</f>
        <v>34758</v>
      </c>
      <c r="C19" s="29">
        <f t="shared" si="2"/>
        <v>12687</v>
      </c>
      <c r="D19" s="29">
        <f t="shared" si="9"/>
        <v>2231</v>
      </c>
      <c r="E19" s="29">
        <f t="shared" si="3"/>
        <v>28305</v>
      </c>
      <c r="F19" s="29">
        <f t="shared" si="10"/>
        <v>131107</v>
      </c>
      <c r="G19" s="29">
        <f t="shared" si="4"/>
        <v>12913</v>
      </c>
      <c r="H19" s="29">
        <f t="shared" si="5"/>
        <v>-104610</v>
      </c>
      <c r="I19" s="29">
        <f>10197+5195</f>
        <v>15392</v>
      </c>
      <c r="J19" s="31">
        <f t="shared" si="11"/>
        <v>235717</v>
      </c>
      <c r="L19" t="str">
        <f t="shared" si="6"/>
        <v>2021년</v>
      </c>
      <c r="M19" s="41">
        <f t="shared" si="7"/>
        <v>131107</v>
      </c>
      <c r="N19" s="41">
        <f t="shared" si="8"/>
        <v>235717</v>
      </c>
    </row>
    <row r="20" spans="1:14" ht="24.95" customHeight="1">
      <c r="A20" s="19" t="s">
        <v>47</v>
      </c>
      <c r="B20" s="29">
        <f>ROUND(B18+(B23-B18)/5*2,0)</f>
        <v>35178</v>
      </c>
      <c r="C20" s="29">
        <f t="shared" si="2"/>
        <v>12840</v>
      </c>
      <c r="D20" s="29">
        <f t="shared" si="9"/>
        <v>2722</v>
      </c>
      <c r="E20" s="29">
        <f t="shared" si="3"/>
        <v>34950</v>
      </c>
      <c r="F20" s="29">
        <f t="shared" si="10"/>
        <v>166057</v>
      </c>
      <c r="G20" s="29">
        <f t="shared" si="4"/>
        <v>19558</v>
      </c>
      <c r="H20" s="29">
        <f t="shared" si="5"/>
        <v>-85052</v>
      </c>
      <c r="I20" s="29">
        <f>10197+5195</f>
        <v>15392</v>
      </c>
      <c r="J20" s="31">
        <f>J19+I20</f>
        <v>251109</v>
      </c>
      <c r="L20" t="str">
        <f t="shared" si="6"/>
        <v>2022년</v>
      </c>
      <c r="M20" s="41">
        <f t="shared" si="7"/>
        <v>166057</v>
      </c>
      <c r="N20" s="41">
        <f t="shared" si="8"/>
        <v>251109</v>
      </c>
    </row>
    <row r="21" spans="1:14" ht="24.95" customHeight="1">
      <c r="A21" s="19" t="s">
        <v>48</v>
      </c>
      <c r="B21" s="29">
        <f>ROUND(B18+(B23-B18)/5*3,0)</f>
        <v>35598</v>
      </c>
      <c r="C21" s="29">
        <f t="shared" si="2"/>
        <v>12993</v>
      </c>
      <c r="D21" s="29">
        <f t="shared" si="9"/>
        <v>3321</v>
      </c>
      <c r="E21" s="29">
        <f t="shared" si="3"/>
        <v>43150</v>
      </c>
      <c r="F21" s="29">
        <f t="shared" si="10"/>
        <v>209207</v>
      </c>
      <c r="G21" s="29">
        <f t="shared" si="4"/>
        <v>27758</v>
      </c>
      <c r="H21" s="29">
        <f t="shared" si="5"/>
        <v>-57294</v>
      </c>
      <c r="I21" s="29">
        <f>10197+5195</f>
        <v>15392</v>
      </c>
      <c r="J21" s="31">
        <f t="shared" si="11"/>
        <v>266501</v>
      </c>
      <c r="L21" t="str">
        <f t="shared" si="6"/>
        <v>2023년</v>
      </c>
      <c r="M21" s="41">
        <f t="shared" si="7"/>
        <v>209207</v>
      </c>
      <c r="N21" s="41">
        <f t="shared" si="8"/>
        <v>266501</v>
      </c>
    </row>
    <row r="22" spans="1:14" ht="24.95" customHeight="1">
      <c r="A22" s="19" t="s">
        <v>49</v>
      </c>
      <c r="B22" s="29">
        <f>ROUND(B18+(B23-B18)/5*4,0)</f>
        <v>36018</v>
      </c>
      <c r="C22" s="29">
        <f t="shared" si="2"/>
        <v>13147</v>
      </c>
      <c r="D22" s="29">
        <f t="shared" si="9"/>
        <v>4052</v>
      </c>
      <c r="E22" s="29">
        <f t="shared" si="3"/>
        <v>53272</v>
      </c>
      <c r="F22" s="29">
        <f t="shared" si="10"/>
        <v>262479</v>
      </c>
      <c r="G22" s="29">
        <f t="shared" si="4"/>
        <v>37880</v>
      </c>
      <c r="H22" s="29">
        <f t="shared" si="5"/>
        <v>-19414</v>
      </c>
      <c r="I22" s="29">
        <f>10197+5195</f>
        <v>15392</v>
      </c>
      <c r="J22" s="31">
        <f t="shared" si="11"/>
        <v>281893</v>
      </c>
      <c r="L22" t="str">
        <f t="shared" si="6"/>
        <v>2024년</v>
      </c>
      <c r="M22" s="41">
        <f t="shared" si="7"/>
        <v>262479</v>
      </c>
      <c r="N22" s="41">
        <f t="shared" si="8"/>
        <v>281893</v>
      </c>
    </row>
    <row r="23" spans="1:14" ht="24.95" customHeight="1">
      <c r="A23" s="19" t="s">
        <v>50</v>
      </c>
      <c r="B23" s="29">
        <v>36438</v>
      </c>
      <c r="C23" s="29">
        <f t="shared" si="2"/>
        <v>13300</v>
      </c>
      <c r="D23" s="29">
        <f t="shared" si="9"/>
        <v>4943</v>
      </c>
      <c r="E23" s="29">
        <f t="shared" si="3"/>
        <v>65742</v>
      </c>
      <c r="F23" s="29">
        <f t="shared" si="10"/>
        <v>328221</v>
      </c>
      <c r="G23" s="29">
        <f t="shared" si="4"/>
        <v>50150</v>
      </c>
      <c r="H23" s="30">
        <f t="shared" si="5"/>
        <v>30736</v>
      </c>
      <c r="I23" s="29">
        <f>10197+5395</f>
        <v>15592</v>
      </c>
      <c r="J23" s="31">
        <f t="shared" si="11"/>
        <v>297485</v>
      </c>
      <c r="L23" t="str">
        <f t="shared" si="6"/>
        <v>2025년</v>
      </c>
      <c r="M23" s="41">
        <f t="shared" si="7"/>
        <v>328221</v>
      </c>
      <c r="N23" s="41">
        <f t="shared" si="8"/>
        <v>297485</v>
      </c>
    </row>
    <row r="24" spans="1:14" ht="20.100000000000001" customHeight="1"/>
    <row r="25" spans="1:14" ht="20.100000000000001" customHeight="1"/>
  </sheetData>
  <mergeCells count="1">
    <mergeCell ref="D3:H3"/>
  </mergeCells>
  <phoneticPr fontId="1" type="noConversion"/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1.보령시하수도요금 현황</vt:lpstr>
      <vt:lpstr>2.전국하수도요금 현황1</vt:lpstr>
      <vt:lpstr>3.하수도수입분석</vt:lpstr>
      <vt:lpstr>'1.보령시하수도요금 현황'!Print_Area</vt:lpstr>
      <vt:lpstr>'3.하수도수입분석'!Print_Area</vt:lpstr>
    </vt:vector>
  </TitlesOfParts>
  <Company>선진엔지니어링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kimdaehwan</dc:creator>
  <cp:lastModifiedBy>선진</cp:lastModifiedBy>
  <cp:lastPrinted>2010-04-05T05:28:18Z</cp:lastPrinted>
  <dcterms:created xsi:type="dcterms:W3CDTF">2010-01-11T11:31:36Z</dcterms:created>
  <dcterms:modified xsi:type="dcterms:W3CDTF">2010-09-13T06:03:26Z</dcterms:modified>
</cp:coreProperties>
</file>